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01"/>
  <workbookPr codeName="ThisWorkbook" defaultThemeVersion="124226"/>
  <mc:AlternateContent xmlns:mc="http://schemas.openxmlformats.org/markup-compatibility/2006">
    <mc:Choice Requires="x15">
      <x15ac:absPath xmlns:x15ac="http://schemas.microsoft.com/office/spreadsheetml/2010/11/ac" url="E:\RICOH\01. Customer\01. Global Account\Dupont - Corteva\2022\Corteva\Medan\"/>
    </mc:Choice>
  </mc:AlternateContent>
  <xr:revisionPtr revIDLastSave="0" documentId="13_ncr:1_{1FE6E238-C702-443B-8E88-772802389C62}" xr6:coauthVersionLast="47" xr6:coauthVersionMax="47" xr10:uidLastSave="{00000000-0000-0000-0000-000000000000}"/>
  <workbookProtection workbookAlgorithmName="SHA-512" workbookHashValue="ybXf50K4+AJg0p5WtfG3Uu/JyR8QGHqfWIwadwWI6KTmrr/NxKt6Nj6gMYQz7kziO6z/x2cap2TUYyb72GkEyA==" workbookSaltValue="r5aqziykA6EMqmwfCNrPxQ==" workbookSpinCount="100000" lockStructure="1"/>
  <bookViews>
    <workbookView xWindow="-120" yWindow="-120" windowWidth="20730" windowHeight="11040" tabRatio="774" activeTab="1" xr2:uid="{00000000-000D-0000-FFFF-FFFF00000000}"/>
  </bookViews>
  <sheets>
    <sheet name="Global IMACD Form" sheetId="49" r:id="rId1"/>
    <sheet name="Multiple Devices (2 or more)" sheetId="58" r:id="rId2"/>
    <sheet name="Device Configuration" sheetId="62" r:id="rId3"/>
    <sheet name="Reference Data" sheetId="57" state="hidden" r:id="rId4"/>
    <sheet name="Version Tracker" sheetId="63" r:id="rId5"/>
    <sheet name="Device" sheetId="61" state="hidden" r:id="rId6"/>
    <sheet name="D%$&amp;01_DevSheet" sheetId="51" state="veryHidden"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B" localSheetId="0">#REF!</definedName>
    <definedName name="\B">#REF!</definedName>
    <definedName name="\I" localSheetId="0">#REF!</definedName>
    <definedName name="\I">#REF!</definedName>
    <definedName name="\P" localSheetId="0">#REF!</definedName>
    <definedName name="\P">#REF!</definedName>
    <definedName name="\S">#REF!</definedName>
    <definedName name="__rau2">#REF!</definedName>
    <definedName name="__rbb2">#REF!</definedName>
    <definedName name="__RDG1">#REF!</definedName>
    <definedName name="__rdg2">#REF!</definedName>
    <definedName name="__res2">#REF!</definedName>
    <definedName name="__RFR1">#REF!</definedName>
    <definedName name="__rfr2">#REF!</definedName>
    <definedName name="__rhu2">#REF!</definedName>
    <definedName name="__rit2">#REF!</definedName>
    <definedName name="__rnl2">#REF!</definedName>
    <definedName name="__rno2">#REF!</definedName>
    <definedName name="__rpb2">#REF!</definedName>
    <definedName name="__rpo2">#REF!</definedName>
    <definedName name="__RUK1">#REF!</definedName>
    <definedName name="__ruk2">#REF!</definedName>
    <definedName name="_5433" localSheetId="0">'[1]US Price List'!#REF!</definedName>
    <definedName name="_5433">'[1]US Price List'!#REF!</definedName>
    <definedName name="_5733" localSheetId="0">'[1]US Price List'!#REF!</definedName>
    <definedName name="_5733">'[1]US Price List'!#REF!</definedName>
    <definedName name="_fax102" localSheetId="0">#REF!</definedName>
    <definedName name="_fax102">#REF!</definedName>
    <definedName name="_fax103">#REF!</definedName>
    <definedName name="_Fill" hidden="1">#REF!</definedName>
    <definedName name="_xlnm._FilterDatabase" localSheetId="3" hidden="1">'Reference Data'!$A$3:$S$3</definedName>
    <definedName name="_GR_001" localSheetId="0">#REF!</definedName>
    <definedName name="_GR_001">#REF!</definedName>
    <definedName name="_GR_002" localSheetId="0">'[2]AP Purchase &amp; Lease Price'!#REF!</definedName>
    <definedName name="_GR_002">'[2]AP Purchase &amp; Lease Price'!#REF!</definedName>
    <definedName name="_GR_003" localSheetId="0">'[2]AP Purchase &amp; Lease Price'!#REF!</definedName>
    <definedName name="_GR_003">'[2]AP Purchase &amp; Lease Price'!#REF!</definedName>
    <definedName name="_GR_004" localSheetId="0">'[2]AP Purchase &amp; Lease Price'!#REF!</definedName>
    <definedName name="_GR_004">'[2]AP Purchase &amp; Lease Price'!#REF!</definedName>
    <definedName name="_GR_005" localSheetId="0">'[2]AP Purchase &amp; Lease Price'!#REF!</definedName>
    <definedName name="_GR_005">'[2]AP Purchase &amp; Lease Price'!#REF!</definedName>
    <definedName name="_GR_006" localSheetId="0">'[2]AP Purchase &amp; Lease Price'!#REF!</definedName>
    <definedName name="_GR_006">'[2]AP Purchase &amp; Lease Price'!#REF!</definedName>
    <definedName name="_GR_007" localSheetId="0">'[2]AP Purchase &amp; Lease Price'!#REF!</definedName>
    <definedName name="_GR_007">'[2]AP Purchase &amp; Lease Price'!#REF!</definedName>
    <definedName name="_GR_008" localSheetId="0">'[2]AP Purchase &amp; Lease Price'!#REF!</definedName>
    <definedName name="_GR_008">'[2]AP Purchase &amp; Lease Price'!#REF!</definedName>
    <definedName name="_GR_009" localSheetId="0">'[2]AP Purchase &amp; Lease Price'!#REF!</definedName>
    <definedName name="_GR_009">'[2]AP Purchase &amp; Lease Price'!#REF!</definedName>
    <definedName name="_GR_010" localSheetId="0">'[2]AP Purchase &amp; Lease Price'!#REF!</definedName>
    <definedName name="_GR_010">'[2]AP Purchase &amp; Lease Price'!#REF!</definedName>
    <definedName name="_GR_011" localSheetId="0">'[2]AP Purchase &amp; Lease Price'!#REF!</definedName>
    <definedName name="_GR_011">'[2]AP Purchase &amp; Lease Price'!#REF!</definedName>
    <definedName name="_GR_012" localSheetId="0">'[2]AP Purchase &amp; Lease Price'!#REF!</definedName>
    <definedName name="_GR_012">'[2]AP Purchase &amp; Lease Price'!#REF!</definedName>
    <definedName name="_GR_013" localSheetId="0">#REF!</definedName>
    <definedName name="_GR_013">#REF!</definedName>
    <definedName name="_GR_014" localSheetId="0">#REF!</definedName>
    <definedName name="_GR_014">#REF!</definedName>
    <definedName name="_mfp10515">#REF!</definedName>
    <definedName name="_mfp1302">#REF!</definedName>
    <definedName name="_mfp1502">#REF!</definedName>
    <definedName name="_mfp2212">#REF!</definedName>
    <definedName name="_mfp2712">#REF!</definedName>
    <definedName name="_mfp2740">#REF!</definedName>
    <definedName name="_mfp3212">#REF!</definedName>
    <definedName name="_mfp3502">#REF!</definedName>
    <definedName name="_mfp3532">#REF!</definedName>
    <definedName name="_mfp4502">#REF!</definedName>
    <definedName name="_mfp4532">#REF!</definedName>
    <definedName name="_mfp6002">#REF!</definedName>
    <definedName name="_mfp7502">#REF!</definedName>
    <definedName name="_mfp8502">#REF!</definedName>
    <definedName name="_rau2">#REF!</definedName>
    <definedName name="_rbb2">#REF!</definedName>
    <definedName name="_RDG1">#REF!</definedName>
    <definedName name="_rdg2">#REF!</definedName>
    <definedName name="_res2">#REF!</definedName>
    <definedName name="_RFR1">#REF!</definedName>
    <definedName name="_rfr2">#REF!</definedName>
    <definedName name="_rhu2">#REF!</definedName>
    <definedName name="_rit2">#REF!</definedName>
    <definedName name="_rnl2">#REF!</definedName>
    <definedName name="_rno2">#REF!</definedName>
    <definedName name="_rpb2">#REF!</definedName>
    <definedName name="_rpo2">#REF!</definedName>
    <definedName name="_RUK1">#REF!</definedName>
    <definedName name="_ruk2">#REF!</definedName>
    <definedName name="Ⅲ">#REF!</definedName>
    <definedName name="Ⅳ">#REF!</definedName>
    <definedName name="a">#REF!</definedName>
    <definedName name="aa">#REF!</definedName>
    <definedName name="aaa" localSheetId="0">'[3]MALAYSIA &amp; Phillipine Hardware'!#REF!</definedName>
    <definedName name="aaa">'[3]MALAYSIA &amp; Phillipine Hardware'!#REF!</definedName>
    <definedName name="ab" localSheetId="0">#REF!</definedName>
    <definedName name="ab">#REF!</definedName>
    <definedName name="ac">#REF!</definedName>
    <definedName name="ACCOUNT">#REF!</definedName>
    <definedName name="ad">#REF!</definedName>
    <definedName name="ae">#REF!</definedName>
    <definedName name="af">#REF!</definedName>
    <definedName name="after_hours">#REF!</definedName>
    <definedName name="ag" localSheetId="0">#REF!</definedName>
    <definedName name="ag">#REF!</definedName>
    <definedName name="AggregateType">[4]Parameters!$D$20:$D$22</definedName>
    <definedName name="ah">#REF!</definedName>
    <definedName name="ai">#REF!</definedName>
    <definedName name="aj">#REF!</definedName>
    <definedName name="ak">#REF!</definedName>
    <definedName name="al">#REF!</definedName>
    <definedName name="ALT_CURRENCY">'[2]AP Purchase &amp; Lease Price'!#REF!</definedName>
    <definedName name="ALT_RATE">'[2]AP Purchase &amp; Lease Price'!#REF!</definedName>
    <definedName name="am" localSheetId="0">#REF!</definedName>
    <definedName name="am">#REF!</definedName>
    <definedName name="an">#REF!</definedName>
    <definedName name="Ansprechtel">#REF!</definedName>
    <definedName name="Antragsteller">#REF!</definedName>
    <definedName name="Anzahl">#REF!</definedName>
    <definedName name="ao">#REF!</definedName>
    <definedName name="april">'[5]2.24%'!$D$6:$F$187</definedName>
    <definedName name="ARTICLE" localSheetId="0">#REF!</definedName>
    <definedName name="ARTICLE">#REF!</definedName>
    <definedName name="Artikel" localSheetId="0">#REF!</definedName>
    <definedName name="Artikel">#REF!</definedName>
    <definedName name="ASP" localSheetId="0">#REF!</definedName>
    <definedName name="ASP">#REF!</definedName>
    <definedName name="AuslastungsOptimierung">#REF!</definedName>
    <definedName name="b">#REF!</definedName>
    <definedName name="ba">#REF!</definedName>
    <definedName name="BASE">#REF!</definedName>
    <definedName name="BASE_PARC">#REF!</definedName>
    <definedName name="Baseline">#REF!</definedName>
    <definedName name="bb">#REF!</definedName>
    <definedName name="bc">#REF!</definedName>
    <definedName name="BC_Kundennr">#REF!</definedName>
    <definedName name="BC_Seriennummer">#REF!</definedName>
    <definedName name="bd">#REF!</definedName>
    <definedName name="be">#REF!</definedName>
    <definedName name="bf">#REF!</definedName>
    <definedName name="bg">#REF!</definedName>
    <definedName name="bh">#REF!</definedName>
    <definedName name="bi">#REF!</definedName>
    <definedName name="bill_to_change">#REF!</definedName>
    <definedName name="bj" localSheetId="0">#REF!</definedName>
    <definedName name="bj">#REF!</definedName>
    <definedName name="bk">#REF!</definedName>
    <definedName name="bl">#REF!</definedName>
    <definedName name="BL_ROW">'[2]AP Purchase &amp; Lease Price'!#REF!</definedName>
    <definedName name="BM">[6]REF!$B$9:$B$10</definedName>
    <definedName name="bn">#REF!</definedName>
    <definedName name="bo">#REF!</definedName>
    <definedName name="bond">#REF!</definedName>
    <definedName name="BOTTOM_ROW">'[3]MALAYSIA &amp; Phillipine Hardware'!#REF!</definedName>
    <definedName name="Brand">[6]REF!$N$9:$N$10</definedName>
    <definedName name="ca">#REF!</definedName>
    <definedName name="CACOPÎE">#REF!</definedName>
    <definedName name="CAMAT">#REF!</definedName>
    <definedName name="CAMATRachatFF">#REF!</definedName>
    <definedName name="Category">[6]REF!$G$9:$G$12</definedName>
    <definedName name="CATOTAL" localSheetId="0">#REF!</definedName>
    <definedName name="CATOTAL">#REF!</definedName>
    <definedName name="cb">#REF!</definedName>
    <definedName name="cd">#REF!</definedName>
    <definedName name="ce">#REF!</definedName>
    <definedName name="cf">#REF!</definedName>
    <definedName name="Change">#REF!</definedName>
    <definedName name="CHEAP" localSheetId="0">#REF!</definedName>
    <definedName name="CHEAP">#REF!</definedName>
    <definedName name="check">[7]Sheet2!$D$2:$I$3253</definedName>
    <definedName name="clcM">#REF!</definedName>
    <definedName name="clcS">#REF!</definedName>
    <definedName name="clcTM">'[8]Stückliste, Kalkulation'!$AJ$6</definedName>
    <definedName name="clcTW">'[8]Stückliste, Kalkulation'!$AK$6</definedName>
    <definedName name="Client">[6]REF!$D$9:$D$21</definedName>
    <definedName name="COEFFI">'[9]Sales co-efficient'!$C$14</definedName>
    <definedName name="COEFTDV">[9]PL!$T$78</definedName>
    <definedName name="colArtD">[8]Refs!$C$35</definedName>
    <definedName name="colArtE">[8]Refs!$C$33</definedName>
    <definedName name="colArtF">[8]Refs!$C$34</definedName>
    <definedName name="colBez">[8]Refs!$C$28</definedName>
    <definedName name="colGrp">[8]Refs!$C$30</definedName>
    <definedName name="colMO">[8]Refs!$C$31</definedName>
    <definedName name="colNLEK">[8]Refs!$C$40</definedName>
    <definedName name="colTyp">[8]Refs!$C$29</definedName>
    <definedName name="colWartung">[8]Refs!$C$32</definedName>
    <definedName name="colWFolge">[8]Refs!$C$38</definedName>
    <definedName name="colWInkl">[8]Refs!$C$37</definedName>
    <definedName name="colWPausch">[8]Refs!$C$36</definedName>
    <definedName name="COMBO" localSheetId="0">'[1]US Price List'!#REF!</definedName>
    <definedName name="COMBO">'[1]US Price List'!#REF!</definedName>
    <definedName name="countries_inc" localSheetId="0">#REF!</definedName>
    <definedName name="countries_inc">#REF!</definedName>
    <definedName name="Country">'[10]ICL RFG raw'!$A$3:$A$165</definedName>
    <definedName name="country_hide" localSheetId="0">'[11]2. Potential'!#REF!</definedName>
    <definedName name="country_hide">'[11]2. Potential'!#REF!</definedName>
    <definedName name="country_used" localSheetId="0">'[11]2. Potential'!#REF!</definedName>
    <definedName name="country_used">'[11]2. Potential'!#REF!</definedName>
    <definedName name="Credit">[6]REF!$W$9:$W$11</definedName>
    <definedName name="_xlnm.Criteria">[6]REF!$P$9:$P$19</definedName>
    <definedName name="Cross_Ref" localSheetId="0">#REF!</definedName>
    <definedName name="Cross_Ref">#REF!</definedName>
    <definedName name="crtSalesOrdersBudget" localSheetId="0">#REF!</definedName>
    <definedName name="crtSalesOrdersBudget">#REF!</definedName>
    <definedName name="CSC_PriceBreakdown" localSheetId="0">#REF!</definedName>
    <definedName name="CSC_PriceBreakdown">#REF!</definedName>
    <definedName name="currencies">[12]Data!$A$2:$A$6</definedName>
    <definedName name="d">#REF!</definedName>
    <definedName name="Date">[6]REF!$H$9:$H$1368</definedName>
    <definedName name="Datum" localSheetId="0">#REF!</definedName>
    <definedName name="Datum">#REF!</definedName>
    <definedName name="decentrala">#REF!</definedName>
    <definedName name="decentralb">#REF!</definedName>
    <definedName name="decentralc">#REF!</definedName>
    <definedName name="decentrale">#REF!</definedName>
    <definedName name="decentralf">#REF!</definedName>
    <definedName name="defCat2Typ">[8]Refs!$C$68</definedName>
    <definedName name="defEOT" localSheetId="0">#REF!</definedName>
    <definedName name="defEOT">#REF!</definedName>
    <definedName name="defPPCRundung">[8]Refs!$C$22</definedName>
    <definedName name="DevicePicLookup">INDEX('Global IMACD Form'!#REF!,MATCH('Global IMACD Form'!$G$24,'Global IMACD Form'!#REF!,0),1)</definedName>
    <definedName name="DevicePicLookup2">INDEX(Device!$A$3:$B$15,MATCH('Global IMACD Form'!$G$24,Device!$B$3:$B$15,0),1)</definedName>
    <definedName name="DLTIME" localSheetId="0">#REF!</definedName>
    <definedName name="DLTIME">#REF!</definedName>
    <definedName name="DMARCHE">[9]PL!$X$76</definedName>
    <definedName name="DMU">[6]REF!$O$9:$O$12</definedName>
    <definedName name="docnumber">[13]Data!$A$2</definedName>
    <definedName name="DUREECONTRAT" localSheetId="0">#REF!</definedName>
    <definedName name="DUREECONTRAT">#REF!</definedName>
    <definedName name="DUREELOC">[9]PL!$X$77</definedName>
    <definedName name="e">#REF!</definedName>
    <definedName name="eAbloese">#REF!</definedName>
    <definedName name="edp">#REF!</definedName>
    <definedName name="eFaktor">#REF!</definedName>
    <definedName name="eGlobalCPC">#REF!</definedName>
    <definedName name="eKundenart">'[8]Allgemeine Informationen'!$D$5</definedName>
    <definedName name="eLaufzeitM" localSheetId="0">#REF!</definedName>
    <definedName name="eLaufzeitM">#REF!</definedName>
    <definedName name="eLaufzeitW">#REF!</definedName>
    <definedName name="email">#REF!</definedName>
    <definedName name="Engagement" localSheetId="0">[14]REF!#REF!</definedName>
    <definedName name="Engagement">[14]REF!#REF!</definedName>
    <definedName name="EQUIV" localSheetId="0">#REF!</definedName>
    <definedName name="EQUIV">#REF!</definedName>
    <definedName name="EssAliasTable">"Default"</definedName>
    <definedName name="EssOptions">"A1100000000011100011001101000_01003n/a"</definedName>
    <definedName name="ETC">[6]REF!$K$9:$K$13</definedName>
    <definedName name="EU" localSheetId="0">#REF!</definedName>
    <definedName name="EU">#REF!</definedName>
    <definedName name="EVP_HW" localSheetId="0">#REF!</definedName>
    <definedName name="EVP_HW">#REF!</definedName>
    <definedName name="f">#REF!</definedName>
    <definedName name="FF">#REF!</definedName>
    <definedName name="FG">[6]REF!$I$9:$I$507</definedName>
    <definedName name="filterMINC" localSheetId="0">#REF!</definedName>
    <definedName name="filterMINC">#REF!</definedName>
    <definedName name="FilterMINC_Header" localSheetId="0">#REF!</definedName>
    <definedName name="FilterMINC_Header">#REF!</definedName>
    <definedName name="filterMinc_Header2" localSheetId="0">'[15]B. Potential Information'!#REF!</definedName>
    <definedName name="filterMinc_Header2">'[15]B. Potential Information'!#REF!</definedName>
    <definedName name="FilterMINCHeader2">'[11]1. Strategy &amp; Structure'!#REF!</definedName>
    <definedName name="FilterMINCheader3">'[11]1. Strategy &amp; Structure'!#REF!</definedName>
    <definedName name="FOOTNOTES">'[1]US Price List'!#REF!</definedName>
    <definedName name="fr_if" localSheetId="0">#REF!</definedName>
    <definedName name="fr_if">#REF!</definedName>
    <definedName name="fr_o">#REF!</definedName>
    <definedName name="fr_pf">#REF!</definedName>
    <definedName name="fr_sf">#REF!</definedName>
    <definedName name="france">#REF!</definedName>
    <definedName name="free">#REF!</definedName>
    <definedName name="g">#REF!</definedName>
    <definedName name="GAM">[6]REF!$L$9:$L$19</definedName>
    <definedName name="ge_if">#REF!</definedName>
    <definedName name="ge_o">#REF!</definedName>
    <definedName name="ge_pf">#REF!</definedName>
    <definedName name="ge_sf">#REF!</definedName>
    <definedName name="Geograohy">[14]REF!#REF!</definedName>
    <definedName name="Geography">[6]REF!$R$9:$R$12</definedName>
    <definedName name="Gepgraphy" localSheetId="0">[14]REF!#REF!</definedName>
    <definedName name="Gepgraphy">[14]REF!#REF!</definedName>
    <definedName name="Geraetetyp1" localSheetId="0">#REF!</definedName>
    <definedName name="Geraetetyp1">#REF!</definedName>
    <definedName name="Geraetetyp2" localSheetId="0">#REF!</definedName>
    <definedName name="Geraetetyp2">#REF!</definedName>
    <definedName name="Geraetetyp3" localSheetId="0">#REF!</definedName>
    <definedName name="Geraetetyp3">#REF!</definedName>
    <definedName name="Geraetetyp4">#REF!</definedName>
    <definedName name="Geraetetyp5">#REF!</definedName>
    <definedName name="germany">#REF!</definedName>
    <definedName name="goodsabbr.">[16]items!#REF!</definedName>
    <definedName name="h" localSheetId="0">#REF!</definedName>
    <definedName name="h">#REF!</definedName>
    <definedName name="HEADER" localSheetId="0">'[3]MALAYSIA &amp; Phillipine Hardware'!#REF!</definedName>
    <definedName name="HEADER">'[3]MALAYSIA &amp; Phillipine Hardware'!#REF!</definedName>
    <definedName name="home" localSheetId="0">#REF!</definedName>
    <definedName name="home">#REF!</definedName>
    <definedName name="home2" localSheetId="0">'[17]3. Benchmark Prices'!#REF!</definedName>
    <definedName name="home2">'[17]3. Benchmark Prices'!#REF!</definedName>
    <definedName name="Hunting">[6]REF!$S$9:$S$10</definedName>
    <definedName name="i">#REF!</definedName>
    <definedName name="identified">#REF!</definedName>
    <definedName name="IM_350">Device!#REF!</definedName>
    <definedName name="IM_350F" localSheetId="5">Device!$A$8</definedName>
    <definedName name="IM_350F">'Global IMACD Form'!#REF!</definedName>
    <definedName name="IM_C300">Device!#REF!</definedName>
    <definedName name="IM_C3000___Base" localSheetId="5">Device!$A$4</definedName>
    <definedName name="IM_C3000___Base">'Global IMACD Form'!#REF!</definedName>
    <definedName name="IM_C3000___w_finisher" localSheetId="5">Device!$A$5</definedName>
    <definedName name="IM_C3000___w_finisher">'Global IMACD Form'!#REF!</definedName>
    <definedName name="IM_C3000_Base">Device!#REF!</definedName>
    <definedName name="IM_C3000_w_finisher">Device!#REF!</definedName>
    <definedName name="IM_C300F" localSheetId="5">Device!$A$15</definedName>
    <definedName name="IM_C300F">'Global IMACD Form'!#REF!</definedName>
    <definedName name="IM_C3500" localSheetId="0">'Global IMACD Form'!#REF!</definedName>
    <definedName name="IM_C3500">Device!$A$13</definedName>
    <definedName name="IM_C6000" localSheetId="0">'Global IMACD Form'!#REF!</definedName>
    <definedName name="IM_C6000">Device!$A$6</definedName>
    <definedName name="Impact">[6]REF!$AE$9:$AE$11</definedName>
    <definedName name="IMSFref">[13]Data!$O$2</definedName>
    <definedName name="Influence">[6]REF!$Q$9:$Q$10</definedName>
    <definedName name="Inquiry_A" localSheetId="0">#REF!</definedName>
    <definedName name="Inquiry_A">#REF!</definedName>
    <definedName name="Inquiry_B" localSheetId="0">#REF!</definedName>
    <definedName name="Inquiry_B">#REF!</definedName>
    <definedName name="Inquiry_C" localSheetId="0">#REF!</definedName>
    <definedName name="Inquiry_C">#REF!</definedName>
    <definedName name="Inquiry_D">#REF!</definedName>
    <definedName name="it_if">#REF!</definedName>
    <definedName name="it_o">#REF!</definedName>
    <definedName name="it_pf">#REF!</definedName>
    <definedName name="it_sf">#REF!</definedName>
    <definedName name="italy">#REF!</definedName>
    <definedName name="j">#REF!</definedName>
    <definedName name="jan">'[5]5.72%'!$D$6:$K$187</definedName>
    <definedName name="JanTable" localSheetId="0">#REF!</definedName>
    <definedName name="JanTable">#REF!</definedName>
    <definedName name="JCI" localSheetId="0">#REF!</definedName>
    <definedName name="JCI">#REF!</definedName>
    <definedName name="JPY_RATE" localSheetId="0">'[3]MALAYSIA &amp; Phillipine Hardware'!#REF!</definedName>
    <definedName name="JPY_RATE">'[3]MALAYSIA &amp; Phillipine Hardware'!#REF!</definedName>
    <definedName name="k" localSheetId="0">#REF!</definedName>
    <definedName name="k">#REF!</definedName>
    <definedName name="Konzern">#REF!</definedName>
    <definedName name="Konzernnr">#REF!</definedName>
    <definedName name="Kunde">#REF!</definedName>
    <definedName name="Kundenname">#REF!</definedName>
    <definedName name="Kundennr">#REF!</definedName>
    <definedName name="l">#REF!</definedName>
    <definedName name="Lease">[6]REF!$V$9:$V$13</definedName>
    <definedName name="Level_1_Price_List_Europe_Direct_Margin">'[18]Costs-Notes'!$C$13</definedName>
    <definedName name="Level_1_Price_List_Europe_Indirect_Margin">'[18]Costs-Notes'!$C$14</definedName>
    <definedName name="Level_1_Price_List_MEA_Margin">'[18]Costs-Notes'!$C$15</definedName>
    <definedName name="Level_1_Price_List_Service_Price" localSheetId="0">'[18]Costs-Notes'!#REF!</definedName>
    <definedName name="Level_1_Price_List_Service_Price">'[18]Costs-Notes'!#REF!</definedName>
    <definedName name="Level_2_Price_List_Europe_Direct_Margin">'[18]Costs-Notes'!$C$19</definedName>
    <definedName name="Level_2_Price_List_Europe_Indirect_Margin">'[18]Costs-Notes'!$C$20</definedName>
    <definedName name="Level_2_Price_List_MEA_Margin">'[18]Costs-Notes'!$C$21</definedName>
    <definedName name="Level_2_Price_List_Service_Price" localSheetId="0">'[18]Costs-Notes'!#REF!</definedName>
    <definedName name="Level_2_Price_List_Service_Price">'[18]Costs-Notes'!#REF!</definedName>
    <definedName name="ListAcquisitionMethod">[4]Parameters!$F$4:$F$6</definedName>
    <definedName name="ListBaseBillingFrequency">[4]Parameters!$D$4:$D$10</definedName>
    <definedName name="ListExpireByMeter">[4]Parameters!$C$4:$C$6</definedName>
    <definedName name="ListLeaseType">[4]Parameters!$A$4:$A$17</definedName>
    <definedName name="ListMeterBillingFrequency">[4]Parameters!$E$4:$E$10</definedName>
    <definedName name="ListPayTerms">[4]Parameters!$C$19:$C$68</definedName>
    <definedName name="ListRentalPlan">[4]Parameters!$B$19:$B$21</definedName>
    <definedName name="ListRentalType">[4]Parameters!$B$4:$B$9</definedName>
    <definedName name="ListServicePlan">[4]Parameters!$A$19:$A$43</definedName>
    <definedName name="LOCAL_CURRENCY" localSheetId="0">'[3]MALAYSIA &amp; Phillipine Hardware'!#REF!</definedName>
    <definedName name="LOCAL_CURRENCY">'[3]MALAYSIA &amp; Phillipine Hardware'!#REF!</definedName>
    <definedName name="LOCAL_RATE" localSheetId="0">'[3]MALAYSIA &amp; Phillipine Hardware'!#REF!</definedName>
    <definedName name="LOCAL_RATE">'[3]MALAYSIA &amp; Phillipine Hardware'!#REF!</definedName>
    <definedName name="LOYER" localSheetId="0">#REF!</definedName>
    <definedName name="LOYER">#REF!</definedName>
    <definedName name="lstLaufzeiten">[8]Refs!$C$8:$C$15</definedName>
    <definedName name="lstSupMSTypen">[8]Refs!$I$62:$J$68</definedName>
    <definedName name="m">#REF!</definedName>
    <definedName name="MARGESIEGE">[9]PL!$R$78</definedName>
    <definedName name="MargeSNCOPIE" localSheetId="0">#REF!</definedName>
    <definedName name="MargeSNCOPIE">#REF!</definedName>
    <definedName name="MargeSNMAT" localSheetId="0">#REF!</definedName>
    <definedName name="MargeSNMAT">#REF!</definedName>
    <definedName name="MargeSNTotal" localSheetId="0">#REF!</definedName>
    <definedName name="MargeSNTotal">#REF!</definedName>
    <definedName name="Master">[6]REF!$U$9:$U$13</definedName>
    <definedName name="MBACC">[9]PL!$R$82</definedName>
    <definedName name="mbeqpt">[19]SYNTHESE!$B$5</definedName>
    <definedName name="MBréelleUnitaire" localSheetId="0">#REF!</definedName>
    <definedName name="MBréelleUnitaire">#REF!</definedName>
    <definedName name="MeterName">[4]Parameters!$J$5:$J$13</definedName>
    <definedName name="mf">#REF!</definedName>
    <definedName name="mfp1302f">#REF!</definedName>
    <definedName name="mfpc213d">#REF!</definedName>
    <definedName name="mfpdcs224">#REF!</definedName>
    <definedName name="mfpdcs232">#REF!</definedName>
    <definedName name="mfpdcs38">#REF!</definedName>
    <definedName name="mg">#REF!</definedName>
    <definedName name="MG_ROW">'[2]AP Purchase &amp; Lease Price'!#REF!</definedName>
    <definedName name="mi" localSheetId="0">#REF!</definedName>
    <definedName name="mi">#REF!</definedName>
    <definedName name="Mindestvolumen" localSheetId="0">#REF!</definedName>
    <definedName name="Mindestvolumen">#REF!</definedName>
    <definedName name="mn">#REF!</definedName>
    <definedName name="ModelList">#REF!</definedName>
    <definedName name="Models">#REF!</definedName>
    <definedName name="models_inc">#REF!</definedName>
    <definedName name="Month_12">'[1]US Price List'!#REF!</definedName>
    <definedName name="Month_24">'[1]US Price List'!#REF!</definedName>
    <definedName name="Month_30">'[1]US Price List'!#REF!</definedName>
    <definedName name="Month_36">'[1]US Price List'!#REF!</definedName>
    <definedName name="Month_36_Ana">'[1]US Price List'!#REF!</definedName>
    <definedName name="Month_36_Dig">'[1]US Price List'!#REF!</definedName>
    <definedName name="Month_39">'[1]US Price List'!#REF!</definedName>
    <definedName name="Month_42">'[1]US Price List'!#REF!</definedName>
    <definedName name="Month_48">'[1]US Price List'!#REF!</definedName>
    <definedName name="Month_54">'[1]US Price List'!#REF!</definedName>
    <definedName name="Month_60">'[1]US Price List'!#REF!</definedName>
    <definedName name="months">#REF!</definedName>
    <definedName name="MP_2555">Device!#REF!</definedName>
    <definedName name="MP_2555SP" localSheetId="5">Device!$A$10</definedName>
    <definedName name="MP_2555SP">'Global IMACD Form'!#REF!</definedName>
    <definedName name="MP_3555">Device!#REF!</definedName>
    <definedName name="MP_3555SP" localSheetId="5">Device!$A$11</definedName>
    <definedName name="MP_3555SP">'Global IMACD Form'!#REF!</definedName>
    <definedName name="MP_6055">Device!#REF!</definedName>
    <definedName name="MP_6055SP" localSheetId="5">Device!$A$12</definedName>
    <definedName name="MP_6055SP">'Global IMACD Form'!#REF!</definedName>
    <definedName name="mtl_Volumen">#REF!</definedName>
    <definedName name="mtl_Volumen_pro_System">#REF!</definedName>
    <definedName name="mtp1data">[20]mtp1!$B$4:$CG$148</definedName>
    <definedName name="mu" localSheetId="0">#REF!</definedName>
    <definedName name="mu">#REF!</definedName>
    <definedName name="muk">#REF!</definedName>
    <definedName name="n">#REF!</definedName>
    <definedName name="NA_ROW">'[3]MALAYSIA &amp; Phillipine Hardware'!#REF!</definedName>
    <definedName name="NBFiliale" localSheetId="0">#REF!</definedName>
    <definedName name="NBFiliale">#REF!</definedName>
    <definedName name="NBRicoh" localSheetId="0">#REF!</definedName>
    <definedName name="NBRicoh">#REF!</definedName>
    <definedName name="Nbtotal" localSheetId="0">#REF!</definedName>
    <definedName name="Nbtotal">#REF!</definedName>
    <definedName name="ne_if">#REF!</definedName>
    <definedName name="ne_o">#REF!</definedName>
    <definedName name="ne_pf">#REF!</definedName>
    <definedName name="ne_sf">#REF!</definedName>
    <definedName name="netherlands">#REF!</definedName>
    <definedName name="new">'[21]REBV  price list effective from'!$G$2:$S$194</definedName>
    <definedName name="newcheck" localSheetId="0">#REF!</definedName>
    <definedName name="newcheck">#REF!</definedName>
    <definedName name="newprice" localSheetId="0">#REF!</definedName>
    <definedName name="newprice">#REF!</definedName>
    <definedName name="NORMAL_ROW" localSheetId="0">'[3]MALAYSIA &amp; Phillipine Hardware'!#REF!</definedName>
    <definedName name="NORMAL_ROW">'[3]MALAYSIA &amp; Phillipine Hardware'!#REF!</definedName>
    <definedName name="o" localSheetId="0">#REF!</definedName>
    <definedName name="o">#REF!</definedName>
    <definedName name="oct">'[5]1,45%'!$A$2:$F$218</definedName>
    <definedName name="Oldtable" localSheetId="0">#REF!</definedName>
    <definedName name="Oldtable">#REF!</definedName>
    <definedName name="OpCo">[6]REF!$M$9:$M$30</definedName>
    <definedName name="p">#REF!</definedName>
    <definedName name="P_502_501M" localSheetId="0">'Global IMACD Form'!#REF!</definedName>
    <definedName name="P_502_501M">Device!$A$3</definedName>
    <definedName name="P_C600" localSheetId="0">'Global IMACD Form'!#REF!</definedName>
    <definedName name="P_C600">Device!$A$9</definedName>
    <definedName name="PARLOC">[9]PL!$X$78</definedName>
    <definedName name="PARTA3COUL">[9]PL!$X$80</definedName>
    <definedName name="PARTA3NB">[9]PL!$X$79</definedName>
    <definedName name="PartieMAT" localSheetId="0">#REF!</definedName>
    <definedName name="PartieMAT">#REF!</definedName>
    <definedName name="Pay" localSheetId="0">[14]REF!#REF!</definedName>
    <definedName name="Pay">[14]REF!#REF!</definedName>
    <definedName name="Penalties" localSheetId="0">[14]REF!#REF!</definedName>
    <definedName name="Penalties">[14]REF!#REF!</definedName>
    <definedName name="Penalty">[14]REF!#REF!</definedName>
    <definedName name="PLWC_Header">[8]PLWC!$A$2:$AD$2</definedName>
    <definedName name="PLWCA_Header">[8]PLWCA!$A$2:$AD$2</definedName>
    <definedName name="PLWS_Header">[8]PLWS!$A$2:$AD$2</definedName>
    <definedName name="PLWSA_Header">[8]PLWSA!$A$2:$AD$2</definedName>
    <definedName name="PLZ_Ort" localSheetId="0">#REF!</definedName>
    <definedName name="PLZ_Ort">#REF!</definedName>
    <definedName name="potential" localSheetId="0">#REF!</definedName>
    <definedName name="potential">#REF!</definedName>
    <definedName name="Potential_ModelsYN_Start" localSheetId="0">'[11]2. Potential'!#REF!</definedName>
    <definedName name="Potential_ModelsYN_Start">'[11]2. Potential'!#REF!</definedName>
    <definedName name="pourcentageautoMBcopieur" localSheetId="0">#REF!</definedName>
    <definedName name="pourcentageautoMBcopieur">#REF!</definedName>
    <definedName name="PP_ROW" localSheetId="0">'[2]AP Purchase &amp; Lease Price'!#REF!</definedName>
    <definedName name="PP_ROW">'[2]AP Purchase &amp; Lease Price'!#REF!</definedName>
    <definedName name="price">[22]prices!$D$4:$G$169</definedName>
    <definedName name="PriceDataTable" localSheetId="0">#REF!</definedName>
    <definedName name="PriceDataTable">#REF!</definedName>
    <definedName name="PriceListType">[4]Parameters!$H$20:$H$35</definedName>
    <definedName name="Primeauto" localSheetId="0">#REF!</definedName>
    <definedName name="Primeauto">#REF!</definedName>
    <definedName name="Primemanuelle" localSheetId="0">#REF!</definedName>
    <definedName name="Primemanuelle">#REF!</definedName>
    <definedName name="_xlnm.Print_Area" localSheetId="0">'Global IMACD Form'!$A$1:$G$102</definedName>
    <definedName name="_xlnm.Print_Area">#REF!</definedName>
    <definedName name="Print_Area_MI" localSheetId="0">#REF!</definedName>
    <definedName name="Print_Area_MI">#REF!</definedName>
    <definedName name="Print_Titles_MI" localSheetId="0">#REF!</definedName>
    <definedName name="Print_Titles_MI">#REF!</definedName>
    <definedName name="print1">#REF!</definedName>
    <definedName name="print2">#REF!</definedName>
    <definedName name="print3">#REF!</definedName>
    <definedName name="print4">#REF!</definedName>
    <definedName name="print5">#REF!</definedName>
    <definedName name="printc7010">#REF!</definedName>
    <definedName name="printc7116">#REF!</definedName>
    <definedName name="printer">#REF!</definedName>
    <definedName name="printp6319">#REF!</definedName>
    <definedName name="printp7032">#REF!</definedName>
    <definedName name="printp7126">#REF!</definedName>
    <definedName name="printp7145">#REF!</definedName>
    <definedName name="PrixCopieRéelEtude">#REF!</definedName>
    <definedName name="Prixdeventeunitaire">#REF!</definedName>
    <definedName name="PRODUCT">#REF!</definedName>
    <definedName name="PROVISIONPX">[9]PL!$R$77</definedName>
    <definedName name="qa">#REF!</definedName>
    <definedName name="qb">#REF!</definedName>
    <definedName name="qc">#REF!</definedName>
    <definedName name="qd">#REF!</definedName>
    <definedName name="qe">#REF!</definedName>
    <definedName name="qf">#REF!</definedName>
    <definedName name="qg">#REF!</definedName>
    <definedName name="qh">#REF!</definedName>
    <definedName name="qi">#REF!</definedName>
    <definedName name="qj">#REF!</definedName>
    <definedName name="ql">#REF!</definedName>
    <definedName name="qm">#REF!</definedName>
    <definedName name="qn">#REF!</definedName>
    <definedName name="qo">#REF!</definedName>
    <definedName name="qp">#REF!</definedName>
    <definedName name="RACHAT">#REF!</definedName>
    <definedName name="RACHATFF">#REF!</definedName>
    <definedName name="RATE">[23]Sheet1!$F$1</definedName>
    <definedName name="rates" localSheetId="0">#REF!</definedName>
    <definedName name="rates">#REF!</definedName>
    <definedName name="RATIOBtoC" localSheetId="0">#REF!</definedName>
    <definedName name="RATIOBtoC">#REF!</definedName>
    <definedName name="rauum" localSheetId="0">#REF!</definedName>
    <definedName name="rauum">#REF!</definedName>
    <definedName name="rauum2">#REF!</definedName>
    <definedName name="rbbum">#REF!</definedName>
    <definedName name="rbbum2">#REF!</definedName>
    <definedName name="rdgum">#REF!</definedName>
    <definedName name="rdgum2">#REF!</definedName>
    <definedName name="REDUCEQT">[9]PL!$R$76</definedName>
    <definedName name="REDUCOPIE">[9]PL!$R$75</definedName>
    <definedName name="refCatFH">[8]Refs!$G$54</definedName>
    <definedName name="refCatVol">[8]Refs!$K$49:$L$54</definedName>
    <definedName name="refCatVol1234">[8]Refs!$I$49:$I$54</definedName>
    <definedName name="refCatVolPflicht">[8]Refs!$H$49:$H$54</definedName>
    <definedName name="refCatWartung">[8]Refs!$B$49:$E$54</definedName>
    <definedName name="refSupCatLevel">[8]Refs!$C$62:$F$65</definedName>
    <definedName name="Region">[14]REF!$Y$9:$Y$11</definedName>
    <definedName name="Relationship">[6]REF!$J$9:$J$12</definedName>
    <definedName name="REMISEMOPA">[9]PL!$R$79</definedName>
    <definedName name="REMISESUP" localSheetId="0">#REF!</definedName>
    <definedName name="REMISESUP">#REF!</definedName>
    <definedName name="RentalBillingRule">[4]Parameters!$F$20:$F$21</definedName>
    <definedName name="RentalType">[4]Parameters!$G$20:$G$23</definedName>
    <definedName name="RentalType_1">[4]Parameters!$G$20:$G$23</definedName>
    <definedName name="Request_Range">#REF!</definedName>
    <definedName name="resum" localSheetId="0">#REF!</definedName>
    <definedName name="resum">#REF!</definedName>
    <definedName name="resum2" localSheetId="0">#REF!</definedName>
    <definedName name="resum2">#REF!</definedName>
    <definedName name="return">[24]Questionnaire!$V$3:$W$3</definedName>
    <definedName name="RFP?">[6]REF!$F$9:$F$13</definedName>
    <definedName name="rfrum" localSheetId="0">#REF!</definedName>
    <definedName name="rfrum">#REF!</definedName>
    <definedName name="rfrum2" localSheetId="0">#REF!</definedName>
    <definedName name="rfrum2">#REF!</definedName>
    <definedName name="RHQ_CURRENCY" localSheetId="0">'[3]MALAYSIA &amp; Phillipine Hardware'!#REF!</definedName>
    <definedName name="RHQ_CURRENCY">'[3]MALAYSIA &amp; Phillipine Hardware'!#REF!</definedName>
    <definedName name="rhuum" localSheetId="0">#REF!</definedName>
    <definedName name="rhuum">#REF!</definedName>
    <definedName name="rhuum2" localSheetId="0">#REF!</definedName>
    <definedName name="rhuum2">#REF!</definedName>
    <definedName name="ritum" localSheetId="0">#REF!</definedName>
    <definedName name="ritum">#REF!</definedName>
    <definedName name="ritum2">#REF!</definedName>
    <definedName name="rnl">#REF!</definedName>
    <definedName name="rnoum">#REF!</definedName>
    <definedName name="rnoum2">#REF!</definedName>
    <definedName name="ronum">#REF!</definedName>
    <definedName name="ronum2">#REF!</definedName>
    <definedName name="rpbum">#REF!</definedName>
    <definedName name="rpbum2">#REF!</definedName>
    <definedName name="rpoum">#REF!</definedName>
    <definedName name="rpoum2">#REF!</definedName>
    <definedName name="RSCPR">#REF!</definedName>
    <definedName name="rukum">#REF!</definedName>
    <definedName name="rukum2">#REF!</definedName>
    <definedName name="S_L_III">'[1]US Price List'!#REF!</definedName>
    <definedName name="SAPBEXrevision" hidden="1">1</definedName>
    <definedName name="SAPBEXsysID" hidden="1">"P23"</definedName>
    <definedName name="SAPBEXwbID" hidden="1">"3YI27O7H47V86Z2HLE2WED5BJ"</definedName>
    <definedName name="SCM">[6]REF!$C$9:$C$10</definedName>
    <definedName name="Seriennr1" localSheetId="0">#REF!</definedName>
    <definedName name="Seriennr1">#REF!</definedName>
    <definedName name="Seriennr2" localSheetId="0">#REF!</definedName>
    <definedName name="Seriennr2">#REF!</definedName>
    <definedName name="Seriennr3" localSheetId="0">#REF!</definedName>
    <definedName name="Seriennr3">#REF!</definedName>
    <definedName name="Seriennr4">#REF!</definedName>
    <definedName name="Seriennr5">#REF!</definedName>
    <definedName name="Service">#REF!</definedName>
    <definedName name="ServiceBaseBilling">[4]Parameters!$E$20:$E$23</definedName>
    <definedName name="Single">[6]REF!$T$9:$T$10</definedName>
    <definedName name="SP_6430">Device!#REF!</definedName>
    <definedName name="SP_6430DN" localSheetId="5">Device!$A$7</definedName>
    <definedName name="SP_6430DN">'Global IMACD Form'!#REF!</definedName>
    <definedName name="SP_C840">Device!#REF!</definedName>
    <definedName name="SP_C840DN" localSheetId="5">Device!$A$14</definedName>
    <definedName name="SP_C840DN">'Global IMACD Form'!#REF!</definedName>
    <definedName name="SRP" localSheetId="0">#REF!</definedName>
    <definedName name="SRP">#REF!</definedName>
    <definedName name="Standort" localSheetId="0">#REF!</definedName>
    <definedName name="Standort">#REF!</definedName>
    <definedName name="Status">#REF!</definedName>
    <definedName name="Strasse" localSheetId="0">#REF!</definedName>
    <definedName name="Strasse">#REF!</definedName>
    <definedName name="SumVol">#REF!</definedName>
    <definedName name="SumVolB">#REF!</definedName>
    <definedName name="SumVolC">#REF!</definedName>
    <definedName name="Support">#REF!</definedName>
    <definedName name="SUPPORTINIT">[9]PL!$T$79</definedName>
    <definedName name="Systeme" localSheetId="0">#REF!</definedName>
    <definedName name="Systeme">#REF!</definedName>
    <definedName name="Table2" localSheetId="0">#REF!</definedName>
    <definedName name="Table2">#REF!</definedName>
    <definedName name="TableName">"Dummy"</definedName>
    <definedName name="TABLETAUXFI">#REF!</definedName>
    <definedName name="test">#REF!</definedName>
    <definedName name="tmpCalcWartung">#REF!</definedName>
    <definedName name="total">#REF!</definedName>
    <definedName name="total_hardware_potential" localSheetId="0">'[15]A. Model Selection'!#REF!</definedName>
    <definedName name="total_hardware_potential">'[15]A. Model Selection'!#REF!</definedName>
    <definedName name="TOTALRETROAUTO" localSheetId="0">#REF!</definedName>
    <definedName name="TOTALRETROAUTO">#REF!</definedName>
    <definedName name="TOTCOUTSTEC">#REF!</definedName>
    <definedName name="TOTMBMAT">#REF!</definedName>
    <definedName name="TRANSP">[9]PL!$F$84</definedName>
    <definedName name="Transportation_Cost_Europe_Direct">'[18]Costs-Notes'!$B$31</definedName>
    <definedName name="txmfp">'[25]2. Potential'!$H$31</definedName>
    <definedName name="txprint">'[25]2. Potential'!$J$31</definedName>
    <definedName name="Type">[6]REF!$E$9:$E$12</definedName>
    <definedName name="uk">#REF!</definedName>
    <definedName name="uk_if">#REF!</definedName>
    <definedName name="uk_o">#REF!</definedName>
    <definedName name="uk_pf">#REF!</definedName>
    <definedName name="uk_sf">#REF!</definedName>
    <definedName name="units_inc">#REF!</definedName>
    <definedName name="UnitStart">#REF!</definedName>
    <definedName name="Unsupported_Price_List_Europe_Direct_Margin">'[18]Costs-Notes'!$C$7</definedName>
    <definedName name="Unsupported_Price_List_Europe_Indirect_Margin">'[18]Costs-Notes'!$C$8</definedName>
    <definedName name="Unsupported_Price_List_MEA_Margin">'[18]Costs-Notes'!$C$9</definedName>
    <definedName name="Unsupported_Price_List_Service_Price" localSheetId="0">'[18]Costs-Notes'!#REF!</definedName>
    <definedName name="Unsupported_Price_List_Service_Price">'[18]Costs-Notes'!#REF!</definedName>
    <definedName name="upp" localSheetId="0">#REF!</definedName>
    <definedName name="upp">#REF!</definedName>
    <definedName name="UPPtable" localSheetId="0">#REF!</definedName>
    <definedName name="UPPtable">#REF!</definedName>
    <definedName name="USA_BL_ROW" localSheetId="0">'[2]AP Purchase &amp; Lease Price'!#REF!</definedName>
    <definedName name="USA_BL_ROW">'[2]AP Purchase &amp; Lease Price'!#REF!</definedName>
    <definedName name="USA_MG_ROW">'[2]AP Purchase &amp; Lease Price'!#REF!</definedName>
    <definedName name="USA_NORMAL_ROW">'[3]MALAYSIA &amp; Phillipine Hardware'!#REF!</definedName>
    <definedName name="USA_PP_ROW">'[2]AP Purchase &amp; Lease Price'!#REF!</definedName>
    <definedName name="Version" localSheetId="0">#REF!</definedName>
    <definedName name="Version">#REF!</definedName>
    <definedName name="Vertragsende" localSheetId="0">#REF!</definedName>
    <definedName name="Vertragsende">#REF!</definedName>
    <definedName name="VGW" localSheetId="0">#REF!</definedName>
    <definedName name="VGW">#REF!</definedName>
    <definedName name="VIEMACHINE">[9]PL!$X$75</definedName>
    <definedName name="VOLTOT2" localSheetId="0">#REF!</definedName>
    <definedName name="VOLTOT2">#REF!</definedName>
    <definedName name="VolumeMensuel" localSheetId="0">#REF!</definedName>
    <definedName name="VolumeMensuel">#REF!</definedName>
    <definedName name="Yes">[6]REF!$A$9:$A$10</definedName>
    <definedName name="Yes_No">#REF!</definedName>
    <definedName name="ZONE" localSheetId="0">#REF!</definedName>
    <definedName name="ZONE">#REF!</definedName>
  </definedNames>
  <calcPr calcId="18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14" i="58" l="1"/>
  <c r="E14" i="58"/>
  <c r="G19" i="49" l="1"/>
  <c r="G23" i="49" s="1"/>
  <c r="I19" i="49"/>
  <c r="G26" i="49"/>
  <c r="G25" i="49" l="1"/>
  <c r="G20" i="49" l="1"/>
  <c r="G22" i="49" l="1"/>
  <c r="G21" i="49"/>
  <c r="HT109" i="51" l="1"/>
  <c r="HS109" i="51"/>
  <c r="HR109" i="51"/>
  <c r="HQ109" i="51"/>
  <c r="HP109" i="51"/>
  <c r="HO109" i="51"/>
  <c r="HN109" i="51"/>
  <c r="HM109" i="51"/>
  <c r="HL109" i="51"/>
  <c r="HK109" i="51"/>
  <c r="HJ109" i="51"/>
  <c r="HI109" i="51"/>
  <c r="HH109" i="51"/>
  <c r="HG109" i="51"/>
  <c r="HF109" i="51"/>
  <c r="HE109" i="51"/>
  <c r="HD109" i="51"/>
  <c r="HC109" i="51"/>
  <c r="HB109" i="51"/>
  <c r="HA109" i="51"/>
  <c r="GZ109" i="51"/>
  <c r="GY109" i="51"/>
  <c r="GX109" i="51"/>
  <c r="GW109" i="51"/>
  <c r="GV109" i="51"/>
  <c r="GU109" i="51"/>
  <c r="GT109" i="51"/>
  <c r="GS109" i="51"/>
  <c r="GR109" i="51"/>
  <c r="GQ109" i="51"/>
  <c r="GP109" i="51"/>
  <c r="GO109" i="51"/>
  <c r="GN109" i="51"/>
  <c r="GM109" i="51"/>
  <c r="GL109" i="51"/>
  <c r="GK109" i="51"/>
  <c r="GJ109" i="51"/>
  <c r="GI109" i="51"/>
  <c r="GH109" i="51"/>
  <c r="GG109" i="51"/>
  <c r="GF109" i="51"/>
  <c r="GE109" i="51"/>
  <c r="GD109" i="51"/>
  <c r="GC109" i="51"/>
  <c r="GB109" i="51"/>
  <c r="GA109" i="51"/>
  <c r="FZ109" i="51"/>
  <c r="FY109" i="51"/>
  <c r="FX109" i="51"/>
  <c r="FW109" i="51"/>
  <c r="FV109" i="51"/>
  <c r="FU109" i="51"/>
  <c r="FT109" i="51"/>
  <c r="FS109" i="51"/>
  <c r="FR109" i="51"/>
  <c r="FQ109" i="51"/>
  <c r="FP109" i="51"/>
  <c r="FO109" i="51"/>
  <c r="FN109" i="51"/>
  <c r="FM109" i="51"/>
  <c r="FL109" i="51"/>
  <c r="FK109" i="51"/>
  <c r="FJ109" i="51"/>
  <c r="FI109" i="51"/>
  <c r="FH109" i="51"/>
  <c r="FG109" i="51"/>
  <c r="FF109" i="51"/>
  <c r="FE109" i="51"/>
  <c r="FD109" i="51"/>
  <c r="FC109" i="51"/>
  <c r="FB109" i="51"/>
  <c r="FA109" i="51"/>
  <c r="EZ109" i="51"/>
  <c r="EY109" i="51"/>
  <c r="EX109" i="51"/>
  <c r="EW109" i="51"/>
  <c r="EV109" i="51"/>
  <c r="EU109" i="51"/>
  <c r="ET109" i="51"/>
  <c r="ES109" i="51"/>
  <c r="ER109" i="51"/>
  <c r="EQ109" i="51"/>
  <c r="EP109" i="51"/>
  <c r="EO109" i="51"/>
  <c r="EN109" i="51"/>
  <c r="EM109" i="51"/>
  <c r="EL109" i="51"/>
  <c r="EK109" i="51"/>
  <c r="EJ109" i="51"/>
  <c r="EI109" i="51"/>
  <c r="EH109" i="51"/>
  <c r="EG109" i="51"/>
  <c r="EF109" i="51"/>
  <c r="EE109" i="51"/>
  <c r="ED109" i="51"/>
  <c r="EC109" i="51"/>
  <c r="EB109" i="51"/>
  <c r="EA109" i="51"/>
  <c r="DZ109" i="51"/>
  <c r="DY109" i="51"/>
  <c r="DX109" i="51"/>
  <c r="DW109" i="51"/>
  <c r="DV109" i="51"/>
  <c r="DU109" i="51"/>
  <c r="DT109" i="51"/>
  <c r="DS109" i="51"/>
  <c r="DR109" i="51"/>
  <c r="DQ109" i="51"/>
  <c r="DP109" i="51"/>
  <c r="DO109" i="51"/>
  <c r="DN109" i="51"/>
  <c r="DM109" i="51"/>
  <c r="DL109" i="51"/>
  <c r="DK109" i="51"/>
  <c r="DJ109" i="51"/>
  <c r="DI109" i="51"/>
  <c r="DH109" i="51"/>
  <c r="DG109" i="51"/>
  <c r="DF109" i="51"/>
  <c r="DE109" i="51"/>
  <c r="DD109" i="51"/>
  <c r="DC109" i="51"/>
  <c r="DB109" i="51"/>
  <c r="DA109" i="51"/>
  <c r="CZ109" i="51"/>
  <c r="CY109" i="51"/>
  <c r="CX109" i="51"/>
  <c r="CW109" i="51"/>
  <c r="CV109" i="51"/>
  <c r="CU109" i="51"/>
  <c r="CT109" i="51"/>
  <c r="CS109" i="51"/>
  <c r="CR109" i="51"/>
  <c r="CQ109" i="51"/>
  <c r="CP109" i="51"/>
  <c r="CO109" i="51"/>
  <c r="CN109" i="51"/>
  <c r="CM109" i="51"/>
  <c r="CL109" i="51"/>
  <c r="CK109" i="51"/>
  <c r="CJ109" i="51"/>
  <c r="CI109" i="51"/>
  <c r="CH109" i="51"/>
  <c r="CG109" i="51"/>
  <c r="CF109" i="51"/>
  <c r="CE109" i="51"/>
  <c r="CD109" i="51"/>
  <c r="CC109" i="51"/>
  <c r="CB109" i="51"/>
  <c r="CA109" i="51"/>
  <c r="BZ109" i="51"/>
  <c r="BY109" i="51"/>
  <c r="BX109" i="51"/>
  <c r="BW109" i="51"/>
  <c r="BV109" i="51"/>
  <c r="BU109" i="51"/>
  <c r="BT109" i="51"/>
  <c r="BS109" i="51"/>
  <c r="BR109" i="51"/>
  <c r="BQ109" i="51"/>
  <c r="BP109" i="51"/>
  <c r="BO109" i="51"/>
  <c r="BN109" i="51"/>
  <c r="BM109" i="51"/>
  <c r="BL109" i="51"/>
  <c r="BK109" i="51"/>
  <c r="BJ109" i="51"/>
  <c r="BI109" i="51"/>
  <c r="BH109" i="51"/>
  <c r="BG109" i="51"/>
  <c r="BF109" i="51"/>
  <c r="BE109" i="51"/>
  <c r="BD109" i="51"/>
  <c r="BC109" i="51"/>
  <c r="BB109" i="51"/>
  <c r="BA109" i="51"/>
  <c r="AZ109" i="51"/>
  <c r="AY109" i="51"/>
  <c r="AX109" i="51"/>
  <c r="AW109" i="51"/>
  <c r="AV109" i="51"/>
  <c r="AU109" i="51"/>
  <c r="AT109" i="51"/>
  <c r="AS109" i="51"/>
  <c r="AR109" i="51"/>
  <c r="AQ109" i="51"/>
  <c r="AP109" i="51"/>
  <c r="AO109" i="51"/>
  <c r="AN109" i="51"/>
  <c r="AM109" i="51"/>
  <c r="AL109" i="51"/>
  <c r="AK109" i="51"/>
  <c r="AJ109" i="51"/>
  <c r="AI109" i="51"/>
  <c r="AH109" i="51"/>
  <c r="AG109" i="51"/>
  <c r="AF109" i="51"/>
  <c r="AE109" i="51"/>
  <c r="AD109" i="51"/>
  <c r="AC109" i="51"/>
  <c r="AB109" i="51"/>
  <c r="AA109" i="51"/>
  <c r="Z109" i="51"/>
  <c r="Y109" i="51"/>
  <c r="X109" i="51"/>
  <c r="W109" i="51"/>
  <c r="V109" i="51"/>
  <c r="U109" i="51"/>
  <c r="T109" i="51"/>
  <c r="S109" i="51"/>
  <c r="R109" i="51"/>
  <c r="Q109" i="51"/>
  <c r="P109" i="51"/>
  <c r="O109" i="51"/>
  <c r="N109" i="51"/>
  <c r="M109" i="51"/>
  <c r="L109" i="51"/>
  <c r="K109" i="51"/>
  <c r="J109" i="51"/>
  <c r="I109" i="51"/>
  <c r="H109" i="51"/>
  <c r="G109" i="51"/>
  <c r="F109" i="51"/>
  <c r="IV108" i="51"/>
  <c r="IU108" i="51"/>
  <c r="IT108" i="51"/>
  <c r="IS108" i="51"/>
  <c r="IR108" i="51"/>
  <c r="IQ108" i="51"/>
  <c r="IP108" i="51"/>
  <c r="IO108" i="51"/>
  <c r="IN108" i="51"/>
  <c r="IM108" i="51"/>
  <c r="IL108" i="51"/>
  <c r="IK108" i="51"/>
  <c r="IJ108" i="51"/>
  <c r="II108" i="51"/>
  <c r="IH108" i="51"/>
  <c r="IG108" i="51"/>
  <c r="IF108" i="51"/>
  <c r="IE108" i="51"/>
  <c r="ID108" i="51"/>
  <c r="IC108" i="51"/>
  <c r="IB108" i="51"/>
  <c r="IA108" i="51"/>
  <c r="HZ108" i="51"/>
  <c r="HY108" i="51"/>
  <c r="HX108" i="51"/>
  <c r="HW108" i="51"/>
  <c r="HV108" i="51"/>
  <c r="HU108" i="51"/>
  <c r="HT108" i="51"/>
  <c r="HS108" i="51"/>
  <c r="HR108" i="51"/>
  <c r="HQ108" i="51"/>
  <c r="HP108" i="51"/>
  <c r="HO108" i="51"/>
  <c r="HN108" i="51"/>
  <c r="HM108" i="51"/>
  <c r="HL108" i="51"/>
  <c r="HK108" i="51"/>
  <c r="HJ108" i="51"/>
  <c r="HI108" i="51"/>
  <c r="HH108" i="51"/>
  <c r="HG108" i="51"/>
  <c r="HF108" i="51"/>
  <c r="HE108" i="51"/>
  <c r="HD108" i="51"/>
  <c r="HC108" i="51"/>
  <c r="HB108" i="51"/>
  <c r="HA108" i="51"/>
  <c r="GZ108" i="51"/>
  <c r="GY108" i="51"/>
  <c r="GX108" i="51"/>
  <c r="GW108" i="51"/>
  <c r="GV108" i="51"/>
  <c r="GU108" i="51"/>
  <c r="GT108" i="51"/>
  <c r="GS108" i="51"/>
  <c r="GR108" i="51"/>
  <c r="GQ108" i="51"/>
  <c r="GP108" i="51"/>
  <c r="GO108" i="51"/>
  <c r="GN108" i="51"/>
  <c r="GM108" i="51"/>
  <c r="GL108" i="51"/>
  <c r="GK108" i="51"/>
  <c r="GJ108" i="51"/>
  <c r="GI108" i="51"/>
  <c r="GH108" i="51"/>
  <c r="GG108" i="51"/>
  <c r="GF108" i="51"/>
  <c r="GE108" i="51"/>
  <c r="GD108" i="51"/>
  <c r="GC108" i="51"/>
  <c r="GB108" i="51"/>
  <c r="GA108" i="51"/>
  <c r="FZ108" i="51"/>
  <c r="FY108" i="51"/>
  <c r="FX108" i="51"/>
  <c r="FW108" i="51"/>
  <c r="FV108" i="51"/>
  <c r="FU108" i="51"/>
  <c r="FT108" i="51"/>
  <c r="FS108" i="51"/>
  <c r="FR108" i="51"/>
  <c r="FQ108" i="51"/>
  <c r="FP108" i="51"/>
  <c r="FO108" i="51"/>
  <c r="FN108" i="51"/>
  <c r="FM108" i="51"/>
  <c r="FL108" i="51"/>
  <c r="FK108" i="51"/>
  <c r="FJ108" i="51"/>
  <c r="FI108" i="51"/>
  <c r="FH108" i="51"/>
  <c r="FG108" i="51"/>
  <c r="FF108" i="51"/>
  <c r="FE108" i="51"/>
  <c r="FD108" i="51"/>
  <c r="FC108" i="51"/>
  <c r="FB108" i="51"/>
  <c r="FA108" i="51"/>
  <c r="EZ108" i="51"/>
  <c r="EY108" i="51"/>
  <c r="EX108" i="51"/>
  <c r="EW108" i="51"/>
  <c r="EV108" i="51"/>
  <c r="EU108" i="51"/>
  <c r="ET108" i="51"/>
  <c r="ES108" i="51"/>
  <c r="ER108" i="51"/>
  <c r="EQ108" i="51"/>
  <c r="EP108" i="51"/>
  <c r="EO108" i="51"/>
  <c r="EN108" i="51"/>
  <c r="EM108" i="51"/>
  <c r="EL108" i="51"/>
  <c r="EK108" i="51"/>
  <c r="EJ108" i="51"/>
  <c r="EI108" i="51"/>
  <c r="EH108" i="51"/>
  <c r="EG108" i="51"/>
  <c r="EF108" i="51"/>
  <c r="EE108" i="51"/>
  <c r="ED108" i="51"/>
  <c r="EC108" i="51"/>
  <c r="EB108" i="51"/>
  <c r="EA108" i="51"/>
  <c r="DZ108" i="51"/>
  <c r="DY108" i="51"/>
  <c r="DX108" i="51"/>
  <c r="DW108" i="51"/>
  <c r="DV108" i="51"/>
  <c r="DU108" i="51"/>
  <c r="DT108" i="51"/>
  <c r="DS108" i="51"/>
  <c r="DR108" i="51"/>
  <c r="DQ108" i="51"/>
  <c r="DP108" i="51"/>
  <c r="DO108" i="51"/>
  <c r="DN108" i="51"/>
  <c r="DM108" i="51"/>
  <c r="DL108" i="51"/>
  <c r="DK108" i="51"/>
  <c r="DJ108" i="51"/>
  <c r="DI108" i="51"/>
  <c r="DH108" i="51"/>
  <c r="DG108" i="51"/>
  <c r="DF108" i="51"/>
  <c r="DE108" i="51"/>
  <c r="DD108" i="51"/>
  <c r="DC108" i="51"/>
  <c r="DB108" i="51"/>
  <c r="DA108" i="51"/>
  <c r="CZ108" i="51"/>
  <c r="CY108" i="51"/>
  <c r="CX108" i="51"/>
  <c r="CW108" i="51"/>
  <c r="CV108" i="51"/>
  <c r="CU108" i="51"/>
  <c r="CT108" i="51"/>
  <c r="CS108" i="51"/>
  <c r="CR108" i="51"/>
  <c r="CQ108" i="51"/>
  <c r="CP108" i="51"/>
  <c r="CO108" i="51"/>
  <c r="CN108" i="51"/>
  <c r="CM108" i="51"/>
  <c r="CL108" i="51"/>
  <c r="CK108" i="51"/>
  <c r="CJ108" i="51"/>
  <c r="CI108" i="51"/>
  <c r="CH108" i="51"/>
  <c r="CG108" i="51"/>
  <c r="CF108" i="51"/>
  <c r="CE108" i="51"/>
  <c r="CD108" i="51"/>
  <c r="CC108" i="51"/>
  <c r="CB108" i="51"/>
  <c r="CA108" i="51"/>
  <c r="BZ108" i="51"/>
  <c r="BY108" i="51"/>
  <c r="BX108" i="51"/>
  <c r="BW108" i="51"/>
  <c r="BV108" i="51"/>
  <c r="BU108" i="51"/>
  <c r="BT108" i="51"/>
  <c r="BS108" i="51"/>
  <c r="BR108" i="51"/>
  <c r="BQ108" i="51"/>
  <c r="BP108" i="51"/>
  <c r="BO108" i="51"/>
  <c r="BN108" i="51"/>
  <c r="BM108" i="51"/>
  <c r="BL108" i="51"/>
  <c r="BK108" i="51"/>
  <c r="BJ108" i="51"/>
  <c r="BI108" i="51"/>
  <c r="BH108" i="51"/>
  <c r="BG108" i="51"/>
  <c r="BF108" i="51"/>
  <c r="BE108" i="51"/>
  <c r="BD108" i="51"/>
  <c r="BC108" i="51"/>
  <c r="BB108" i="51"/>
  <c r="BA108" i="51"/>
  <c r="AZ108" i="51"/>
  <c r="AY108" i="51"/>
  <c r="AX108" i="51"/>
  <c r="AW108" i="51"/>
  <c r="AV108" i="51"/>
  <c r="AU108" i="51"/>
  <c r="AT108" i="51"/>
  <c r="AS108" i="51"/>
  <c r="AR108" i="51"/>
  <c r="AQ108" i="51"/>
  <c r="AP108" i="51"/>
  <c r="AO108" i="51"/>
  <c r="AN108" i="51"/>
  <c r="AM108" i="51"/>
  <c r="AL108" i="51"/>
  <c r="AK108" i="51"/>
  <c r="AJ108" i="51"/>
  <c r="AI108" i="51"/>
  <c r="AH108" i="51"/>
  <c r="AG108" i="51"/>
  <c r="AF108" i="51"/>
  <c r="AE108" i="51"/>
  <c r="AD108" i="51"/>
  <c r="AC108" i="51"/>
  <c r="AB108" i="51"/>
  <c r="AA108" i="51"/>
  <c r="Z108" i="51"/>
  <c r="Y108" i="51"/>
  <c r="X108" i="51"/>
  <c r="W108" i="51"/>
  <c r="V108" i="51"/>
  <c r="U108" i="51"/>
  <c r="T108" i="51"/>
  <c r="S108" i="51"/>
  <c r="R108" i="51"/>
  <c r="Q108" i="51"/>
  <c r="P108" i="51"/>
  <c r="O108" i="51"/>
  <c r="N108" i="51"/>
  <c r="M108" i="51"/>
  <c r="L108" i="51"/>
  <c r="K108" i="51"/>
  <c r="J108" i="51"/>
  <c r="I108" i="51"/>
  <c r="H108" i="51"/>
  <c r="G108" i="51"/>
  <c r="F108" i="51"/>
  <c r="IV107" i="51"/>
  <c r="IU107" i="51"/>
  <c r="IT107" i="51"/>
  <c r="IS107" i="51"/>
  <c r="IR107" i="51"/>
  <c r="IQ107" i="51"/>
  <c r="IP107" i="51"/>
  <c r="IO107" i="51"/>
  <c r="IN107" i="51"/>
  <c r="IM107" i="51"/>
  <c r="IL107" i="51"/>
  <c r="IK107" i="51"/>
  <c r="IJ107" i="51"/>
  <c r="II107" i="51"/>
  <c r="IH107" i="51"/>
  <c r="IG107" i="51"/>
  <c r="IF107" i="51"/>
  <c r="IE107" i="51"/>
  <c r="ID107" i="51"/>
  <c r="IC107" i="51"/>
  <c r="IB107" i="51"/>
  <c r="IA107" i="51"/>
  <c r="HZ107" i="51"/>
  <c r="HY107" i="51"/>
  <c r="HX107" i="51"/>
  <c r="HW107" i="51"/>
  <c r="HV107" i="51"/>
  <c r="HU107" i="51"/>
  <c r="HT107" i="51"/>
  <c r="HS107" i="51"/>
  <c r="HR107" i="51"/>
  <c r="HQ107" i="51"/>
  <c r="HP107" i="51"/>
  <c r="HO107" i="51"/>
  <c r="HN107" i="51"/>
  <c r="HM107" i="51"/>
  <c r="HL107" i="51"/>
  <c r="HK107" i="51"/>
  <c r="HJ107" i="51"/>
  <c r="HI107" i="51"/>
  <c r="HH107" i="51"/>
  <c r="HG107" i="51"/>
  <c r="HF107" i="51"/>
  <c r="HE107" i="51"/>
  <c r="HD107" i="51"/>
  <c r="HC107" i="51"/>
  <c r="HB107" i="51"/>
  <c r="HA107" i="51"/>
  <c r="GZ107" i="51"/>
  <c r="GY107" i="51"/>
  <c r="GX107" i="51"/>
  <c r="GW107" i="51"/>
  <c r="GV107" i="51"/>
  <c r="GU107" i="51"/>
  <c r="GT107" i="51"/>
  <c r="GS107" i="51"/>
  <c r="GR107" i="51"/>
  <c r="GQ107" i="51"/>
  <c r="GP107" i="51"/>
  <c r="GO107" i="51"/>
  <c r="GN107" i="51"/>
  <c r="GM107" i="51"/>
  <c r="GL107" i="51"/>
  <c r="GK107" i="51"/>
  <c r="GJ107" i="51"/>
  <c r="GI107" i="51"/>
  <c r="GH107" i="51"/>
  <c r="GG107" i="51"/>
  <c r="GF107" i="51"/>
  <c r="GE107" i="51"/>
  <c r="GD107" i="51"/>
  <c r="GC107" i="51"/>
  <c r="GB107" i="51"/>
  <c r="GA107" i="51"/>
  <c r="FZ107" i="51"/>
  <c r="FY107" i="51"/>
  <c r="FX107" i="51"/>
  <c r="FW107" i="51"/>
  <c r="FV107" i="51"/>
  <c r="FU107" i="51"/>
  <c r="FT107" i="51"/>
  <c r="FS107" i="51"/>
  <c r="FR107" i="51"/>
  <c r="FQ107" i="51"/>
  <c r="FP107" i="51"/>
  <c r="FO107" i="51"/>
  <c r="FN107" i="51"/>
  <c r="FM107" i="51"/>
  <c r="FL107" i="51"/>
  <c r="FK107" i="51"/>
  <c r="FJ107" i="51"/>
  <c r="FI107" i="51"/>
  <c r="FH107" i="51"/>
  <c r="FG107" i="51"/>
  <c r="FF107" i="51"/>
  <c r="FE107" i="51"/>
  <c r="FD107" i="51"/>
  <c r="FC107" i="51"/>
  <c r="FB107" i="51"/>
  <c r="FA107" i="51"/>
  <c r="EZ107" i="51"/>
  <c r="EY107" i="51"/>
  <c r="EX107" i="51"/>
  <c r="EW107" i="51"/>
  <c r="EV107" i="51"/>
  <c r="EU107" i="51"/>
  <c r="ET107" i="51"/>
  <c r="ES107" i="51"/>
  <c r="ER107" i="51"/>
  <c r="EQ107" i="51"/>
  <c r="EP107" i="51"/>
  <c r="EO107" i="51"/>
  <c r="EN107" i="51"/>
  <c r="EM107" i="51"/>
  <c r="EL107" i="51"/>
  <c r="EK107" i="51"/>
  <c r="EJ107" i="51"/>
  <c r="EI107" i="51"/>
  <c r="EH107" i="51"/>
  <c r="EG107" i="51"/>
  <c r="EF107" i="51"/>
  <c r="EE107" i="51"/>
  <c r="ED107" i="51"/>
  <c r="EC107" i="51"/>
  <c r="EB107" i="51"/>
  <c r="EA107" i="51"/>
  <c r="DZ107" i="51"/>
  <c r="DY107" i="51"/>
  <c r="DX107" i="51"/>
  <c r="DW107" i="51"/>
  <c r="DV107" i="51"/>
  <c r="DU107" i="51"/>
  <c r="DT107" i="51"/>
  <c r="DS107" i="51"/>
  <c r="DR107" i="51"/>
  <c r="DQ107" i="51"/>
  <c r="DP107" i="51"/>
  <c r="DO107" i="51"/>
  <c r="DN107" i="51"/>
  <c r="DM107" i="51"/>
  <c r="DL107" i="51"/>
  <c r="DK107" i="51"/>
  <c r="DJ107" i="51"/>
  <c r="DI107" i="51"/>
  <c r="DH107" i="51"/>
  <c r="DG107" i="51"/>
  <c r="DF107" i="51"/>
  <c r="DE107" i="51"/>
  <c r="DD107" i="51"/>
  <c r="DC107" i="51"/>
  <c r="DB107" i="51"/>
  <c r="DA107" i="51"/>
  <c r="CZ107" i="51"/>
  <c r="CY107" i="51"/>
  <c r="CX107" i="51"/>
  <c r="CW107" i="51"/>
  <c r="CV107" i="51"/>
  <c r="CU107" i="51"/>
  <c r="CT107" i="51"/>
  <c r="CS107" i="51"/>
  <c r="CR107" i="51"/>
  <c r="CQ107" i="51"/>
  <c r="CP107" i="51"/>
  <c r="CO107" i="51"/>
  <c r="CN107" i="51"/>
  <c r="CM107" i="51"/>
  <c r="CL107" i="51"/>
  <c r="CK107" i="51"/>
  <c r="CJ107" i="51"/>
  <c r="CI107" i="51"/>
  <c r="CH107" i="51"/>
  <c r="CG107" i="51"/>
  <c r="CF107" i="51"/>
  <c r="CE107" i="51"/>
  <c r="CD107" i="51"/>
  <c r="CC107" i="51"/>
  <c r="CB107" i="51"/>
  <c r="CA107" i="51"/>
  <c r="BZ107" i="51"/>
  <c r="BY107" i="51"/>
  <c r="BX107" i="51"/>
  <c r="BW107" i="51"/>
  <c r="BV107" i="51"/>
  <c r="BU107" i="51"/>
  <c r="BT107" i="51"/>
  <c r="BS107" i="51"/>
  <c r="BR107" i="51"/>
  <c r="BQ107" i="51"/>
  <c r="BP107" i="51"/>
  <c r="BO107" i="51"/>
  <c r="BN107" i="51"/>
  <c r="BM107" i="51"/>
  <c r="BL107" i="51"/>
  <c r="BK107" i="51"/>
  <c r="BJ107" i="51"/>
  <c r="BI107" i="51"/>
  <c r="BH107" i="51"/>
  <c r="BG107" i="51"/>
  <c r="BF107" i="51"/>
  <c r="BE107" i="51"/>
  <c r="BD107" i="51"/>
  <c r="BC107" i="51"/>
  <c r="BB107" i="51"/>
  <c r="BA107" i="51"/>
  <c r="AZ107" i="51"/>
  <c r="AY107" i="51"/>
  <c r="AX107" i="51"/>
  <c r="AW107" i="51"/>
  <c r="AV107" i="51"/>
  <c r="AU107" i="51"/>
  <c r="AT107" i="51"/>
  <c r="AS107" i="51"/>
  <c r="AR107" i="51"/>
  <c r="AQ107" i="51"/>
  <c r="AP107" i="51"/>
  <c r="AO107" i="51"/>
  <c r="AN107" i="51"/>
  <c r="AM107" i="51"/>
  <c r="AL107" i="51"/>
  <c r="AK107" i="51"/>
  <c r="AJ107" i="51"/>
  <c r="AI107" i="51"/>
  <c r="AH107" i="51"/>
  <c r="AG107" i="51"/>
  <c r="AF107" i="51"/>
  <c r="AE107" i="51"/>
  <c r="AD107" i="51"/>
  <c r="AC107" i="51"/>
  <c r="AB107" i="51"/>
  <c r="AA107" i="51"/>
  <c r="Z107" i="51"/>
  <c r="Y107" i="51"/>
  <c r="X107" i="51"/>
  <c r="W107" i="51"/>
  <c r="V107" i="51"/>
  <c r="U107" i="51"/>
  <c r="T107" i="51"/>
  <c r="S107" i="51"/>
  <c r="R107" i="51"/>
  <c r="Q107" i="51"/>
  <c r="P107" i="51"/>
  <c r="O107" i="51"/>
  <c r="N107" i="51"/>
  <c r="M107" i="51"/>
  <c r="L107" i="51"/>
  <c r="K107" i="51"/>
  <c r="J107" i="51"/>
  <c r="I107" i="51"/>
  <c r="H107" i="51"/>
  <c r="G107" i="51"/>
  <c r="F107" i="51"/>
  <c r="IV106" i="51"/>
  <c r="IU106" i="51"/>
  <c r="IT106" i="51"/>
  <c r="IS106" i="51"/>
  <c r="IR106" i="51"/>
  <c r="IQ106" i="51"/>
  <c r="IP106" i="51"/>
  <c r="IO106" i="51"/>
  <c r="IN106" i="51"/>
  <c r="IM106" i="51"/>
  <c r="IL106" i="51"/>
  <c r="IK106" i="51"/>
  <c r="IJ106" i="51"/>
  <c r="II106" i="51"/>
  <c r="IH106" i="51"/>
  <c r="IG106" i="51"/>
  <c r="IF106" i="51"/>
  <c r="IE106" i="51"/>
  <c r="ID106" i="51"/>
  <c r="IC106" i="51"/>
  <c r="IB106" i="51"/>
  <c r="IA106" i="51"/>
  <c r="HZ106" i="51"/>
  <c r="HY106" i="51"/>
  <c r="HX106" i="51"/>
  <c r="HW106" i="51"/>
  <c r="HV106" i="51"/>
  <c r="HU106" i="51"/>
  <c r="HT106" i="51"/>
  <c r="HS106" i="51"/>
  <c r="HR106" i="51"/>
  <c r="HQ106" i="51"/>
  <c r="HP106" i="51"/>
  <c r="HO106" i="51"/>
  <c r="HN106" i="51"/>
  <c r="HM106" i="51"/>
  <c r="HL106" i="51"/>
  <c r="HK106" i="51"/>
  <c r="HJ106" i="51"/>
  <c r="HI106" i="51"/>
  <c r="HH106" i="51"/>
  <c r="HG106" i="51"/>
  <c r="HF106" i="51"/>
  <c r="HE106" i="51"/>
  <c r="HD106" i="51"/>
  <c r="HC106" i="51"/>
  <c r="HB106" i="51"/>
  <c r="HA106" i="51"/>
  <c r="GZ106" i="51"/>
  <c r="GY106" i="51"/>
  <c r="GX106" i="51"/>
  <c r="GW106" i="51"/>
  <c r="GV106" i="51"/>
  <c r="GU106" i="51"/>
  <c r="GT106" i="51"/>
  <c r="GS106" i="51"/>
  <c r="GR106" i="51"/>
  <c r="GQ106" i="51"/>
  <c r="GP106" i="51"/>
  <c r="GO106" i="51"/>
  <c r="GN106" i="51"/>
  <c r="GM106" i="51"/>
  <c r="GL106" i="51"/>
  <c r="GK106" i="51"/>
  <c r="GJ106" i="51"/>
  <c r="GI106" i="51"/>
  <c r="GH106" i="51"/>
  <c r="GG106" i="51"/>
  <c r="GF106" i="51"/>
  <c r="GE106" i="51"/>
  <c r="GD106" i="51"/>
  <c r="GC106" i="51"/>
  <c r="GB106" i="51"/>
  <c r="GA106" i="51"/>
  <c r="FZ106" i="51"/>
  <c r="FY106" i="51"/>
  <c r="FX106" i="51"/>
  <c r="FW106" i="51"/>
  <c r="FV106" i="51"/>
  <c r="FU106" i="51"/>
  <c r="FT106" i="51"/>
  <c r="FS106" i="51"/>
  <c r="FR106" i="51"/>
  <c r="FQ106" i="51"/>
  <c r="FP106" i="51"/>
  <c r="FO106" i="51"/>
  <c r="FN106" i="51"/>
  <c r="FM106" i="51"/>
  <c r="FL106" i="51"/>
  <c r="FK106" i="51"/>
  <c r="FJ106" i="51"/>
  <c r="FI106" i="51"/>
  <c r="FH106" i="51"/>
  <c r="FG106" i="51"/>
  <c r="FF106" i="51"/>
  <c r="FE106" i="51"/>
  <c r="FD106" i="51"/>
  <c r="FC106" i="51"/>
  <c r="FB106" i="51"/>
  <c r="FA106" i="51"/>
  <c r="EZ106" i="51"/>
  <c r="EY106" i="51"/>
  <c r="EX106" i="51"/>
  <c r="EW106" i="51"/>
  <c r="EV106" i="51"/>
  <c r="EU106" i="51"/>
  <c r="ET106" i="51"/>
  <c r="ES106" i="51"/>
  <c r="ER106" i="51"/>
  <c r="EQ106" i="51"/>
  <c r="EP106" i="51"/>
  <c r="EO106" i="51"/>
  <c r="EN106" i="51"/>
  <c r="EM106" i="51"/>
  <c r="EL106" i="51"/>
  <c r="EK106" i="51"/>
  <c r="EJ106" i="51"/>
  <c r="EI106" i="51"/>
  <c r="EH106" i="51"/>
  <c r="EG106" i="51"/>
  <c r="EF106" i="51"/>
  <c r="EE106" i="51"/>
  <c r="ED106" i="51"/>
  <c r="EC106" i="51"/>
  <c r="EB106" i="51"/>
  <c r="EA106" i="51"/>
  <c r="DZ106" i="51"/>
  <c r="DY106" i="51"/>
  <c r="DX106" i="51"/>
  <c r="DW106" i="51"/>
  <c r="DV106" i="51"/>
  <c r="DU106" i="51"/>
  <c r="DT106" i="51"/>
  <c r="DS106" i="51"/>
  <c r="DR106" i="51"/>
  <c r="DQ106" i="51"/>
  <c r="DP106" i="51"/>
  <c r="DO106" i="51"/>
  <c r="DN106" i="51"/>
  <c r="DM106" i="51"/>
  <c r="DL106" i="51"/>
  <c r="DK106" i="51"/>
  <c r="DJ106" i="51"/>
  <c r="DI106" i="51"/>
  <c r="DH106" i="51"/>
  <c r="DG106" i="51"/>
  <c r="DF106" i="51"/>
  <c r="DE106" i="51"/>
  <c r="DD106" i="51"/>
  <c r="DC106" i="51"/>
  <c r="DB106" i="51"/>
  <c r="DA106" i="51"/>
  <c r="CZ106" i="51"/>
  <c r="CY106" i="51"/>
  <c r="CX106" i="51"/>
  <c r="CW106" i="51"/>
  <c r="CV106" i="51"/>
  <c r="CU106" i="51"/>
  <c r="CT106" i="51"/>
  <c r="CS106" i="51"/>
  <c r="CR106" i="51"/>
  <c r="CQ106" i="51"/>
  <c r="CP106" i="51"/>
  <c r="CO106" i="51"/>
  <c r="CN106" i="51"/>
  <c r="CM106" i="51"/>
  <c r="CL106" i="51"/>
  <c r="CK106" i="51"/>
  <c r="CJ106" i="51"/>
  <c r="CI106" i="51"/>
  <c r="CH106" i="51"/>
  <c r="CG106" i="51"/>
  <c r="CF106" i="51"/>
  <c r="CE106" i="51"/>
  <c r="CD106" i="51"/>
  <c r="CC106" i="51"/>
  <c r="CB106" i="51"/>
  <c r="CA106" i="51"/>
  <c r="BZ106" i="51"/>
  <c r="BY106" i="51"/>
  <c r="BX106" i="51"/>
  <c r="BW106" i="51"/>
  <c r="BV106" i="51"/>
  <c r="BU106" i="51"/>
  <c r="BT106" i="51"/>
  <c r="BS106" i="51"/>
  <c r="BR106" i="51"/>
  <c r="BQ106" i="51"/>
  <c r="BP106" i="51"/>
  <c r="BO106" i="51"/>
  <c r="BN106" i="51"/>
  <c r="BM106" i="51"/>
  <c r="BL106" i="51"/>
  <c r="BK106" i="51"/>
  <c r="BJ106" i="51"/>
  <c r="BI106" i="51"/>
  <c r="BH106" i="51"/>
  <c r="BG106" i="51"/>
  <c r="BF106" i="51"/>
  <c r="BE106" i="51"/>
  <c r="BD106" i="51"/>
  <c r="BC106" i="51"/>
  <c r="BB106" i="51"/>
  <c r="BA106" i="51"/>
  <c r="AZ106" i="51"/>
  <c r="AY106" i="51"/>
  <c r="AX106" i="51"/>
  <c r="AW106" i="51"/>
  <c r="AV106" i="51"/>
  <c r="AU106" i="51"/>
  <c r="AT106" i="51"/>
  <c r="AS106" i="51"/>
  <c r="AR106" i="51"/>
  <c r="AQ106" i="51"/>
  <c r="AP106" i="51"/>
  <c r="AO106" i="51"/>
  <c r="AN106" i="51"/>
  <c r="AM106" i="51"/>
  <c r="AL106" i="51"/>
  <c r="AK106" i="51"/>
  <c r="AJ106" i="51"/>
  <c r="AI106" i="51"/>
  <c r="AH106" i="51"/>
  <c r="AG106" i="51"/>
  <c r="AF106" i="51"/>
  <c r="AE106" i="51"/>
  <c r="AD106" i="51"/>
  <c r="AC106" i="51"/>
  <c r="AB106" i="51"/>
  <c r="AA106" i="51"/>
  <c r="Z106" i="51"/>
  <c r="Y106" i="51"/>
  <c r="X106" i="51"/>
  <c r="W106" i="51"/>
  <c r="V106" i="51"/>
  <c r="U106" i="51"/>
  <c r="T106" i="51"/>
  <c r="S106" i="51"/>
  <c r="R106" i="51"/>
  <c r="Q106" i="51"/>
  <c r="P106" i="51"/>
  <c r="O106" i="51"/>
  <c r="N106" i="51"/>
  <c r="M106" i="51"/>
  <c r="L106" i="51"/>
  <c r="K106" i="51"/>
  <c r="J106" i="51"/>
  <c r="I106" i="51"/>
  <c r="H106" i="51"/>
  <c r="G106" i="51"/>
  <c r="F106" i="51"/>
  <c r="IV105" i="51"/>
  <c r="IU105" i="51"/>
  <c r="IT105" i="51"/>
  <c r="IS105" i="51"/>
  <c r="IR105" i="51"/>
  <c r="IQ105" i="51"/>
  <c r="IP105" i="51"/>
  <c r="IO105" i="51"/>
  <c r="IN105" i="51"/>
  <c r="IM105" i="51"/>
  <c r="IL105" i="51"/>
  <c r="IK105" i="51"/>
  <c r="IJ105" i="51"/>
  <c r="II105" i="51"/>
  <c r="IH105" i="51"/>
  <c r="IG105" i="51"/>
  <c r="IF105" i="51"/>
  <c r="IE105" i="51"/>
  <c r="ID105" i="51"/>
  <c r="IC105" i="51"/>
  <c r="IB105" i="51"/>
  <c r="IA105" i="51"/>
  <c r="HZ105" i="51"/>
  <c r="HY105" i="51"/>
  <c r="HX105" i="51"/>
  <c r="HW105" i="51"/>
  <c r="HV105" i="51"/>
  <c r="HU105" i="51"/>
  <c r="HT105" i="51"/>
  <c r="HS105" i="51"/>
  <c r="HR105" i="51"/>
  <c r="HQ105" i="51"/>
  <c r="HP105" i="51"/>
  <c r="HO105" i="51"/>
  <c r="HN105" i="51"/>
  <c r="HM105" i="51"/>
  <c r="HL105" i="51"/>
  <c r="HK105" i="51"/>
  <c r="HJ105" i="51"/>
  <c r="HI105" i="51"/>
  <c r="HH105" i="51"/>
  <c r="HG105" i="51"/>
  <c r="HF105" i="51"/>
  <c r="HE105" i="51"/>
  <c r="HD105" i="51"/>
  <c r="HC105" i="51"/>
  <c r="HB105" i="51"/>
  <c r="HA105" i="51"/>
  <c r="GZ105" i="51"/>
  <c r="GY105" i="51"/>
  <c r="GX105" i="51"/>
  <c r="GW105" i="51"/>
  <c r="GV105" i="51"/>
  <c r="GU105" i="51"/>
  <c r="GT105" i="51"/>
  <c r="GS105" i="51"/>
  <c r="GR105" i="51"/>
  <c r="GQ105" i="51"/>
  <c r="GP105" i="51"/>
  <c r="GO105" i="51"/>
  <c r="GN105" i="51"/>
  <c r="GM105" i="51"/>
  <c r="GL105" i="51"/>
  <c r="GK105" i="51"/>
  <c r="GJ105" i="51"/>
  <c r="GI105" i="51"/>
  <c r="GH105" i="51"/>
  <c r="GG105" i="51"/>
  <c r="GF105" i="51"/>
  <c r="GE105" i="51"/>
  <c r="GD105" i="51"/>
  <c r="GC105" i="51"/>
  <c r="GB105" i="51"/>
  <c r="GA105" i="51"/>
  <c r="FZ105" i="51"/>
  <c r="FY105" i="51"/>
  <c r="FX105" i="51"/>
  <c r="FW105" i="51"/>
  <c r="FV105" i="51"/>
  <c r="FU105" i="51"/>
  <c r="FT105" i="51"/>
  <c r="FS105" i="51"/>
  <c r="FR105" i="51"/>
  <c r="FQ105" i="51"/>
  <c r="FP105" i="51"/>
  <c r="FO105" i="51"/>
  <c r="FN105" i="51"/>
  <c r="FM105" i="51"/>
  <c r="FL105" i="51"/>
  <c r="FK105" i="51"/>
  <c r="FJ105" i="51"/>
  <c r="FI105" i="51"/>
  <c r="FH105" i="51"/>
  <c r="FG105" i="51"/>
  <c r="FF105" i="51"/>
  <c r="FE105" i="51"/>
  <c r="FD105" i="51"/>
  <c r="FC105" i="51"/>
  <c r="FB105" i="51"/>
  <c r="FA105" i="51"/>
  <c r="EZ105" i="51"/>
  <c r="EY105" i="51"/>
  <c r="EX105" i="51"/>
  <c r="EW105" i="51"/>
  <c r="EV105" i="51"/>
  <c r="EU105" i="51"/>
  <c r="ET105" i="51"/>
  <c r="ES105" i="51"/>
  <c r="ER105" i="51"/>
  <c r="EQ105" i="51"/>
  <c r="EP105" i="51"/>
  <c r="EO105" i="51"/>
  <c r="EN105" i="51"/>
  <c r="EM105" i="51"/>
  <c r="EL105" i="51"/>
  <c r="EK105" i="51"/>
  <c r="EJ105" i="51"/>
  <c r="EI105" i="51"/>
  <c r="EH105" i="51"/>
  <c r="EG105" i="51"/>
  <c r="EF105" i="51"/>
  <c r="EE105" i="51"/>
  <c r="ED105" i="51"/>
  <c r="EC105" i="51"/>
  <c r="EB105" i="51"/>
  <c r="EA105" i="51"/>
  <c r="DZ105" i="51"/>
  <c r="DY105" i="51"/>
  <c r="DX105" i="51"/>
  <c r="DW105" i="51"/>
  <c r="DV105" i="51"/>
  <c r="DU105" i="51"/>
  <c r="DT105" i="51"/>
  <c r="DS105" i="51"/>
  <c r="DR105" i="51"/>
  <c r="DQ105" i="51"/>
  <c r="DP105" i="51"/>
  <c r="DO105" i="51"/>
  <c r="DN105" i="51"/>
  <c r="DM105" i="51"/>
  <c r="DL105" i="51"/>
  <c r="DK105" i="51"/>
  <c r="DJ105" i="51"/>
  <c r="DI105" i="51"/>
  <c r="DH105" i="51"/>
  <c r="DG105" i="51"/>
  <c r="DF105" i="51"/>
  <c r="DE105" i="51"/>
  <c r="DD105" i="51"/>
  <c r="DC105" i="51"/>
  <c r="DB105" i="51"/>
  <c r="DA105" i="51"/>
  <c r="CZ105" i="51"/>
  <c r="CY105" i="51"/>
  <c r="CX105" i="51"/>
  <c r="CW105" i="51"/>
  <c r="CV105" i="51"/>
  <c r="CU105" i="51"/>
  <c r="CT105" i="51"/>
  <c r="CS105" i="51"/>
  <c r="CR105" i="51"/>
  <c r="CQ105" i="51"/>
  <c r="CP105" i="51"/>
  <c r="CO105" i="51"/>
  <c r="CN105" i="51"/>
  <c r="CM105" i="51"/>
  <c r="CL105" i="51"/>
  <c r="CK105" i="51"/>
  <c r="CJ105" i="51"/>
  <c r="CI105" i="51"/>
  <c r="CH105" i="51"/>
  <c r="CG105" i="51"/>
  <c r="CF105" i="51"/>
  <c r="CE105" i="51"/>
  <c r="CD105" i="51"/>
  <c r="CC105" i="51"/>
  <c r="CB105" i="51"/>
  <c r="CA105" i="51"/>
  <c r="BZ105" i="51"/>
  <c r="BY105" i="51"/>
  <c r="BX105" i="51"/>
  <c r="BW105" i="51"/>
  <c r="BV105" i="51"/>
  <c r="BU105" i="51"/>
  <c r="BT105" i="51"/>
  <c r="BS105" i="51"/>
  <c r="BR105" i="51"/>
  <c r="BQ105" i="51"/>
  <c r="BP105" i="51"/>
  <c r="BO105" i="51"/>
  <c r="BN105" i="51"/>
  <c r="BM105" i="51"/>
  <c r="BL105" i="51"/>
  <c r="BK105" i="51"/>
  <c r="BJ105" i="51"/>
  <c r="BI105" i="51"/>
  <c r="BH105" i="51"/>
  <c r="BG105" i="51"/>
  <c r="BF105" i="51"/>
  <c r="BE105" i="51"/>
  <c r="BD105" i="51"/>
  <c r="BC105" i="51"/>
  <c r="BB105" i="51"/>
  <c r="BA105" i="51"/>
  <c r="AZ105" i="51"/>
  <c r="AY105" i="51"/>
  <c r="AX105" i="51"/>
  <c r="AW105" i="51"/>
  <c r="AV105" i="51"/>
  <c r="AU105" i="51"/>
  <c r="AT105" i="51"/>
  <c r="AS105" i="51"/>
  <c r="AR105" i="51"/>
  <c r="AQ105" i="51"/>
  <c r="AP105" i="51"/>
  <c r="AO105" i="51"/>
  <c r="AN105" i="51"/>
  <c r="AM105" i="51"/>
  <c r="AL105" i="51"/>
  <c r="AK105" i="51"/>
  <c r="AJ105" i="51"/>
  <c r="AI105" i="51"/>
  <c r="AH105" i="51"/>
  <c r="AG105" i="51"/>
  <c r="AF105" i="51"/>
  <c r="AE105" i="51"/>
  <c r="AD105" i="51"/>
  <c r="AC105" i="51"/>
  <c r="AB105" i="51"/>
  <c r="AA105" i="51"/>
  <c r="Z105" i="51"/>
  <c r="Y105" i="51"/>
  <c r="X105" i="51"/>
  <c r="W105" i="51"/>
  <c r="V105" i="51"/>
  <c r="U105" i="51"/>
  <c r="T105" i="51"/>
  <c r="S105" i="51"/>
  <c r="R105" i="51"/>
  <c r="Q105" i="51"/>
  <c r="P105" i="51"/>
  <c r="O105" i="51"/>
  <c r="N105" i="51"/>
  <c r="M105" i="51"/>
  <c r="L105" i="51"/>
  <c r="K105" i="51"/>
  <c r="J105" i="51"/>
  <c r="I105" i="51"/>
  <c r="H105" i="51"/>
  <c r="G105" i="51"/>
  <c r="F105" i="51"/>
  <c r="IV104" i="51"/>
  <c r="IU104" i="51"/>
  <c r="IT104" i="51"/>
  <c r="IS104" i="51"/>
  <c r="IR104" i="51"/>
  <c r="IQ104" i="51"/>
  <c r="IP104" i="51"/>
  <c r="IO104" i="51"/>
  <c r="IN104" i="51"/>
  <c r="IM104" i="51"/>
  <c r="IL104" i="51"/>
  <c r="IK104" i="51"/>
  <c r="IJ104" i="51"/>
  <c r="II104" i="51"/>
  <c r="IH104" i="51"/>
  <c r="IG104" i="51"/>
  <c r="IF104" i="51"/>
  <c r="IE104" i="51"/>
  <c r="ID104" i="51"/>
  <c r="IC104" i="51"/>
  <c r="IB104" i="51"/>
  <c r="IA104" i="51"/>
  <c r="HZ104" i="51"/>
  <c r="HY104" i="51"/>
  <c r="HX104" i="51"/>
  <c r="HW104" i="51"/>
  <c r="HV104" i="51"/>
  <c r="HU104" i="51"/>
  <c r="HT104" i="51"/>
  <c r="HS104" i="51"/>
  <c r="HR104" i="51"/>
  <c r="HQ104" i="51"/>
  <c r="HP104" i="51"/>
  <c r="HO104" i="51"/>
  <c r="HN104" i="51"/>
  <c r="HM104" i="51"/>
  <c r="HL104" i="51"/>
  <c r="HK104" i="51"/>
  <c r="HJ104" i="51"/>
  <c r="HI104" i="51"/>
  <c r="HH104" i="51"/>
  <c r="HG104" i="51"/>
  <c r="HF104" i="51"/>
  <c r="HE104" i="51"/>
  <c r="HD104" i="51"/>
  <c r="HC104" i="51"/>
  <c r="HB104" i="51"/>
  <c r="HA104" i="51"/>
  <c r="GZ104" i="51"/>
  <c r="GY104" i="51"/>
  <c r="GX104" i="51"/>
  <c r="GW104" i="51"/>
  <c r="GV104" i="51"/>
  <c r="GU104" i="51"/>
  <c r="GT104" i="51"/>
  <c r="GS104" i="51"/>
  <c r="GR104" i="51"/>
  <c r="GQ104" i="51"/>
  <c r="GP104" i="51"/>
  <c r="GO104" i="51"/>
  <c r="GN104" i="51"/>
  <c r="GM104" i="51"/>
  <c r="GL104" i="51"/>
  <c r="GK104" i="51"/>
  <c r="GJ104" i="51"/>
  <c r="GI104" i="51"/>
  <c r="GH104" i="51"/>
  <c r="GG104" i="51"/>
  <c r="GF104" i="51"/>
  <c r="GE104" i="51"/>
  <c r="GD104" i="51"/>
  <c r="GC104" i="51"/>
  <c r="GB104" i="51"/>
  <c r="GA104" i="51"/>
  <c r="FZ104" i="51"/>
  <c r="FY104" i="51"/>
  <c r="FX104" i="51"/>
  <c r="FW104" i="51"/>
  <c r="FV104" i="51"/>
  <c r="FU104" i="51"/>
  <c r="FT104" i="51"/>
  <c r="FS104" i="51"/>
  <c r="FR104" i="51"/>
  <c r="FQ104" i="51"/>
  <c r="FP104" i="51"/>
  <c r="FO104" i="51"/>
  <c r="FN104" i="51"/>
  <c r="FM104" i="51"/>
  <c r="FL104" i="51"/>
  <c r="FK104" i="51"/>
  <c r="FJ104" i="51"/>
  <c r="FI104" i="51"/>
  <c r="FH104" i="51"/>
  <c r="FG104" i="51"/>
  <c r="FF104" i="51"/>
  <c r="FE104" i="51"/>
  <c r="FD104" i="51"/>
  <c r="FC104" i="51"/>
  <c r="FB104" i="51"/>
  <c r="FA104" i="51"/>
  <c r="EZ104" i="51"/>
  <c r="EY104" i="51"/>
  <c r="EX104" i="51"/>
  <c r="EW104" i="51"/>
  <c r="EV104" i="51"/>
  <c r="EU104" i="51"/>
  <c r="ET104" i="51"/>
  <c r="ES104" i="51"/>
  <c r="ER104" i="51"/>
  <c r="EQ104" i="51"/>
  <c r="EP104" i="51"/>
  <c r="EO104" i="51"/>
  <c r="EN104" i="51"/>
  <c r="EM104" i="51"/>
  <c r="EL104" i="51"/>
  <c r="EK104" i="51"/>
  <c r="EJ104" i="51"/>
  <c r="EI104" i="51"/>
  <c r="EH104" i="51"/>
  <c r="EG104" i="51"/>
  <c r="EF104" i="51"/>
  <c r="EE104" i="51"/>
  <c r="ED104" i="51"/>
  <c r="EC104" i="51"/>
  <c r="EB104" i="51"/>
  <c r="EA104" i="51"/>
  <c r="DZ104" i="51"/>
  <c r="DY104" i="51"/>
  <c r="DX104" i="51"/>
  <c r="DW104" i="51"/>
  <c r="DV104" i="51"/>
  <c r="DU104" i="51"/>
  <c r="DT104" i="51"/>
  <c r="DS104" i="51"/>
  <c r="DR104" i="51"/>
  <c r="DQ104" i="51"/>
  <c r="DP104" i="51"/>
  <c r="DO104" i="51"/>
  <c r="DN104" i="51"/>
  <c r="DM104" i="51"/>
  <c r="DL104" i="51"/>
  <c r="DK104" i="51"/>
  <c r="DJ104" i="51"/>
  <c r="DI104" i="51"/>
  <c r="DH104" i="51"/>
  <c r="DG104" i="51"/>
  <c r="DF104" i="51"/>
  <c r="DE104" i="51"/>
  <c r="DD104" i="51"/>
  <c r="DC104" i="51"/>
  <c r="DB104" i="51"/>
  <c r="DA104" i="51"/>
  <c r="CZ104" i="51"/>
  <c r="CY104" i="51"/>
  <c r="CX104" i="51"/>
  <c r="CW104" i="51"/>
  <c r="CV104" i="51"/>
  <c r="CU104" i="51"/>
  <c r="CT104" i="51"/>
  <c r="CS104" i="51"/>
  <c r="CR104" i="51"/>
  <c r="CQ104" i="51"/>
  <c r="CP104" i="51"/>
  <c r="CO104" i="51"/>
  <c r="CN104" i="51"/>
  <c r="CM104" i="51"/>
  <c r="CL104" i="51"/>
  <c r="CK104" i="51"/>
  <c r="CJ104" i="51"/>
  <c r="CI104" i="51"/>
  <c r="CH104" i="51"/>
  <c r="CG104" i="51"/>
  <c r="CF104" i="51"/>
  <c r="CE104" i="51"/>
  <c r="CD104" i="51"/>
  <c r="CC104" i="51"/>
  <c r="CB104" i="51"/>
  <c r="CA104" i="51"/>
  <c r="BZ104" i="51"/>
  <c r="BY104" i="51"/>
  <c r="BX104" i="51"/>
  <c r="BW104" i="51"/>
  <c r="BV104" i="51"/>
  <c r="BU104" i="51"/>
  <c r="BT104" i="51"/>
  <c r="BS104" i="51"/>
  <c r="BR104" i="51"/>
  <c r="BQ104" i="51"/>
  <c r="BP104" i="51"/>
  <c r="BO104" i="51"/>
  <c r="BN104" i="51"/>
  <c r="BM104" i="51"/>
  <c r="BL104" i="51"/>
  <c r="BK104" i="51"/>
  <c r="BJ104" i="51"/>
  <c r="BI104" i="51"/>
  <c r="BH104" i="51"/>
  <c r="BG104" i="51"/>
  <c r="BF104" i="51"/>
  <c r="BE104" i="51"/>
  <c r="BD104" i="51"/>
  <c r="BC104" i="51"/>
  <c r="BB104" i="51"/>
  <c r="BA104" i="51"/>
  <c r="AZ104" i="51"/>
  <c r="AY104" i="51"/>
  <c r="AX104" i="51"/>
  <c r="AW104" i="51"/>
  <c r="AV104" i="51"/>
  <c r="AU104" i="51"/>
  <c r="AT104" i="51"/>
  <c r="AS104" i="51"/>
  <c r="AR104" i="51"/>
  <c r="AQ104" i="51"/>
  <c r="AP104" i="51"/>
  <c r="AO104" i="51"/>
  <c r="AN104" i="51"/>
  <c r="AM104" i="51"/>
  <c r="AL104" i="51"/>
  <c r="AK104" i="51"/>
  <c r="AJ104" i="51"/>
  <c r="AI104" i="51"/>
  <c r="AH104" i="51"/>
  <c r="AG104" i="51"/>
  <c r="AF104" i="51"/>
  <c r="AE104" i="51"/>
  <c r="AD104" i="51"/>
  <c r="AC104" i="51"/>
  <c r="AB104" i="51"/>
  <c r="AA104" i="51"/>
  <c r="Z104" i="51"/>
  <c r="Y104" i="51"/>
  <c r="X104" i="51"/>
  <c r="W104" i="51"/>
  <c r="V104" i="51"/>
  <c r="U104" i="51"/>
  <c r="T104" i="51"/>
  <c r="S104" i="51"/>
  <c r="R104" i="51"/>
  <c r="Q104" i="51"/>
  <c r="P104" i="51"/>
  <c r="O104" i="51"/>
  <c r="N104" i="51"/>
  <c r="M104" i="51"/>
  <c r="L104" i="51"/>
  <c r="K104" i="51"/>
  <c r="J104" i="51"/>
  <c r="I104" i="51"/>
  <c r="H104" i="51"/>
  <c r="G104" i="51"/>
  <c r="F104" i="51"/>
  <c r="IV103" i="51"/>
  <c r="IU103" i="51"/>
  <c r="IT103" i="51"/>
  <c r="IS103" i="51"/>
  <c r="IR103" i="51"/>
  <c r="IQ103" i="51"/>
  <c r="IP103" i="51"/>
  <c r="IO103" i="51"/>
  <c r="IN103" i="51"/>
  <c r="IM103" i="51"/>
  <c r="IL103" i="51"/>
  <c r="IK103" i="51"/>
  <c r="IJ103" i="51"/>
  <c r="II103" i="51"/>
  <c r="IH103" i="51"/>
  <c r="IG103" i="51"/>
  <c r="IF103" i="51"/>
  <c r="IE103" i="51"/>
  <c r="ID103" i="51"/>
  <c r="IC103" i="51"/>
  <c r="IB103" i="51"/>
  <c r="IA103" i="51"/>
  <c r="HZ103" i="51"/>
  <c r="HY103" i="51"/>
  <c r="HX103" i="51"/>
  <c r="HW103" i="51"/>
  <c r="HV103" i="51"/>
  <c r="HU103" i="51"/>
  <c r="HT103" i="51"/>
  <c r="HS103" i="51"/>
  <c r="HR103" i="51"/>
  <c r="HQ103" i="51"/>
  <c r="HP103" i="51"/>
  <c r="HO103" i="51"/>
  <c r="HN103" i="51"/>
  <c r="HM103" i="51"/>
  <c r="HL103" i="51"/>
  <c r="HK103" i="51"/>
  <c r="HJ103" i="51"/>
  <c r="HI103" i="51"/>
  <c r="HH103" i="51"/>
  <c r="HG103" i="51"/>
  <c r="HF103" i="51"/>
  <c r="HE103" i="51"/>
  <c r="HD103" i="51"/>
  <c r="HC103" i="51"/>
  <c r="HB103" i="51"/>
  <c r="HA103" i="51"/>
  <c r="GZ103" i="51"/>
  <c r="GY103" i="51"/>
  <c r="GX103" i="51"/>
  <c r="GW103" i="51"/>
  <c r="GV103" i="51"/>
  <c r="GU103" i="51"/>
  <c r="GT103" i="51"/>
  <c r="GS103" i="51"/>
  <c r="GR103" i="51"/>
  <c r="GQ103" i="51"/>
  <c r="GP103" i="51"/>
  <c r="GO103" i="51"/>
  <c r="GN103" i="51"/>
  <c r="GM103" i="51"/>
  <c r="GL103" i="51"/>
  <c r="GK103" i="51"/>
  <c r="GJ103" i="51"/>
  <c r="GI103" i="51"/>
  <c r="GH103" i="51"/>
  <c r="GG103" i="51"/>
  <c r="GF103" i="51"/>
  <c r="GE103" i="51"/>
  <c r="GD103" i="51"/>
  <c r="GC103" i="51"/>
  <c r="GB103" i="51"/>
  <c r="GA103" i="51"/>
  <c r="FZ103" i="51"/>
  <c r="FY103" i="51"/>
  <c r="FX103" i="51"/>
  <c r="FW103" i="51"/>
  <c r="FV103" i="51"/>
  <c r="FU103" i="51"/>
  <c r="FT103" i="51"/>
  <c r="FS103" i="51"/>
  <c r="FR103" i="51"/>
  <c r="FQ103" i="51"/>
  <c r="FP103" i="51"/>
  <c r="FO103" i="51"/>
  <c r="FN103" i="51"/>
  <c r="FM103" i="51"/>
  <c r="FL103" i="51"/>
  <c r="FK103" i="51"/>
  <c r="FJ103" i="51"/>
  <c r="FI103" i="51"/>
  <c r="FH103" i="51"/>
  <c r="FG103" i="51"/>
  <c r="FF103" i="51"/>
  <c r="FE103" i="51"/>
  <c r="FD103" i="51"/>
  <c r="FC103" i="51"/>
  <c r="FB103" i="51"/>
  <c r="FA103" i="51"/>
  <c r="EZ103" i="51"/>
  <c r="EY103" i="51"/>
  <c r="EX103" i="51"/>
  <c r="EW103" i="51"/>
  <c r="EV103" i="51"/>
  <c r="EU103" i="51"/>
  <c r="ET103" i="51"/>
  <c r="ES103" i="51"/>
  <c r="ER103" i="51"/>
  <c r="EQ103" i="51"/>
  <c r="EP103" i="51"/>
  <c r="EO103" i="51"/>
  <c r="EN103" i="51"/>
  <c r="EM103" i="51"/>
  <c r="EL103" i="51"/>
  <c r="EK103" i="51"/>
  <c r="EJ103" i="51"/>
  <c r="EI103" i="51"/>
  <c r="EH103" i="51"/>
  <c r="EG103" i="51"/>
  <c r="EF103" i="51"/>
  <c r="EE103" i="51"/>
  <c r="ED103" i="51"/>
  <c r="EC103" i="51"/>
  <c r="EB103" i="51"/>
  <c r="EA103" i="51"/>
  <c r="DZ103" i="51"/>
  <c r="DY103" i="51"/>
  <c r="DX103" i="51"/>
  <c r="DW103" i="51"/>
  <c r="DV103" i="51"/>
  <c r="DU103" i="51"/>
  <c r="DT103" i="51"/>
  <c r="DS103" i="51"/>
  <c r="DR103" i="51"/>
  <c r="DQ103" i="51"/>
  <c r="DP103" i="51"/>
  <c r="DO103" i="51"/>
  <c r="DN103" i="51"/>
  <c r="DM103" i="51"/>
  <c r="DL103" i="51"/>
  <c r="DK103" i="51"/>
  <c r="DJ103" i="51"/>
  <c r="DI103" i="51"/>
  <c r="DH103" i="51"/>
  <c r="DG103" i="51"/>
  <c r="DF103" i="51"/>
  <c r="DE103" i="51"/>
  <c r="DD103" i="51"/>
  <c r="DC103" i="51"/>
  <c r="DB103" i="51"/>
  <c r="DA103" i="51"/>
  <c r="CZ103" i="51"/>
  <c r="CY103" i="51"/>
  <c r="CX103" i="51"/>
  <c r="CW103" i="51"/>
  <c r="CV103" i="51"/>
  <c r="CU103" i="51"/>
  <c r="CT103" i="51"/>
  <c r="CS103" i="51"/>
  <c r="CR103" i="51"/>
  <c r="CQ103" i="51"/>
  <c r="CP103" i="51"/>
  <c r="CO103" i="51"/>
  <c r="CN103" i="51"/>
  <c r="CM103" i="51"/>
  <c r="CL103" i="51"/>
  <c r="CK103" i="51"/>
  <c r="CJ103" i="51"/>
  <c r="CI103" i="51"/>
  <c r="CH103" i="51"/>
  <c r="CG103" i="51"/>
  <c r="CF103" i="51"/>
  <c r="CE103" i="51"/>
  <c r="CD103" i="51"/>
  <c r="CC103" i="51"/>
  <c r="CB103" i="51"/>
  <c r="CA103" i="51"/>
  <c r="BZ103" i="51"/>
  <c r="BY103" i="51"/>
  <c r="BX103" i="51"/>
  <c r="BW103" i="51"/>
  <c r="BV103" i="51"/>
  <c r="BU103" i="51"/>
  <c r="BT103" i="51"/>
  <c r="BS103" i="51"/>
  <c r="BR103" i="51"/>
  <c r="BQ103" i="51"/>
  <c r="BP103" i="51"/>
  <c r="BO103" i="51"/>
  <c r="BN103" i="51"/>
  <c r="BM103" i="51"/>
  <c r="BL103" i="51"/>
  <c r="BK103" i="51"/>
  <c r="BJ103" i="51"/>
  <c r="BI103" i="51"/>
  <c r="BH103" i="51"/>
  <c r="BG103" i="51"/>
  <c r="BF103" i="51"/>
  <c r="BE103" i="51"/>
  <c r="BD103" i="51"/>
  <c r="BC103" i="51"/>
  <c r="BB103" i="51"/>
  <c r="BA103" i="51"/>
  <c r="AZ103" i="51"/>
  <c r="AY103" i="51"/>
  <c r="AX103" i="51"/>
  <c r="AW103" i="51"/>
  <c r="AV103" i="51"/>
  <c r="AU103" i="51"/>
  <c r="AT103" i="51"/>
  <c r="AS103" i="51"/>
  <c r="AR103" i="51"/>
  <c r="AQ103" i="51"/>
  <c r="AP103" i="51"/>
  <c r="AO103" i="51"/>
  <c r="AN103" i="51"/>
  <c r="AM103" i="51"/>
  <c r="AL103" i="51"/>
  <c r="AK103" i="51"/>
  <c r="AJ103" i="51"/>
  <c r="AI103" i="51"/>
  <c r="AH103" i="51"/>
  <c r="AG103" i="51"/>
  <c r="AF103" i="51"/>
  <c r="AE103" i="51"/>
  <c r="AD103" i="51"/>
  <c r="AC103" i="51"/>
  <c r="AB103" i="51"/>
  <c r="AA103" i="51"/>
  <c r="Z103" i="51"/>
  <c r="Y103" i="51"/>
  <c r="X103" i="51"/>
  <c r="W103" i="51"/>
  <c r="V103" i="51"/>
  <c r="U103" i="51"/>
  <c r="T103" i="51"/>
  <c r="S103" i="51"/>
  <c r="R103" i="51"/>
  <c r="Q103" i="51"/>
  <c r="P103" i="51"/>
  <c r="O103" i="51"/>
  <c r="N103" i="51"/>
  <c r="M103" i="51"/>
  <c r="L103" i="51"/>
  <c r="K103" i="51"/>
  <c r="J103" i="51"/>
  <c r="I103" i="51"/>
  <c r="H103" i="51"/>
  <c r="G103" i="51"/>
  <c r="F103" i="51"/>
  <c r="IV102" i="51"/>
  <c r="IU102" i="51"/>
  <c r="IT102" i="51"/>
  <c r="IS102" i="51"/>
  <c r="IR102" i="51"/>
  <c r="IQ102" i="51"/>
  <c r="IP102" i="51"/>
  <c r="IO102" i="51"/>
  <c r="IN102" i="51"/>
  <c r="IM102" i="51"/>
  <c r="IL102" i="51"/>
  <c r="IK102" i="51"/>
  <c r="IJ102" i="51"/>
  <c r="II102" i="51"/>
  <c r="IH102" i="51"/>
  <c r="IG102" i="51"/>
  <c r="IF102" i="51"/>
  <c r="IE102" i="51"/>
  <c r="ID102" i="51"/>
  <c r="IC102" i="51"/>
  <c r="IB102" i="51"/>
  <c r="IA102" i="51"/>
  <c r="HZ102" i="51"/>
  <c r="HY102" i="51"/>
  <c r="HX102" i="51"/>
  <c r="HW102" i="51"/>
  <c r="HV102" i="51"/>
  <c r="HU102" i="51"/>
  <c r="HT102" i="51"/>
  <c r="HS102" i="51"/>
  <c r="HR102" i="51"/>
  <c r="HQ102" i="51"/>
  <c r="HP102" i="51"/>
  <c r="HO102" i="51"/>
  <c r="HN102" i="51"/>
  <c r="HM102" i="51"/>
  <c r="HL102" i="51"/>
  <c r="HK102" i="51"/>
  <c r="HJ102" i="51"/>
  <c r="HI102" i="51"/>
  <c r="HH102" i="51"/>
  <c r="HG102" i="51"/>
  <c r="HF102" i="51"/>
  <c r="HE102" i="51"/>
  <c r="HD102" i="51"/>
  <c r="HC102" i="51"/>
  <c r="HB102" i="51"/>
  <c r="HA102" i="51"/>
  <c r="GZ102" i="51"/>
  <c r="GY102" i="51"/>
  <c r="GX102" i="51"/>
  <c r="GW102" i="51"/>
  <c r="GV102" i="51"/>
  <c r="GU102" i="51"/>
  <c r="GT102" i="51"/>
  <c r="GS102" i="51"/>
  <c r="GR102" i="51"/>
  <c r="GQ102" i="51"/>
  <c r="GP102" i="51"/>
  <c r="GO102" i="51"/>
  <c r="GN102" i="51"/>
  <c r="GM102" i="51"/>
  <c r="GL102" i="51"/>
  <c r="GK102" i="51"/>
  <c r="GJ102" i="51"/>
  <c r="GI102" i="51"/>
  <c r="GH102" i="51"/>
  <c r="GG102" i="51"/>
  <c r="GF102" i="51"/>
  <c r="GE102" i="51"/>
  <c r="GD102" i="51"/>
  <c r="GC102" i="51"/>
  <c r="GB102" i="51"/>
  <c r="GA102" i="51"/>
  <c r="FZ102" i="51"/>
  <c r="FY102" i="51"/>
  <c r="FX102" i="51"/>
  <c r="FW102" i="51"/>
  <c r="FV102" i="51"/>
  <c r="FU102" i="51"/>
  <c r="FT102" i="51"/>
  <c r="FS102" i="51"/>
  <c r="FR102" i="51"/>
  <c r="FQ102" i="51"/>
  <c r="FP102" i="51"/>
  <c r="FO102" i="51"/>
  <c r="FN102" i="51"/>
  <c r="FM102" i="51"/>
  <c r="FL102" i="51"/>
  <c r="FK102" i="51"/>
  <c r="FJ102" i="51"/>
  <c r="FI102" i="51"/>
  <c r="FH102" i="51"/>
  <c r="FG102" i="51"/>
  <c r="FF102" i="51"/>
  <c r="FE102" i="51"/>
  <c r="FD102" i="51"/>
  <c r="FC102" i="51"/>
  <c r="FB102" i="51"/>
  <c r="FA102" i="51"/>
  <c r="EZ102" i="51"/>
  <c r="EY102" i="51"/>
  <c r="EX102" i="51"/>
  <c r="EW102" i="51"/>
  <c r="EV102" i="51"/>
  <c r="EU102" i="51"/>
  <c r="ET102" i="51"/>
  <c r="ES102" i="51"/>
  <c r="ER102" i="51"/>
  <c r="EQ102" i="51"/>
  <c r="EP102" i="51"/>
  <c r="EO102" i="51"/>
  <c r="EN102" i="51"/>
  <c r="EM102" i="51"/>
  <c r="EL102" i="51"/>
  <c r="EK102" i="51"/>
  <c r="EJ102" i="51"/>
  <c r="EI102" i="51"/>
  <c r="EH102" i="51"/>
  <c r="EG102" i="51"/>
  <c r="EF102" i="51"/>
  <c r="EE102" i="51"/>
  <c r="ED102" i="51"/>
  <c r="EC102" i="51"/>
  <c r="EB102" i="51"/>
  <c r="EA102" i="51"/>
  <c r="DZ102" i="51"/>
  <c r="DY102" i="51"/>
  <c r="DX102" i="51"/>
  <c r="DW102" i="51"/>
  <c r="DV102" i="51"/>
  <c r="DU102" i="51"/>
  <c r="DT102" i="51"/>
  <c r="DS102" i="51"/>
  <c r="DR102" i="51"/>
  <c r="DQ102" i="51"/>
  <c r="DP102" i="51"/>
  <c r="DO102" i="51"/>
  <c r="DN102" i="51"/>
  <c r="DM102" i="51"/>
  <c r="DL102" i="51"/>
  <c r="DK102" i="51"/>
  <c r="DJ102" i="51"/>
  <c r="DI102" i="51"/>
  <c r="DH102" i="51"/>
  <c r="DG102" i="51"/>
  <c r="DF102" i="51"/>
  <c r="DE102" i="51"/>
  <c r="DD102" i="51"/>
  <c r="DC102" i="51"/>
  <c r="DB102" i="51"/>
  <c r="DA102" i="51"/>
  <c r="CZ102" i="51"/>
  <c r="CY102" i="51"/>
  <c r="CX102" i="51"/>
  <c r="CW102" i="51"/>
  <c r="CV102" i="51"/>
  <c r="CU102" i="51"/>
  <c r="CT102" i="51"/>
  <c r="CS102" i="51"/>
  <c r="CR102" i="51"/>
  <c r="CQ102" i="51"/>
  <c r="CP102" i="51"/>
  <c r="CO102" i="51"/>
  <c r="CN102" i="51"/>
  <c r="CM102" i="51"/>
  <c r="CL102" i="51"/>
  <c r="CK102" i="51"/>
  <c r="CJ102" i="51"/>
  <c r="CI102" i="51"/>
  <c r="CH102" i="51"/>
  <c r="CG102" i="51"/>
  <c r="CF102" i="51"/>
  <c r="CE102" i="51"/>
  <c r="CD102" i="51"/>
  <c r="CC102" i="51"/>
  <c r="CB102" i="51"/>
  <c r="CA102" i="51"/>
  <c r="BZ102" i="51"/>
  <c r="BY102" i="51"/>
  <c r="BX102" i="51"/>
  <c r="BW102" i="51"/>
  <c r="BV102" i="51"/>
  <c r="BU102" i="51"/>
  <c r="BT102" i="51"/>
  <c r="BS102" i="51"/>
  <c r="BR102" i="51"/>
  <c r="BQ102" i="51"/>
  <c r="BP102" i="51"/>
  <c r="BO102" i="51"/>
  <c r="BN102" i="51"/>
  <c r="BM102" i="51"/>
  <c r="BL102" i="51"/>
  <c r="BK102" i="51"/>
  <c r="BJ102" i="51"/>
  <c r="BI102" i="51"/>
  <c r="BH102" i="51"/>
  <c r="BG102" i="51"/>
  <c r="BF102" i="51"/>
  <c r="BE102" i="51"/>
  <c r="BD102" i="51"/>
  <c r="BC102" i="51"/>
  <c r="BB102" i="51"/>
  <c r="BA102" i="51"/>
  <c r="AZ102" i="51"/>
  <c r="AY102" i="51"/>
  <c r="AX102" i="51"/>
  <c r="AW102" i="51"/>
  <c r="AV102" i="51"/>
  <c r="AU102" i="51"/>
  <c r="AT102" i="51"/>
  <c r="AS102" i="51"/>
  <c r="AR102" i="51"/>
  <c r="AQ102" i="51"/>
  <c r="AP102" i="51"/>
  <c r="AO102" i="51"/>
  <c r="AN102" i="51"/>
  <c r="AM102" i="51"/>
  <c r="AL102" i="51"/>
  <c r="AK102" i="51"/>
  <c r="AJ102" i="51"/>
  <c r="AI102" i="51"/>
  <c r="AH102" i="51"/>
  <c r="AG102" i="51"/>
  <c r="AF102" i="51"/>
  <c r="AE102" i="51"/>
  <c r="AD102" i="51"/>
  <c r="AC102" i="51"/>
  <c r="AB102" i="51"/>
  <c r="AA102" i="51"/>
  <c r="Z102" i="51"/>
  <c r="Y102" i="51"/>
  <c r="X102" i="51"/>
  <c r="W102" i="51"/>
  <c r="V102" i="51"/>
  <c r="U102" i="51"/>
  <c r="T102" i="51"/>
  <c r="S102" i="51"/>
  <c r="R102" i="51"/>
  <c r="Q102" i="51"/>
  <c r="P102" i="51"/>
  <c r="O102" i="51"/>
  <c r="N102" i="51"/>
  <c r="M102" i="51"/>
  <c r="L102" i="51"/>
  <c r="K102" i="51"/>
  <c r="J102" i="51"/>
  <c r="I102" i="51"/>
  <c r="H102" i="51"/>
  <c r="G102" i="51"/>
  <c r="F102" i="51"/>
  <c r="IV101" i="51"/>
  <c r="IU101" i="51"/>
  <c r="IT101" i="51"/>
  <c r="IS101" i="51"/>
  <c r="IR101" i="51"/>
  <c r="IQ101" i="51"/>
  <c r="IP101" i="51"/>
  <c r="IO101" i="51"/>
  <c r="IN101" i="51"/>
  <c r="IM101" i="51"/>
  <c r="IL101" i="51"/>
  <c r="IK101" i="51"/>
  <c r="IJ101" i="51"/>
  <c r="II101" i="51"/>
  <c r="IH101" i="51"/>
  <c r="IG101" i="51"/>
  <c r="IF101" i="51"/>
  <c r="IE101" i="51"/>
  <c r="ID101" i="51"/>
  <c r="IC101" i="51"/>
  <c r="IB101" i="51"/>
  <c r="IA101" i="51"/>
  <c r="HZ101" i="51"/>
  <c r="HY101" i="51"/>
  <c r="HX101" i="51"/>
  <c r="HW101" i="51"/>
  <c r="HV101" i="51"/>
  <c r="HU101" i="51"/>
  <c r="HT101" i="51"/>
  <c r="HS101" i="51"/>
  <c r="HR101" i="51"/>
  <c r="HQ101" i="51"/>
  <c r="HP101" i="51"/>
  <c r="HO101" i="51"/>
  <c r="HN101" i="51"/>
  <c r="HM101" i="51"/>
  <c r="HL101" i="51"/>
  <c r="HK101" i="51"/>
  <c r="HJ101" i="51"/>
  <c r="HI101" i="51"/>
  <c r="HH101" i="51"/>
  <c r="HG101" i="51"/>
  <c r="HF101" i="51"/>
  <c r="HE101" i="51"/>
  <c r="HD101" i="51"/>
  <c r="HC101" i="51"/>
  <c r="HB101" i="51"/>
  <c r="HA101" i="51"/>
  <c r="GZ101" i="51"/>
  <c r="GY101" i="51"/>
  <c r="GX101" i="51"/>
  <c r="GW101" i="51"/>
  <c r="GV101" i="51"/>
  <c r="GU101" i="51"/>
  <c r="GT101" i="51"/>
  <c r="GS101" i="51"/>
  <c r="GR101" i="51"/>
  <c r="GQ101" i="51"/>
  <c r="GP101" i="51"/>
  <c r="GO101" i="51"/>
  <c r="GN101" i="51"/>
  <c r="GM101" i="51"/>
  <c r="GL101" i="51"/>
  <c r="GK101" i="51"/>
  <c r="GJ101" i="51"/>
  <c r="GI101" i="51"/>
  <c r="GH101" i="51"/>
  <c r="GG101" i="51"/>
  <c r="GF101" i="51"/>
  <c r="GE101" i="51"/>
  <c r="GD101" i="51"/>
  <c r="GC101" i="51"/>
  <c r="GB101" i="51"/>
  <c r="GA101" i="51"/>
  <c r="FZ101" i="51"/>
  <c r="FY101" i="51"/>
  <c r="FX101" i="51"/>
  <c r="FW101" i="51"/>
  <c r="FV101" i="51"/>
  <c r="FU101" i="51"/>
  <c r="FT101" i="51"/>
  <c r="FS101" i="51"/>
  <c r="FR101" i="51"/>
  <c r="FQ101" i="51"/>
  <c r="FP101" i="51"/>
  <c r="FO101" i="51"/>
  <c r="FN101" i="51"/>
  <c r="FM101" i="51"/>
  <c r="FL101" i="51"/>
  <c r="FK101" i="51"/>
  <c r="FJ101" i="51"/>
  <c r="FI101" i="51"/>
  <c r="FH101" i="51"/>
  <c r="FG101" i="51"/>
  <c r="FF101" i="51"/>
  <c r="FE101" i="51"/>
  <c r="FD101" i="51"/>
  <c r="FC101" i="51"/>
  <c r="FB101" i="51"/>
  <c r="FA101" i="51"/>
  <c r="EZ101" i="51"/>
  <c r="EY101" i="51"/>
  <c r="EX101" i="51"/>
  <c r="EW101" i="51"/>
  <c r="EV101" i="51"/>
  <c r="EU101" i="51"/>
  <c r="ET101" i="51"/>
  <c r="ES101" i="51"/>
  <c r="ER101" i="51"/>
  <c r="EQ101" i="51"/>
  <c r="EP101" i="51"/>
  <c r="EO101" i="51"/>
  <c r="EN101" i="51"/>
  <c r="EM101" i="51"/>
  <c r="EL101" i="51"/>
  <c r="EK101" i="51"/>
  <c r="EJ101" i="51"/>
  <c r="EI101" i="51"/>
  <c r="EH101" i="51"/>
  <c r="EG101" i="51"/>
  <c r="EF101" i="51"/>
  <c r="EE101" i="51"/>
  <c r="ED101" i="51"/>
  <c r="EC101" i="51"/>
  <c r="EB101" i="51"/>
  <c r="EA101" i="51"/>
  <c r="DZ101" i="51"/>
  <c r="DY101" i="51"/>
  <c r="DX101" i="51"/>
  <c r="DW101" i="51"/>
  <c r="DV101" i="51"/>
  <c r="DU101" i="51"/>
  <c r="DT101" i="51"/>
  <c r="DS101" i="51"/>
  <c r="DR101" i="51"/>
  <c r="DQ101" i="51"/>
  <c r="DP101" i="51"/>
  <c r="DO101" i="51"/>
  <c r="DN101" i="51"/>
  <c r="DM101" i="51"/>
  <c r="DL101" i="51"/>
  <c r="DK101" i="51"/>
  <c r="DJ101" i="51"/>
  <c r="DI101" i="51"/>
  <c r="DH101" i="51"/>
  <c r="DG101" i="51"/>
  <c r="DF101" i="51"/>
  <c r="DE101" i="51"/>
  <c r="DD101" i="51"/>
  <c r="DC101" i="51"/>
  <c r="DB101" i="51"/>
  <c r="DA101" i="51"/>
  <c r="CZ101" i="51"/>
  <c r="CY101" i="51"/>
  <c r="CX101" i="51"/>
  <c r="CW101" i="51"/>
  <c r="CV101" i="51"/>
  <c r="CU101" i="51"/>
  <c r="CT101" i="51"/>
  <c r="CS101" i="51"/>
  <c r="CR101" i="51"/>
  <c r="CQ101" i="51"/>
  <c r="CP101" i="51"/>
  <c r="CO101" i="51"/>
  <c r="CN101" i="51"/>
  <c r="CM101" i="51"/>
  <c r="CL101" i="51"/>
  <c r="CK101" i="51"/>
  <c r="CJ101" i="51"/>
  <c r="CI101" i="51"/>
  <c r="CH101" i="51"/>
  <c r="CG101" i="51"/>
  <c r="CF101" i="51"/>
  <c r="CE101" i="51"/>
  <c r="CD101" i="51"/>
  <c r="CC101" i="51"/>
  <c r="CB101" i="51"/>
  <c r="CA101" i="51"/>
  <c r="BZ101" i="51"/>
  <c r="BY101" i="51"/>
  <c r="BX101" i="51"/>
  <c r="BW101" i="51"/>
  <c r="BV101" i="51"/>
  <c r="BU101" i="51"/>
  <c r="BT101" i="51"/>
  <c r="BS101" i="51"/>
  <c r="BR101" i="51"/>
  <c r="BQ101" i="51"/>
  <c r="BP101" i="51"/>
  <c r="BO101" i="51"/>
  <c r="BN101" i="51"/>
  <c r="BM101" i="51"/>
  <c r="BL101" i="51"/>
  <c r="BK101" i="51"/>
  <c r="BJ101" i="51"/>
  <c r="BI101" i="51"/>
  <c r="BH101" i="51"/>
  <c r="BG101" i="51"/>
  <c r="BF101" i="51"/>
  <c r="BE101" i="51"/>
  <c r="BD101" i="51"/>
  <c r="BC101" i="51"/>
  <c r="BB101" i="51"/>
  <c r="BA101" i="51"/>
  <c r="AZ101" i="51"/>
  <c r="AY101" i="51"/>
  <c r="AX101" i="51"/>
  <c r="AW101" i="51"/>
  <c r="AV101" i="51"/>
  <c r="AU101" i="51"/>
  <c r="AT101" i="51"/>
  <c r="AS101" i="51"/>
  <c r="AR101" i="51"/>
  <c r="AQ101" i="51"/>
  <c r="AP101" i="51"/>
  <c r="AO101" i="51"/>
  <c r="AN101" i="51"/>
  <c r="AM101" i="51"/>
  <c r="AL101" i="51"/>
  <c r="AK101" i="51"/>
  <c r="AJ101" i="51"/>
  <c r="AI101" i="51"/>
  <c r="AH101" i="51"/>
  <c r="AG101" i="51"/>
  <c r="AF101" i="51"/>
  <c r="AE101" i="51"/>
  <c r="AD101" i="51"/>
  <c r="AC101" i="51"/>
  <c r="AB101" i="51"/>
  <c r="AA101" i="51"/>
  <c r="Z101" i="51"/>
  <c r="Y101" i="51"/>
  <c r="X101" i="51"/>
  <c r="W101" i="51"/>
  <c r="V101" i="51"/>
  <c r="U101" i="51"/>
  <c r="T101" i="51"/>
  <c r="S101" i="51"/>
  <c r="R101" i="51"/>
  <c r="Q101" i="51"/>
  <c r="P101" i="51"/>
  <c r="O101" i="51"/>
  <c r="N101" i="51"/>
  <c r="M101" i="51"/>
  <c r="L101" i="51"/>
  <c r="K101" i="51"/>
  <c r="J101" i="51"/>
  <c r="I101" i="51"/>
  <c r="H101" i="51"/>
  <c r="G101" i="51"/>
  <c r="F101" i="51"/>
  <c r="IV100" i="51"/>
  <c r="IU100" i="51"/>
  <c r="IT100" i="51"/>
  <c r="IS100" i="51"/>
  <c r="IR100" i="51"/>
  <c r="IQ100" i="51"/>
  <c r="IP100" i="51"/>
  <c r="IO100" i="51"/>
  <c r="IN100" i="51"/>
  <c r="IM100" i="51"/>
  <c r="IL100" i="51"/>
  <c r="IK100" i="51"/>
  <c r="IJ100" i="51"/>
  <c r="II100" i="51"/>
  <c r="IH100" i="51"/>
  <c r="IG100" i="51"/>
  <c r="IF100" i="51"/>
  <c r="IE100" i="51"/>
  <c r="ID100" i="51"/>
  <c r="IC100" i="51"/>
  <c r="IB100" i="51"/>
  <c r="IA100" i="51"/>
  <c r="HZ100" i="51"/>
  <c r="HY100" i="51"/>
  <c r="HX100" i="51"/>
  <c r="HW100" i="51"/>
  <c r="HV100" i="51"/>
  <c r="HU100" i="51"/>
  <c r="HT100" i="51"/>
  <c r="HS100" i="51"/>
  <c r="HR100" i="51"/>
  <c r="HQ100" i="51"/>
  <c r="HP100" i="51"/>
  <c r="HO100" i="51"/>
  <c r="HN100" i="51"/>
  <c r="HM100" i="51"/>
  <c r="HL100" i="51"/>
  <c r="HK100" i="51"/>
  <c r="HJ100" i="51"/>
  <c r="HI100" i="51"/>
  <c r="HH100" i="51"/>
  <c r="HG100" i="51"/>
  <c r="HF100" i="51"/>
  <c r="HE100" i="51"/>
  <c r="HD100" i="51"/>
  <c r="HC100" i="51"/>
  <c r="HB100" i="51"/>
  <c r="HA100" i="51"/>
  <c r="GZ100" i="51"/>
  <c r="GY100" i="51"/>
  <c r="GX100" i="51"/>
  <c r="GW100" i="51"/>
  <c r="GV100" i="51"/>
  <c r="GU100" i="51"/>
  <c r="GT100" i="51"/>
  <c r="GS100" i="51"/>
  <c r="GR100" i="51"/>
  <c r="GQ100" i="51"/>
  <c r="GP100" i="51"/>
  <c r="GO100" i="51"/>
  <c r="GN100" i="51"/>
  <c r="GM100" i="51"/>
  <c r="GL100" i="51"/>
  <c r="GK100" i="51"/>
  <c r="GJ100" i="51"/>
  <c r="GI100" i="51"/>
  <c r="GH100" i="51"/>
  <c r="GG100" i="51"/>
  <c r="GF100" i="51"/>
  <c r="GE100" i="51"/>
  <c r="GD100" i="51"/>
  <c r="GC100" i="51"/>
  <c r="GB100" i="51"/>
  <c r="GA100" i="51"/>
  <c r="FZ100" i="51"/>
  <c r="FY100" i="51"/>
  <c r="FX100" i="51"/>
  <c r="FW100" i="51"/>
  <c r="FV100" i="51"/>
  <c r="FU100" i="51"/>
  <c r="FT100" i="51"/>
  <c r="FS100" i="51"/>
  <c r="FR100" i="51"/>
  <c r="FQ100" i="51"/>
  <c r="FP100" i="51"/>
  <c r="FO100" i="51"/>
  <c r="FN100" i="51"/>
  <c r="FM100" i="51"/>
  <c r="FL100" i="51"/>
  <c r="FK100" i="51"/>
  <c r="FJ100" i="51"/>
  <c r="FI100" i="51"/>
  <c r="FH100" i="51"/>
  <c r="FG100" i="51"/>
  <c r="FF100" i="51"/>
  <c r="FE100" i="51"/>
  <c r="FD100" i="51"/>
  <c r="FC100" i="51"/>
  <c r="FB100" i="51"/>
  <c r="FA100" i="51"/>
  <c r="EZ100" i="51"/>
  <c r="EY100" i="51"/>
  <c r="EX100" i="51"/>
  <c r="EW100" i="51"/>
  <c r="EV100" i="51"/>
  <c r="EU100" i="51"/>
  <c r="ET100" i="51"/>
  <c r="ES100" i="51"/>
  <c r="ER100" i="51"/>
  <c r="EQ100" i="51"/>
  <c r="EP100" i="51"/>
  <c r="EO100" i="51"/>
  <c r="EN100" i="51"/>
  <c r="EM100" i="51"/>
  <c r="EL100" i="51"/>
  <c r="EK100" i="51"/>
  <c r="EJ100" i="51"/>
  <c r="EI100" i="51"/>
  <c r="EH100" i="51"/>
  <c r="EG100" i="51"/>
  <c r="EF100" i="51"/>
  <c r="EE100" i="51"/>
  <c r="ED100" i="51"/>
  <c r="EC100" i="51"/>
  <c r="EB100" i="51"/>
  <c r="EA100" i="51"/>
  <c r="DZ100" i="51"/>
  <c r="DY100" i="51"/>
  <c r="DX100" i="51"/>
  <c r="DW100" i="51"/>
  <c r="DV100" i="51"/>
  <c r="DU100" i="51"/>
  <c r="DT100" i="51"/>
  <c r="DS100" i="51"/>
  <c r="DR100" i="51"/>
  <c r="DQ100" i="51"/>
  <c r="DP100" i="51"/>
  <c r="DO100" i="51"/>
  <c r="DN100" i="51"/>
  <c r="DM100" i="51"/>
  <c r="DL100" i="51"/>
  <c r="DK100" i="51"/>
  <c r="DJ100" i="51"/>
  <c r="DI100" i="51"/>
  <c r="DH100" i="51"/>
  <c r="DG100" i="51"/>
  <c r="DF100" i="51"/>
  <c r="DE100" i="51"/>
  <c r="DD100" i="51"/>
  <c r="DC100" i="51"/>
  <c r="DB100" i="51"/>
  <c r="DA100" i="51"/>
  <c r="CZ100" i="51"/>
  <c r="CY100" i="51"/>
  <c r="CX100" i="51"/>
  <c r="CW100" i="51"/>
  <c r="CV100" i="51"/>
  <c r="CU100" i="51"/>
  <c r="CT100" i="51"/>
  <c r="CS100" i="51"/>
  <c r="CR100" i="51"/>
  <c r="CQ100" i="51"/>
  <c r="CP100" i="51"/>
  <c r="CO100" i="51"/>
  <c r="CN100" i="51"/>
  <c r="CM100" i="51"/>
  <c r="CL100" i="51"/>
  <c r="CK100" i="51"/>
  <c r="CJ100" i="51"/>
  <c r="CI100" i="51"/>
  <c r="CH100" i="51"/>
  <c r="CG100" i="51"/>
  <c r="CF100" i="51"/>
  <c r="CE100" i="51"/>
  <c r="CD100" i="51"/>
  <c r="CC100" i="51"/>
  <c r="CB100" i="51"/>
  <c r="CA100" i="51"/>
  <c r="BZ100" i="51"/>
  <c r="BY100" i="51"/>
  <c r="BX100" i="51"/>
  <c r="BW100" i="51"/>
  <c r="BV100" i="51"/>
  <c r="BU100" i="51"/>
  <c r="BT100" i="51"/>
  <c r="BS100" i="51"/>
  <c r="BR100" i="51"/>
  <c r="BQ100" i="51"/>
  <c r="BP100" i="51"/>
  <c r="BO100" i="51"/>
  <c r="BN100" i="51"/>
  <c r="BM100" i="51"/>
  <c r="BL100" i="51"/>
  <c r="BK100" i="51"/>
  <c r="BJ100" i="51"/>
  <c r="BI100" i="51"/>
  <c r="BH100" i="51"/>
  <c r="BG100" i="51"/>
  <c r="BF100" i="51"/>
  <c r="BE100" i="51"/>
  <c r="BD100" i="51"/>
  <c r="BC100" i="51"/>
  <c r="BB100" i="51"/>
  <c r="BA100" i="51"/>
  <c r="AZ100" i="51"/>
  <c r="AY100" i="51"/>
  <c r="AX100" i="51"/>
  <c r="AW100" i="51"/>
  <c r="AV100" i="51"/>
  <c r="AU100" i="51"/>
  <c r="AT100" i="51"/>
  <c r="AS100" i="51"/>
  <c r="AR100" i="51"/>
  <c r="AQ100" i="51"/>
  <c r="AP100" i="51"/>
  <c r="AO100" i="51"/>
  <c r="AN100" i="51"/>
  <c r="AM100" i="51"/>
  <c r="AL100" i="51"/>
  <c r="AK100" i="51"/>
  <c r="AJ100" i="51"/>
  <c r="AI100" i="51"/>
  <c r="AH100" i="51"/>
  <c r="AG100" i="51"/>
  <c r="AF100" i="51"/>
  <c r="AE100" i="51"/>
  <c r="AD100" i="51"/>
  <c r="AC100" i="51"/>
  <c r="AB100" i="51"/>
  <c r="AA100" i="51"/>
  <c r="Z100" i="51"/>
  <c r="Y100" i="51"/>
  <c r="X100" i="51"/>
  <c r="W100" i="51"/>
  <c r="V100" i="51"/>
  <c r="U100" i="51"/>
  <c r="T100" i="51"/>
  <c r="S100" i="51"/>
  <c r="R100" i="51"/>
  <c r="Q100" i="51"/>
  <c r="P100" i="51"/>
  <c r="O100" i="51"/>
  <c r="N100" i="51"/>
  <c r="M100" i="51"/>
  <c r="L100" i="51"/>
  <c r="K100" i="51"/>
  <c r="J100" i="51"/>
  <c r="I100" i="51"/>
  <c r="H100" i="51"/>
  <c r="G100" i="51"/>
  <c r="F100" i="51"/>
  <c r="IV99" i="51"/>
  <c r="IU99" i="51"/>
  <c r="IT99" i="51"/>
  <c r="IS99" i="51"/>
  <c r="IR99" i="51"/>
  <c r="IQ99" i="51"/>
  <c r="IP99" i="51"/>
  <c r="IO99" i="51"/>
  <c r="IN99" i="51"/>
  <c r="IM99" i="51"/>
  <c r="IL99" i="51"/>
  <c r="IK99" i="51"/>
  <c r="IJ99" i="51"/>
  <c r="II99" i="51"/>
  <c r="IH99" i="51"/>
  <c r="IG99" i="51"/>
  <c r="IF99" i="51"/>
  <c r="IE99" i="51"/>
  <c r="ID99" i="51"/>
  <c r="IC99" i="51"/>
  <c r="IB99" i="51"/>
  <c r="IA99" i="51"/>
  <c r="HZ99" i="51"/>
  <c r="HY99" i="51"/>
  <c r="HX99" i="51"/>
  <c r="HW99" i="51"/>
  <c r="HV99" i="51"/>
  <c r="HU99" i="51"/>
  <c r="HT99" i="51"/>
  <c r="HS99" i="51"/>
  <c r="HR99" i="51"/>
  <c r="HQ99" i="51"/>
  <c r="HP99" i="51"/>
  <c r="HO99" i="51"/>
  <c r="HN99" i="51"/>
  <c r="HM99" i="51"/>
  <c r="HL99" i="51"/>
  <c r="HK99" i="51"/>
  <c r="HJ99" i="51"/>
  <c r="HI99" i="51"/>
  <c r="HH99" i="51"/>
  <c r="HG99" i="51"/>
  <c r="HF99" i="51"/>
  <c r="HE99" i="51"/>
  <c r="HD99" i="51"/>
  <c r="HC99" i="51"/>
  <c r="HB99" i="51"/>
  <c r="HA99" i="51"/>
  <c r="GZ99" i="51"/>
  <c r="GY99" i="51"/>
  <c r="GX99" i="51"/>
  <c r="GW99" i="51"/>
  <c r="GV99" i="51"/>
  <c r="GU99" i="51"/>
  <c r="GT99" i="51"/>
  <c r="GS99" i="51"/>
  <c r="GR99" i="51"/>
  <c r="GQ99" i="51"/>
  <c r="GP99" i="51"/>
  <c r="GO99" i="51"/>
  <c r="GN99" i="51"/>
  <c r="GM99" i="51"/>
  <c r="GL99" i="51"/>
  <c r="GK99" i="51"/>
  <c r="GJ99" i="51"/>
  <c r="GI99" i="51"/>
  <c r="GH99" i="51"/>
  <c r="GG99" i="51"/>
  <c r="GF99" i="51"/>
  <c r="GE99" i="51"/>
  <c r="GD99" i="51"/>
  <c r="GC99" i="51"/>
  <c r="GB99" i="51"/>
  <c r="GA99" i="51"/>
  <c r="FZ99" i="51"/>
  <c r="FY99" i="51"/>
  <c r="FX99" i="51"/>
  <c r="FW99" i="51"/>
  <c r="FV99" i="51"/>
  <c r="FU99" i="51"/>
  <c r="FT99" i="51"/>
  <c r="FS99" i="51"/>
  <c r="FR99" i="51"/>
  <c r="FQ99" i="51"/>
  <c r="FP99" i="51"/>
  <c r="FO99" i="51"/>
  <c r="FN99" i="51"/>
  <c r="FM99" i="51"/>
  <c r="FL99" i="51"/>
  <c r="FK99" i="51"/>
  <c r="FJ99" i="51"/>
  <c r="FI99" i="51"/>
  <c r="FH99" i="51"/>
  <c r="FG99" i="51"/>
  <c r="FF99" i="51"/>
  <c r="FE99" i="51"/>
  <c r="FD99" i="51"/>
  <c r="FC99" i="51"/>
  <c r="FB99" i="51"/>
  <c r="FA99" i="51"/>
  <c r="EZ99" i="51"/>
  <c r="EY99" i="51"/>
  <c r="EX99" i="51"/>
  <c r="EW99" i="51"/>
  <c r="EV99" i="51"/>
  <c r="EU99" i="51"/>
  <c r="ET99" i="51"/>
  <c r="ES99" i="51"/>
  <c r="ER99" i="51"/>
  <c r="EQ99" i="51"/>
  <c r="EP99" i="51"/>
  <c r="EO99" i="51"/>
  <c r="EN99" i="51"/>
  <c r="EM99" i="51"/>
  <c r="EL99" i="51"/>
  <c r="EK99" i="51"/>
  <c r="EJ99" i="51"/>
  <c r="EI99" i="51"/>
  <c r="EH99" i="51"/>
  <c r="EG99" i="51"/>
  <c r="EF99" i="51"/>
  <c r="EE99" i="51"/>
  <c r="ED99" i="51"/>
  <c r="EC99" i="51"/>
  <c r="EB99" i="51"/>
  <c r="EA99" i="51"/>
  <c r="DZ99" i="51"/>
  <c r="DY99" i="51"/>
  <c r="DX99" i="51"/>
  <c r="DW99" i="51"/>
  <c r="DV99" i="51"/>
  <c r="DU99" i="51"/>
  <c r="DT99" i="51"/>
  <c r="DS99" i="51"/>
  <c r="DR99" i="51"/>
  <c r="DQ99" i="51"/>
  <c r="DP99" i="51"/>
  <c r="DO99" i="51"/>
  <c r="DN99" i="51"/>
  <c r="DM99" i="51"/>
  <c r="DL99" i="51"/>
  <c r="DK99" i="51"/>
  <c r="DJ99" i="51"/>
  <c r="DI99" i="51"/>
  <c r="DH99" i="51"/>
  <c r="DG99" i="51"/>
  <c r="DF99" i="51"/>
  <c r="DE99" i="51"/>
  <c r="DD99" i="51"/>
  <c r="DC99" i="51"/>
  <c r="DB99" i="51"/>
  <c r="DA99" i="51"/>
  <c r="CZ99" i="51"/>
  <c r="CY99" i="51"/>
  <c r="CX99" i="51"/>
  <c r="CW99" i="51"/>
  <c r="CV99" i="51"/>
  <c r="CU99" i="51"/>
  <c r="CT99" i="51"/>
  <c r="CS99" i="51"/>
  <c r="CR99" i="51"/>
  <c r="CQ99" i="51"/>
  <c r="CP99" i="51"/>
  <c r="CO99" i="51"/>
  <c r="CN99" i="51"/>
  <c r="CM99" i="51"/>
  <c r="CL99" i="51"/>
  <c r="CK99" i="51"/>
  <c r="CJ99" i="51"/>
  <c r="CI99" i="51"/>
  <c r="CH99" i="51"/>
  <c r="CG99" i="51"/>
  <c r="CF99" i="51"/>
  <c r="CE99" i="51"/>
  <c r="CD99" i="51"/>
  <c r="CC99" i="51"/>
  <c r="CB99" i="51"/>
  <c r="CA99" i="51"/>
  <c r="BZ99" i="51"/>
  <c r="BY99" i="51"/>
  <c r="BX99" i="51"/>
  <c r="BW99" i="51"/>
  <c r="BV99" i="51"/>
  <c r="BU99" i="51"/>
  <c r="BT99" i="51"/>
  <c r="BS99" i="51"/>
  <c r="BR99" i="51"/>
  <c r="BQ99" i="51"/>
  <c r="BP99" i="51"/>
  <c r="BO99" i="51"/>
  <c r="BN99" i="51"/>
  <c r="BM99" i="51"/>
  <c r="BL99" i="51"/>
  <c r="BK99" i="51"/>
  <c r="BJ99" i="51"/>
  <c r="BI99" i="51"/>
  <c r="BH99" i="51"/>
  <c r="BG99" i="51"/>
  <c r="BF99" i="51"/>
  <c r="BE99" i="51"/>
  <c r="BD99" i="51"/>
  <c r="BC99" i="51"/>
  <c r="BB99" i="51"/>
  <c r="BA99" i="51"/>
  <c r="AZ99" i="51"/>
  <c r="AY99" i="51"/>
  <c r="AX99" i="51"/>
  <c r="AW99" i="51"/>
  <c r="AV99" i="51"/>
  <c r="AU99" i="51"/>
  <c r="AT99" i="51"/>
  <c r="AS99" i="51"/>
  <c r="AR99" i="51"/>
  <c r="AQ99" i="51"/>
  <c r="AP99" i="51"/>
  <c r="AO99" i="51"/>
  <c r="AN99" i="51"/>
  <c r="AM99" i="51"/>
  <c r="AL99" i="51"/>
  <c r="AK99" i="51"/>
  <c r="AJ99" i="51"/>
  <c r="AI99" i="51"/>
  <c r="AH99" i="51"/>
  <c r="AG99" i="51"/>
  <c r="AF99" i="51"/>
  <c r="AE99" i="51"/>
  <c r="AD99" i="51"/>
  <c r="AC99" i="51"/>
  <c r="AB99" i="51"/>
  <c r="AA99" i="51"/>
  <c r="Z99" i="51"/>
  <c r="Y99" i="51"/>
  <c r="X99" i="51"/>
  <c r="W99" i="51"/>
  <c r="V99" i="51"/>
  <c r="U99" i="51"/>
  <c r="T99" i="51"/>
  <c r="S99" i="51"/>
  <c r="R99" i="51"/>
  <c r="Q99" i="51"/>
  <c r="P99" i="51"/>
  <c r="O99" i="51"/>
  <c r="N99" i="51"/>
  <c r="M99" i="51"/>
  <c r="L99" i="51"/>
  <c r="K99" i="51"/>
  <c r="J99" i="51"/>
  <c r="I99" i="51"/>
  <c r="H99" i="51"/>
  <c r="G99" i="51"/>
  <c r="F99" i="51"/>
  <c r="IV98" i="51"/>
  <c r="IU98" i="51"/>
  <c r="IT98" i="51"/>
  <c r="IS98" i="51"/>
  <c r="IR98" i="51"/>
  <c r="IQ98" i="51"/>
  <c r="IP98" i="51"/>
  <c r="IO98" i="51"/>
  <c r="IN98" i="51"/>
  <c r="IM98" i="51"/>
  <c r="IL98" i="51"/>
  <c r="IK98" i="51"/>
  <c r="IJ98" i="51"/>
  <c r="II98" i="51"/>
  <c r="IH98" i="51"/>
  <c r="IG98" i="51"/>
  <c r="IF98" i="51"/>
  <c r="IE98" i="51"/>
  <c r="ID98" i="51"/>
  <c r="IC98" i="51"/>
  <c r="IB98" i="51"/>
  <c r="IA98" i="51"/>
  <c r="HZ98" i="51"/>
  <c r="HY98" i="51"/>
  <c r="HX98" i="51"/>
  <c r="HW98" i="51"/>
  <c r="HV98" i="51"/>
  <c r="HU98" i="51"/>
  <c r="HT98" i="51"/>
  <c r="HS98" i="51"/>
  <c r="HR98" i="51"/>
  <c r="HQ98" i="51"/>
  <c r="HP98" i="51"/>
  <c r="HO98" i="51"/>
  <c r="HN98" i="51"/>
  <c r="HM98" i="51"/>
  <c r="HL98" i="51"/>
  <c r="HK98" i="51"/>
  <c r="HJ98" i="51"/>
  <c r="HI98" i="51"/>
  <c r="HH98" i="51"/>
  <c r="HG98" i="51"/>
  <c r="HF98" i="51"/>
  <c r="HE98" i="51"/>
  <c r="HD98" i="51"/>
  <c r="HC98" i="51"/>
  <c r="HB98" i="51"/>
  <c r="HA98" i="51"/>
  <c r="GZ98" i="51"/>
  <c r="GY98" i="51"/>
  <c r="GX98" i="51"/>
  <c r="GW98" i="51"/>
  <c r="GV98" i="51"/>
  <c r="GU98" i="51"/>
  <c r="GT98" i="51"/>
  <c r="GS98" i="51"/>
  <c r="GR98" i="51"/>
  <c r="GQ98" i="51"/>
  <c r="GP98" i="51"/>
  <c r="GO98" i="51"/>
  <c r="GN98" i="51"/>
  <c r="GM98" i="51"/>
  <c r="GL98" i="51"/>
  <c r="GK98" i="51"/>
  <c r="GJ98" i="51"/>
  <c r="GI98" i="51"/>
  <c r="GH98" i="51"/>
  <c r="GG98" i="51"/>
  <c r="GF98" i="51"/>
  <c r="GE98" i="51"/>
  <c r="GD98" i="51"/>
  <c r="GC98" i="51"/>
  <c r="GB98" i="51"/>
  <c r="GA98" i="51"/>
  <c r="FZ98" i="51"/>
  <c r="FY98" i="51"/>
  <c r="FX98" i="51"/>
  <c r="FW98" i="51"/>
  <c r="FV98" i="51"/>
  <c r="FU98" i="51"/>
  <c r="FT98" i="51"/>
  <c r="FS98" i="51"/>
  <c r="FR98" i="51"/>
  <c r="FQ98" i="51"/>
  <c r="FP98" i="51"/>
  <c r="FO98" i="51"/>
  <c r="FN98" i="51"/>
  <c r="FM98" i="51"/>
  <c r="FL98" i="51"/>
  <c r="FK98" i="51"/>
  <c r="FJ98" i="51"/>
  <c r="FI98" i="51"/>
  <c r="FH98" i="51"/>
  <c r="FG98" i="51"/>
  <c r="FF98" i="51"/>
  <c r="FE98" i="51"/>
  <c r="FD98" i="51"/>
  <c r="FC98" i="51"/>
  <c r="FB98" i="51"/>
  <c r="FA98" i="51"/>
  <c r="EZ98" i="51"/>
  <c r="EY98" i="51"/>
  <c r="EX98" i="51"/>
  <c r="EW98" i="51"/>
  <c r="EV98" i="51"/>
  <c r="EU98" i="51"/>
  <c r="ET98" i="51"/>
  <c r="ES98" i="51"/>
  <c r="ER98" i="51"/>
  <c r="EQ98" i="51"/>
  <c r="EP98" i="51"/>
  <c r="EO98" i="51"/>
  <c r="EN98" i="51"/>
  <c r="EM98" i="51"/>
  <c r="EL98" i="51"/>
  <c r="EK98" i="51"/>
  <c r="EJ98" i="51"/>
  <c r="EI98" i="51"/>
  <c r="EH98" i="51"/>
  <c r="EG98" i="51"/>
  <c r="EF98" i="51"/>
  <c r="EE98" i="51"/>
  <c r="ED98" i="51"/>
  <c r="EC98" i="51"/>
  <c r="EB98" i="51"/>
  <c r="EA98" i="51"/>
  <c r="DZ98" i="51"/>
  <c r="DY98" i="51"/>
  <c r="DX98" i="51"/>
  <c r="DW98" i="51"/>
  <c r="DV98" i="51"/>
  <c r="DU98" i="51"/>
  <c r="DT98" i="51"/>
  <c r="DS98" i="51"/>
  <c r="DR98" i="51"/>
  <c r="DQ98" i="51"/>
  <c r="DP98" i="51"/>
  <c r="DO98" i="51"/>
  <c r="DN98" i="51"/>
  <c r="DM98" i="51"/>
  <c r="DL98" i="51"/>
  <c r="DK98" i="51"/>
  <c r="DJ98" i="51"/>
  <c r="DI98" i="51"/>
  <c r="DH98" i="51"/>
  <c r="DG98" i="51"/>
  <c r="DF98" i="51"/>
  <c r="DE98" i="51"/>
  <c r="DD98" i="51"/>
  <c r="DC98" i="51"/>
  <c r="DB98" i="51"/>
  <c r="DA98" i="51"/>
  <c r="CZ98" i="51"/>
  <c r="CY98" i="51"/>
  <c r="CX98" i="51"/>
  <c r="CW98" i="51"/>
  <c r="CV98" i="51"/>
  <c r="CU98" i="51"/>
  <c r="CT98" i="51"/>
  <c r="CS98" i="51"/>
  <c r="CR98" i="51"/>
  <c r="CQ98" i="51"/>
  <c r="CP98" i="51"/>
  <c r="CO98" i="51"/>
  <c r="CN98" i="51"/>
  <c r="CM98" i="51"/>
  <c r="CL98" i="51"/>
  <c r="CK98" i="51"/>
  <c r="CJ98" i="51"/>
  <c r="CI98" i="51"/>
  <c r="CH98" i="51"/>
  <c r="CG98" i="51"/>
  <c r="CF98" i="51"/>
  <c r="CE98" i="51"/>
  <c r="CD98" i="51"/>
  <c r="CC98" i="51"/>
  <c r="CB98" i="51"/>
  <c r="CA98" i="51"/>
  <c r="BZ98" i="51"/>
  <c r="BY98" i="51"/>
  <c r="BX98" i="51"/>
  <c r="BW98" i="51"/>
  <c r="BV98" i="51"/>
  <c r="BU98" i="51"/>
  <c r="BT98" i="51"/>
  <c r="BS98" i="51"/>
  <c r="BR98" i="51"/>
  <c r="BQ98" i="51"/>
  <c r="BP98" i="51"/>
  <c r="BO98" i="51"/>
  <c r="BN98" i="51"/>
  <c r="BM98" i="51"/>
  <c r="BL98" i="51"/>
  <c r="BK98" i="51"/>
  <c r="BJ98" i="51"/>
  <c r="BI98" i="51"/>
  <c r="BH98" i="51"/>
  <c r="BG98" i="51"/>
  <c r="BF98" i="51"/>
  <c r="BE98" i="51"/>
  <c r="BD98" i="51"/>
  <c r="BC98" i="51"/>
  <c r="BB98" i="51"/>
  <c r="BA98" i="51"/>
  <c r="AZ98" i="51"/>
  <c r="AY98" i="51"/>
  <c r="AX98" i="51"/>
  <c r="AW98" i="51"/>
  <c r="AV98" i="51"/>
  <c r="AU98" i="51"/>
  <c r="AT98" i="51"/>
  <c r="AS98" i="51"/>
  <c r="AR98" i="51"/>
  <c r="AQ98" i="51"/>
  <c r="AP98" i="51"/>
  <c r="AO98" i="51"/>
  <c r="AN98" i="51"/>
  <c r="AM98" i="51"/>
  <c r="AL98" i="51"/>
  <c r="AK98" i="51"/>
  <c r="AJ98" i="51"/>
  <c r="AI98" i="51"/>
  <c r="AH98" i="51"/>
  <c r="AG98" i="51"/>
  <c r="AF98" i="51"/>
  <c r="AE98" i="51"/>
  <c r="AD98" i="51"/>
  <c r="AC98" i="51"/>
  <c r="AB98" i="51"/>
  <c r="AA98" i="51"/>
  <c r="Z98" i="51"/>
  <c r="Y98" i="51"/>
  <c r="X98" i="51"/>
  <c r="W98" i="51"/>
  <c r="V98" i="51"/>
  <c r="U98" i="51"/>
  <c r="T98" i="51"/>
  <c r="S98" i="51"/>
  <c r="R98" i="51"/>
  <c r="Q98" i="51"/>
  <c r="P98" i="51"/>
  <c r="O98" i="51"/>
  <c r="N98" i="51"/>
  <c r="M98" i="51"/>
  <c r="L98" i="51"/>
  <c r="K98" i="51"/>
  <c r="J98" i="51"/>
  <c r="I98" i="51"/>
  <c r="H98" i="51"/>
  <c r="G98" i="51"/>
  <c r="F98" i="51"/>
  <c r="IV97" i="51"/>
  <c r="IU97" i="51"/>
  <c r="IT97" i="51"/>
  <c r="IS97" i="51"/>
  <c r="IR97" i="51"/>
  <c r="IQ97" i="51"/>
  <c r="IP97" i="51"/>
  <c r="IO97" i="51"/>
  <c r="IN97" i="51"/>
  <c r="IM97" i="51"/>
  <c r="IL97" i="51"/>
  <c r="IK97" i="51"/>
  <c r="IJ97" i="51"/>
  <c r="II97" i="51"/>
  <c r="IH97" i="51"/>
  <c r="IG97" i="51"/>
  <c r="IF97" i="51"/>
  <c r="IE97" i="51"/>
  <c r="ID97" i="51"/>
  <c r="IC97" i="51"/>
  <c r="IB97" i="51"/>
  <c r="IA97" i="51"/>
  <c r="HZ97" i="51"/>
  <c r="HY97" i="51"/>
  <c r="HX97" i="51"/>
  <c r="HW97" i="51"/>
  <c r="HV97" i="51"/>
  <c r="HU97" i="51"/>
  <c r="HT97" i="51"/>
  <c r="HS97" i="51"/>
  <c r="HR97" i="51"/>
  <c r="HQ97" i="51"/>
  <c r="HP97" i="51"/>
  <c r="HO97" i="51"/>
  <c r="HN97" i="51"/>
  <c r="HM97" i="51"/>
  <c r="HL97" i="51"/>
  <c r="HK97" i="51"/>
  <c r="HJ97" i="51"/>
  <c r="HI97" i="51"/>
  <c r="HH97" i="51"/>
  <c r="HG97" i="51"/>
  <c r="HF97" i="51"/>
  <c r="HE97" i="51"/>
  <c r="HD97" i="51"/>
  <c r="HC97" i="51"/>
  <c r="HB97" i="51"/>
  <c r="HA97" i="51"/>
  <c r="GZ97" i="51"/>
  <c r="GY97" i="51"/>
  <c r="GX97" i="51"/>
  <c r="GW97" i="51"/>
  <c r="GV97" i="51"/>
  <c r="GU97" i="51"/>
  <c r="GT97" i="51"/>
  <c r="GS97" i="51"/>
  <c r="GR97" i="51"/>
  <c r="GQ97" i="51"/>
  <c r="GP97" i="51"/>
  <c r="GO97" i="51"/>
  <c r="GN97" i="51"/>
  <c r="GM97" i="51"/>
  <c r="GL97" i="51"/>
  <c r="GK97" i="51"/>
  <c r="GJ97" i="51"/>
  <c r="GI97" i="51"/>
  <c r="GH97" i="51"/>
  <c r="GG97" i="51"/>
  <c r="GF97" i="51"/>
  <c r="GE97" i="51"/>
  <c r="GD97" i="51"/>
  <c r="GC97" i="51"/>
  <c r="GB97" i="51"/>
  <c r="GA97" i="51"/>
  <c r="FZ97" i="51"/>
  <c r="FY97" i="51"/>
  <c r="FX97" i="51"/>
  <c r="FW97" i="51"/>
  <c r="FV97" i="51"/>
  <c r="FU97" i="51"/>
  <c r="FT97" i="51"/>
  <c r="FS97" i="51"/>
  <c r="FR97" i="51"/>
  <c r="FQ97" i="51"/>
  <c r="FP97" i="51"/>
  <c r="FO97" i="51"/>
  <c r="FN97" i="51"/>
  <c r="FM97" i="51"/>
  <c r="FL97" i="51"/>
  <c r="FK97" i="51"/>
  <c r="FJ97" i="51"/>
  <c r="FI97" i="51"/>
  <c r="FH97" i="51"/>
  <c r="FG97" i="51"/>
  <c r="FF97" i="51"/>
  <c r="FE97" i="51"/>
  <c r="FD97" i="51"/>
  <c r="FC97" i="51"/>
  <c r="FB97" i="51"/>
  <c r="FA97" i="51"/>
  <c r="EZ97" i="51"/>
  <c r="EY97" i="51"/>
  <c r="EX97" i="51"/>
  <c r="EW97" i="51"/>
  <c r="EV97" i="51"/>
  <c r="EU97" i="51"/>
  <c r="ET97" i="51"/>
  <c r="ES97" i="51"/>
  <c r="ER97" i="51"/>
  <c r="EQ97" i="51"/>
  <c r="EP97" i="51"/>
  <c r="EO97" i="51"/>
  <c r="EN97" i="51"/>
  <c r="EM97" i="51"/>
  <c r="EL97" i="51"/>
  <c r="EK97" i="51"/>
  <c r="EJ97" i="51"/>
  <c r="EI97" i="51"/>
  <c r="EH97" i="51"/>
  <c r="EG97" i="51"/>
  <c r="EF97" i="51"/>
  <c r="EE97" i="51"/>
  <c r="ED97" i="51"/>
  <c r="EC97" i="51"/>
  <c r="EB97" i="51"/>
  <c r="EA97" i="51"/>
  <c r="DZ97" i="51"/>
  <c r="DY97" i="51"/>
  <c r="DX97" i="51"/>
  <c r="DW97" i="51"/>
  <c r="DV97" i="51"/>
  <c r="DU97" i="51"/>
  <c r="DT97" i="51"/>
  <c r="DS97" i="51"/>
  <c r="DR97" i="51"/>
  <c r="DQ97" i="51"/>
  <c r="DP97" i="51"/>
  <c r="DO97" i="51"/>
  <c r="DN97" i="51"/>
  <c r="DM97" i="51"/>
  <c r="DL97" i="51"/>
  <c r="DK97" i="51"/>
  <c r="DJ97" i="51"/>
  <c r="DI97" i="51"/>
  <c r="DH97" i="51"/>
  <c r="DG97" i="51"/>
  <c r="DF97" i="51"/>
  <c r="DE97" i="51"/>
  <c r="DD97" i="51"/>
  <c r="DC97" i="51"/>
  <c r="DB97" i="51"/>
  <c r="DA97" i="51"/>
  <c r="CZ97" i="51"/>
  <c r="CY97" i="51"/>
  <c r="CX97" i="51"/>
  <c r="CW97" i="51"/>
  <c r="CV97" i="51"/>
  <c r="CU97" i="51"/>
  <c r="CT97" i="51"/>
  <c r="CS97" i="51"/>
  <c r="CR97" i="51"/>
  <c r="CQ97" i="51"/>
  <c r="CP97" i="51"/>
  <c r="CO97" i="51"/>
  <c r="CN97" i="51"/>
  <c r="CM97" i="51"/>
  <c r="CL97" i="51"/>
  <c r="CK97" i="51"/>
  <c r="CJ97" i="51"/>
  <c r="CI97" i="51"/>
  <c r="CH97" i="51"/>
  <c r="CG97" i="51"/>
  <c r="CF97" i="51"/>
  <c r="CE97" i="51"/>
  <c r="CD97" i="51"/>
  <c r="CC97" i="51"/>
  <c r="CB97" i="51"/>
  <c r="CA97" i="51"/>
  <c r="BZ97" i="51"/>
  <c r="BY97" i="51"/>
  <c r="BX97" i="51"/>
  <c r="BW97" i="51"/>
  <c r="BV97" i="51"/>
  <c r="BU97" i="51"/>
  <c r="BT97" i="51"/>
  <c r="BS97" i="51"/>
  <c r="BR97" i="51"/>
  <c r="BQ97" i="51"/>
  <c r="BP97" i="51"/>
  <c r="BO97" i="51"/>
  <c r="BN97" i="51"/>
  <c r="BM97" i="51"/>
  <c r="BL97" i="51"/>
  <c r="BK97" i="51"/>
  <c r="BJ97" i="51"/>
  <c r="BI97" i="51"/>
  <c r="BH97" i="51"/>
  <c r="BG97" i="51"/>
  <c r="BF97" i="51"/>
  <c r="BE97" i="51"/>
  <c r="BD97" i="51"/>
  <c r="BC97" i="51"/>
  <c r="BB97" i="51"/>
  <c r="BA97" i="51"/>
  <c r="AZ97" i="51"/>
  <c r="AY97" i="51"/>
  <c r="AX97" i="51"/>
  <c r="AW97" i="51"/>
  <c r="AV97" i="51"/>
  <c r="AU97" i="51"/>
  <c r="AT97" i="51"/>
  <c r="AS97" i="51"/>
  <c r="AR97" i="51"/>
  <c r="AQ97" i="51"/>
  <c r="AP97" i="51"/>
  <c r="AO97" i="51"/>
  <c r="AN97" i="51"/>
  <c r="AM97" i="51"/>
  <c r="AL97" i="51"/>
  <c r="AK97" i="51"/>
  <c r="AJ97" i="51"/>
  <c r="AI97" i="51"/>
  <c r="AH97" i="51"/>
  <c r="AG97" i="51"/>
  <c r="AF97" i="51"/>
  <c r="AE97" i="51"/>
  <c r="AD97" i="51"/>
  <c r="AC97" i="51"/>
  <c r="AB97" i="51"/>
  <c r="AA97" i="51"/>
  <c r="Z97" i="51"/>
  <c r="Y97" i="51"/>
  <c r="X97" i="51"/>
  <c r="W97" i="51"/>
  <c r="V97" i="51"/>
  <c r="U97" i="51"/>
  <c r="T97" i="51"/>
  <c r="S97" i="51"/>
  <c r="R97" i="51"/>
  <c r="Q97" i="51"/>
  <c r="P97" i="51"/>
  <c r="O97" i="51"/>
  <c r="N97" i="51"/>
  <c r="M97" i="51"/>
  <c r="L97" i="51"/>
  <c r="K97" i="51"/>
  <c r="J97" i="51"/>
  <c r="I97" i="51"/>
  <c r="H97" i="51"/>
  <c r="G97" i="51"/>
  <c r="F97" i="51"/>
  <c r="IV96" i="51"/>
  <c r="IU96" i="51"/>
  <c r="IT96" i="51"/>
  <c r="IS96" i="51"/>
  <c r="IR96" i="51"/>
  <c r="IQ96" i="51"/>
  <c r="IP96" i="51"/>
  <c r="IO96" i="51"/>
  <c r="IN96" i="51"/>
  <c r="IM96" i="51"/>
  <c r="IL96" i="51"/>
  <c r="IK96" i="51"/>
  <c r="IJ96" i="51"/>
  <c r="II96" i="51"/>
  <c r="IH96" i="51"/>
  <c r="IG96" i="51"/>
  <c r="IF96" i="51"/>
  <c r="IE96" i="51"/>
  <c r="ID96" i="51"/>
  <c r="IC96" i="51"/>
  <c r="IB96" i="51"/>
  <c r="IA96" i="51"/>
  <c r="HZ96" i="51"/>
  <c r="HY96" i="51"/>
  <c r="HX96" i="51"/>
  <c r="HW96" i="51"/>
  <c r="HV96" i="51"/>
  <c r="HU96" i="51"/>
  <c r="HT96" i="51"/>
  <c r="HS96" i="51"/>
  <c r="HR96" i="51"/>
  <c r="HQ96" i="51"/>
  <c r="HP96" i="51"/>
  <c r="HO96" i="51"/>
  <c r="HN96" i="51"/>
  <c r="HM96" i="51"/>
  <c r="HL96" i="51"/>
  <c r="HK96" i="51"/>
  <c r="HJ96" i="51"/>
  <c r="HI96" i="51"/>
  <c r="HH96" i="51"/>
  <c r="HG96" i="51"/>
  <c r="HF96" i="51"/>
  <c r="HE96" i="51"/>
  <c r="HD96" i="51"/>
  <c r="HC96" i="51"/>
  <c r="HB96" i="51"/>
  <c r="HA96" i="51"/>
  <c r="GZ96" i="51"/>
  <c r="GY96" i="51"/>
  <c r="GX96" i="51"/>
  <c r="GW96" i="51"/>
  <c r="GV96" i="51"/>
  <c r="GU96" i="51"/>
  <c r="GT96" i="51"/>
  <c r="GS96" i="51"/>
  <c r="GR96" i="51"/>
  <c r="GQ96" i="51"/>
  <c r="GP96" i="51"/>
  <c r="GO96" i="51"/>
  <c r="GN96" i="51"/>
  <c r="GM96" i="51"/>
  <c r="GL96" i="51"/>
  <c r="GK96" i="51"/>
  <c r="GJ96" i="51"/>
  <c r="GI96" i="51"/>
  <c r="GH96" i="51"/>
  <c r="GG96" i="51"/>
  <c r="GF96" i="51"/>
  <c r="GE96" i="51"/>
  <c r="GD96" i="51"/>
  <c r="GC96" i="51"/>
  <c r="GB96" i="51"/>
  <c r="GA96" i="51"/>
  <c r="FZ96" i="51"/>
  <c r="FY96" i="51"/>
  <c r="FX96" i="51"/>
  <c r="FW96" i="51"/>
  <c r="FV96" i="51"/>
  <c r="FU96" i="51"/>
  <c r="FT96" i="51"/>
  <c r="FS96" i="51"/>
  <c r="FR96" i="51"/>
  <c r="FQ96" i="51"/>
  <c r="FP96" i="51"/>
  <c r="FO96" i="51"/>
  <c r="FN96" i="51"/>
  <c r="FM96" i="51"/>
  <c r="FL96" i="51"/>
  <c r="FK96" i="51"/>
  <c r="FJ96" i="51"/>
  <c r="FI96" i="51"/>
  <c r="FH96" i="51"/>
  <c r="FG96" i="51"/>
  <c r="FF96" i="51"/>
  <c r="FE96" i="51"/>
  <c r="FD96" i="51"/>
  <c r="FC96" i="51"/>
  <c r="FB96" i="51"/>
  <c r="FA96" i="51"/>
  <c r="EZ96" i="51"/>
  <c r="EY96" i="51"/>
  <c r="EX96" i="51"/>
  <c r="EW96" i="51"/>
  <c r="EV96" i="51"/>
  <c r="EU96" i="51"/>
  <c r="ET96" i="51"/>
  <c r="ES96" i="51"/>
  <c r="ER96" i="51"/>
  <c r="EQ96" i="51"/>
  <c r="EP96" i="51"/>
  <c r="EO96" i="51"/>
  <c r="EN96" i="51"/>
  <c r="EM96" i="51"/>
  <c r="EL96" i="51"/>
  <c r="EK96" i="51"/>
  <c r="EJ96" i="51"/>
  <c r="EI96" i="51"/>
  <c r="EH96" i="51"/>
  <c r="EG96" i="51"/>
  <c r="EF96" i="51"/>
  <c r="EE96" i="51"/>
  <c r="ED96" i="51"/>
  <c r="EC96" i="51"/>
  <c r="EB96" i="51"/>
  <c r="EA96" i="51"/>
  <c r="DZ96" i="51"/>
  <c r="DY96" i="51"/>
  <c r="DX96" i="51"/>
  <c r="DW96" i="51"/>
  <c r="DV96" i="51"/>
  <c r="DU96" i="51"/>
  <c r="DT96" i="51"/>
  <c r="DS96" i="51"/>
  <c r="DR96" i="51"/>
  <c r="DQ96" i="51"/>
  <c r="DP96" i="51"/>
  <c r="DO96" i="51"/>
  <c r="DN96" i="51"/>
  <c r="DM96" i="51"/>
  <c r="DL96" i="51"/>
  <c r="DK96" i="51"/>
  <c r="DJ96" i="51"/>
  <c r="DI96" i="51"/>
  <c r="DH96" i="51"/>
  <c r="DG96" i="51"/>
  <c r="DF96" i="51"/>
  <c r="DE96" i="51"/>
  <c r="DD96" i="51"/>
  <c r="DC96" i="51"/>
  <c r="DB96" i="51"/>
  <c r="DA96" i="51"/>
  <c r="CZ96" i="51"/>
  <c r="CY96" i="51"/>
  <c r="CX96" i="51"/>
  <c r="CW96" i="51"/>
  <c r="CV96" i="51"/>
  <c r="CU96" i="51"/>
  <c r="CT96" i="51"/>
  <c r="CS96" i="51"/>
  <c r="CR96" i="51"/>
  <c r="CQ96" i="51"/>
  <c r="CP96" i="51"/>
  <c r="CO96" i="51"/>
  <c r="CN96" i="51"/>
  <c r="CM96" i="51"/>
  <c r="CL96" i="51"/>
  <c r="CK96" i="51"/>
  <c r="CJ96" i="51"/>
  <c r="CI96" i="51"/>
  <c r="CH96" i="51"/>
  <c r="CG96" i="51"/>
  <c r="CF96" i="51"/>
  <c r="CE96" i="51"/>
  <c r="CD96" i="51"/>
  <c r="CC96" i="51"/>
  <c r="CB96" i="51"/>
  <c r="CA96" i="51"/>
  <c r="BZ96" i="51"/>
  <c r="BY96" i="51"/>
  <c r="BX96" i="51"/>
  <c r="BW96" i="51"/>
  <c r="BV96" i="51"/>
  <c r="BU96" i="51"/>
  <c r="BT96" i="51"/>
  <c r="BS96" i="51"/>
  <c r="BR96" i="51"/>
  <c r="BQ96" i="51"/>
  <c r="BP96" i="51"/>
  <c r="BO96" i="51"/>
  <c r="BN96" i="51"/>
  <c r="BM96" i="51"/>
  <c r="BL96" i="51"/>
  <c r="BK96" i="51"/>
  <c r="BJ96" i="51"/>
  <c r="BI96" i="51"/>
  <c r="BH96" i="51"/>
  <c r="BG96" i="51"/>
  <c r="BF96" i="51"/>
  <c r="BE96" i="51"/>
  <c r="BD96" i="51"/>
  <c r="BC96" i="51"/>
  <c r="BB96" i="51"/>
  <c r="BA96" i="51"/>
  <c r="AZ96" i="51"/>
  <c r="AY96" i="51"/>
  <c r="AX96" i="51"/>
  <c r="AW96" i="51"/>
  <c r="AV96" i="51"/>
  <c r="AU96" i="51"/>
  <c r="AT96" i="51"/>
  <c r="AS96" i="51"/>
  <c r="AR96" i="51"/>
  <c r="AQ96" i="51"/>
  <c r="AP96" i="51"/>
  <c r="AO96" i="51"/>
  <c r="AN96" i="51"/>
  <c r="AM96" i="51"/>
  <c r="AL96" i="51"/>
  <c r="AK96" i="51"/>
  <c r="AJ96" i="51"/>
  <c r="AI96" i="51"/>
  <c r="AH96" i="51"/>
  <c r="AG96" i="51"/>
  <c r="AF96" i="51"/>
  <c r="AE96" i="51"/>
  <c r="AD96" i="51"/>
  <c r="AC96" i="51"/>
  <c r="AB96" i="51"/>
  <c r="AA96" i="51"/>
  <c r="Z96" i="51"/>
  <c r="Y96" i="51"/>
  <c r="X96" i="51"/>
  <c r="W96" i="51"/>
  <c r="V96" i="51"/>
  <c r="U96" i="51"/>
  <c r="T96" i="51"/>
  <c r="S96" i="51"/>
  <c r="R96" i="51"/>
  <c r="Q96" i="51"/>
  <c r="P96" i="51"/>
  <c r="O96" i="51"/>
  <c r="N96" i="51"/>
  <c r="M96" i="51"/>
  <c r="L96" i="51"/>
  <c r="K96" i="51"/>
  <c r="J96" i="51"/>
  <c r="I96" i="51"/>
  <c r="H96" i="51"/>
  <c r="G96" i="51"/>
  <c r="F96" i="51"/>
  <c r="IV95" i="51"/>
  <c r="IU95" i="51"/>
  <c r="IT95" i="51"/>
  <c r="IS95" i="51"/>
  <c r="IR95" i="51"/>
  <c r="IQ95" i="51"/>
  <c r="IP95" i="51"/>
  <c r="IO95" i="51"/>
  <c r="IN95" i="51"/>
  <c r="IM95" i="51"/>
  <c r="IL95" i="51"/>
  <c r="IK95" i="51"/>
  <c r="IJ95" i="51"/>
  <c r="II95" i="51"/>
  <c r="IH95" i="51"/>
  <c r="IG95" i="51"/>
  <c r="IF95" i="51"/>
  <c r="IE95" i="51"/>
  <c r="ID95" i="51"/>
  <c r="IC95" i="51"/>
  <c r="IB95" i="51"/>
  <c r="IA95" i="51"/>
  <c r="HZ95" i="51"/>
  <c r="HY95" i="51"/>
  <c r="HX95" i="51"/>
  <c r="HW95" i="51"/>
  <c r="HV95" i="51"/>
  <c r="HU95" i="51"/>
  <c r="HT95" i="51"/>
  <c r="HS95" i="51"/>
  <c r="HR95" i="51"/>
  <c r="HQ95" i="51"/>
  <c r="HP95" i="51"/>
  <c r="HO95" i="51"/>
  <c r="HN95" i="51"/>
  <c r="HM95" i="51"/>
  <c r="HL95" i="51"/>
  <c r="HK95" i="51"/>
  <c r="HJ95" i="51"/>
  <c r="HI95" i="51"/>
  <c r="HH95" i="51"/>
  <c r="HG95" i="51"/>
  <c r="HF95" i="51"/>
  <c r="HE95" i="51"/>
  <c r="HD95" i="51"/>
  <c r="HC95" i="51"/>
  <c r="HB95" i="51"/>
  <c r="HA95" i="51"/>
  <c r="GZ95" i="51"/>
  <c r="GY95" i="51"/>
  <c r="GX95" i="51"/>
  <c r="GW95" i="51"/>
  <c r="GV95" i="51"/>
  <c r="GU95" i="51"/>
  <c r="GT95" i="51"/>
  <c r="GS95" i="51"/>
  <c r="GR95" i="51"/>
  <c r="GQ95" i="51"/>
  <c r="GP95" i="51"/>
  <c r="GO95" i="51"/>
  <c r="GN95" i="51"/>
  <c r="GM95" i="51"/>
  <c r="GL95" i="51"/>
  <c r="GK95" i="51"/>
  <c r="GJ95" i="51"/>
  <c r="GI95" i="51"/>
  <c r="GH95" i="51"/>
  <c r="GG95" i="51"/>
  <c r="GF95" i="51"/>
  <c r="GE95" i="51"/>
  <c r="GD95" i="51"/>
  <c r="GC95" i="51"/>
  <c r="GB95" i="51"/>
  <c r="GA95" i="51"/>
  <c r="FZ95" i="51"/>
  <c r="FY95" i="51"/>
  <c r="FX95" i="51"/>
  <c r="FW95" i="51"/>
  <c r="FV95" i="51"/>
  <c r="FU95" i="51"/>
  <c r="FT95" i="51"/>
  <c r="FS95" i="51"/>
  <c r="FR95" i="51"/>
  <c r="FQ95" i="51"/>
  <c r="FP95" i="51"/>
  <c r="FO95" i="51"/>
  <c r="FN95" i="51"/>
  <c r="FM95" i="51"/>
  <c r="FL95" i="51"/>
  <c r="FK95" i="51"/>
  <c r="FJ95" i="51"/>
  <c r="FI95" i="51"/>
  <c r="FH95" i="51"/>
  <c r="FG95" i="51"/>
  <c r="FF95" i="51"/>
  <c r="FE95" i="51"/>
  <c r="FD95" i="51"/>
  <c r="FC95" i="51"/>
  <c r="FB95" i="51"/>
  <c r="FA95" i="51"/>
  <c r="EZ95" i="51"/>
  <c r="EY95" i="51"/>
  <c r="EX95" i="51"/>
  <c r="EW95" i="51"/>
  <c r="EV95" i="51"/>
  <c r="EU95" i="51"/>
  <c r="ET95" i="51"/>
  <c r="ES95" i="51"/>
  <c r="ER95" i="51"/>
  <c r="EQ95" i="51"/>
  <c r="EP95" i="51"/>
  <c r="EO95" i="51"/>
  <c r="EN95" i="51"/>
  <c r="EM95" i="51"/>
  <c r="EL95" i="51"/>
  <c r="EK95" i="51"/>
  <c r="EJ95" i="51"/>
  <c r="EI95" i="51"/>
  <c r="EH95" i="51"/>
  <c r="EG95" i="51"/>
  <c r="EF95" i="51"/>
  <c r="EE95" i="51"/>
  <c r="ED95" i="51"/>
  <c r="EC95" i="51"/>
  <c r="EB95" i="51"/>
  <c r="EA95" i="51"/>
  <c r="DZ95" i="51"/>
  <c r="DY95" i="51"/>
  <c r="DX95" i="51"/>
  <c r="DW95" i="51"/>
  <c r="DV95" i="51"/>
  <c r="DU95" i="51"/>
  <c r="DT95" i="51"/>
  <c r="DS95" i="51"/>
  <c r="DR95" i="51"/>
  <c r="DQ95" i="51"/>
  <c r="DP95" i="51"/>
  <c r="DO95" i="51"/>
  <c r="DN95" i="51"/>
  <c r="DM95" i="51"/>
  <c r="DL95" i="51"/>
  <c r="DK95" i="51"/>
  <c r="DJ95" i="51"/>
  <c r="DI95" i="51"/>
  <c r="DH95" i="51"/>
  <c r="DG95" i="51"/>
  <c r="DF95" i="51"/>
  <c r="DE95" i="51"/>
  <c r="DD95" i="51"/>
  <c r="DC95" i="51"/>
  <c r="DB95" i="51"/>
  <c r="DA95" i="51"/>
  <c r="CZ95" i="51"/>
  <c r="CY95" i="51"/>
  <c r="CX95" i="51"/>
  <c r="CW95" i="51"/>
  <c r="CV95" i="51"/>
  <c r="CU95" i="51"/>
  <c r="CT95" i="51"/>
  <c r="CS95" i="51"/>
  <c r="CR95" i="51"/>
  <c r="CQ95" i="51"/>
  <c r="CP95" i="51"/>
  <c r="CO95" i="51"/>
  <c r="CN95" i="51"/>
  <c r="CM95" i="51"/>
  <c r="CL95" i="51"/>
  <c r="CK95" i="51"/>
  <c r="CJ95" i="51"/>
  <c r="CI95" i="51"/>
  <c r="CH95" i="51"/>
  <c r="CG95" i="51"/>
  <c r="CF95" i="51"/>
  <c r="CE95" i="51"/>
  <c r="CD95" i="51"/>
  <c r="CC95" i="51"/>
  <c r="CB95" i="51"/>
  <c r="CA95" i="51"/>
  <c r="BZ95" i="51"/>
  <c r="BY95" i="51"/>
  <c r="BX95" i="51"/>
  <c r="BW95" i="51"/>
  <c r="BV95" i="51"/>
  <c r="BU95" i="51"/>
  <c r="BT95" i="51"/>
  <c r="BS95" i="51"/>
  <c r="BR95" i="51"/>
  <c r="BQ95" i="51"/>
  <c r="BP95" i="51"/>
  <c r="BO95" i="51"/>
  <c r="BN95" i="51"/>
  <c r="BM95" i="51"/>
  <c r="BL95" i="51"/>
  <c r="BK95" i="51"/>
  <c r="BJ95" i="51"/>
  <c r="BI95" i="51"/>
  <c r="BH95" i="51"/>
  <c r="BG95" i="51"/>
  <c r="BF95" i="51"/>
  <c r="BE95" i="51"/>
  <c r="BD95" i="51"/>
  <c r="BC95" i="51"/>
  <c r="BB95" i="51"/>
  <c r="BA95" i="51"/>
  <c r="AZ95" i="51"/>
  <c r="AY95" i="51"/>
  <c r="AX95" i="51"/>
  <c r="AW95" i="51"/>
  <c r="AV95" i="51"/>
  <c r="AU95" i="51"/>
  <c r="AT95" i="51"/>
  <c r="AS95" i="51"/>
  <c r="AR95" i="51"/>
  <c r="AQ95" i="51"/>
  <c r="AP95" i="51"/>
  <c r="AO95" i="51"/>
  <c r="AN95" i="51"/>
  <c r="AM95" i="51"/>
  <c r="AL95" i="51"/>
  <c r="AK95" i="51"/>
  <c r="AJ95" i="51"/>
  <c r="AI95" i="51"/>
  <c r="AH95" i="51"/>
  <c r="AG95" i="51"/>
  <c r="AF95" i="51"/>
  <c r="AE95" i="51"/>
  <c r="AD95" i="51"/>
  <c r="AC95" i="51"/>
  <c r="AB95" i="51"/>
  <c r="AA95" i="51"/>
  <c r="Z95" i="51"/>
  <c r="Y95" i="51"/>
  <c r="X95" i="51"/>
  <c r="W95" i="51"/>
  <c r="V95" i="51"/>
  <c r="U95" i="51"/>
  <c r="T95" i="51"/>
  <c r="S95" i="51"/>
  <c r="R95" i="51"/>
  <c r="Q95" i="51"/>
  <c r="P95" i="51"/>
  <c r="O95" i="51"/>
  <c r="N95" i="51"/>
  <c r="M95" i="51"/>
  <c r="L95" i="51"/>
  <c r="K95" i="51"/>
  <c r="J95" i="51"/>
  <c r="I95" i="51"/>
  <c r="H95" i="51"/>
  <c r="G95" i="51"/>
  <c r="F95" i="51"/>
  <c r="IV94" i="51"/>
  <c r="IU94" i="51"/>
  <c r="IT94" i="51"/>
  <c r="IS94" i="51"/>
  <c r="IR94" i="51"/>
  <c r="IQ94" i="51"/>
  <c r="IP94" i="51"/>
  <c r="IO94" i="51"/>
  <c r="IN94" i="51"/>
  <c r="IM94" i="51"/>
  <c r="IL94" i="51"/>
  <c r="IK94" i="51"/>
  <c r="IJ94" i="51"/>
  <c r="II94" i="51"/>
  <c r="IH94" i="51"/>
  <c r="IG94" i="51"/>
  <c r="IF94" i="51"/>
  <c r="IE94" i="51"/>
  <c r="ID94" i="51"/>
  <c r="IC94" i="51"/>
  <c r="IB94" i="51"/>
  <c r="IA94" i="51"/>
  <c r="HZ94" i="51"/>
  <c r="HY94" i="51"/>
  <c r="HX94" i="51"/>
  <c r="HW94" i="51"/>
  <c r="HV94" i="51"/>
  <c r="HU94" i="51"/>
  <c r="HT94" i="51"/>
  <c r="HS94" i="51"/>
  <c r="HR94" i="51"/>
  <c r="HQ94" i="51"/>
  <c r="HP94" i="51"/>
  <c r="HO94" i="51"/>
  <c r="HN94" i="51"/>
  <c r="HM94" i="51"/>
  <c r="HL94" i="51"/>
  <c r="HK94" i="51"/>
  <c r="HJ94" i="51"/>
  <c r="HI94" i="51"/>
  <c r="HH94" i="51"/>
  <c r="HG94" i="51"/>
  <c r="HF94" i="51"/>
  <c r="HE94" i="51"/>
  <c r="HD94" i="51"/>
  <c r="HC94" i="51"/>
  <c r="HB94" i="51"/>
  <c r="HA94" i="51"/>
  <c r="GZ94" i="51"/>
  <c r="GY94" i="51"/>
  <c r="GX94" i="51"/>
  <c r="GW94" i="51"/>
  <c r="GV94" i="51"/>
  <c r="GU94" i="51"/>
  <c r="GT94" i="51"/>
  <c r="GS94" i="51"/>
  <c r="GR94" i="51"/>
  <c r="GQ94" i="51"/>
  <c r="GP94" i="51"/>
  <c r="GO94" i="51"/>
  <c r="GN94" i="51"/>
  <c r="GM94" i="51"/>
  <c r="GL94" i="51"/>
  <c r="GK94" i="51"/>
  <c r="GJ94" i="51"/>
  <c r="GI94" i="51"/>
  <c r="GH94" i="51"/>
  <c r="GG94" i="51"/>
  <c r="GF94" i="51"/>
  <c r="GE94" i="51"/>
  <c r="GD94" i="51"/>
  <c r="GC94" i="51"/>
  <c r="GB94" i="51"/>
  <c r="GA94" i="51"/>
  <c r="FZ94" i="51"/>
  <c r="FY94" i="51"/>
  <c r="FX94" i="51"/>
  <c r="FW94" i="51"/>
  <c r="FV94" i="51"/>
  <c r="FU94" i="51"/>
  <c r="FT94" i="51"/>
  <c r="FS94" i="51"/>
  <c r="FR94" i="51"/>
  <c r="FQ94" i="51"/>
  <c r="FP94" i="51"/>
  <c r="FO94" i="51"/>
  <c r="FN94" i="51"/>
  <c r="FM94" i="51"/>
  <c r="FL94" i="51"/>
  <c r="FK94" i="51"/>
  <c r="FJ94" i="51"/>
  <c r="FI94" i="51"/>
  <c r="FH94" i="51"/>
  <c r="FG94" i="51"/>
  <c r="FF94" i="51"/>
  <c r="FE94" i="51"/>
  <c r="FD94" i="51"/>
  <c r="FC94" i="51"/>
  <c r="FB94" i="51"/>
  <c r="FA94" i="51"/>
  <c r="EZ94" i="51"/>
  <c r="EY94" i="51"/>
  <c r="EX94" i="51"/>
  <c r="EW94" i="51"/>
  <c r="EV94" i="51"/>
  <c r="EU94" i="51"/>
  <c r="ET94" i="51"/>
  <c r="ES94" i="51"/>
  <c r="ER94" i="51"/>
  <c r="EQ94" i="51"/>
  <c r="EP94" i="51"/>
  <c r="EO94" i="51"/>
  <c r="EN94" i="51"/>
  <c r="EM94" i="51"/>
  <c r="EL94" i="51"/>
  <c r="EK94" i="51"/>
  <c r="EJ94" i="51"/>
  <c r="EI94" i="51"/>
  <c r="EH94" i="51"/>
  <c r="EG94" i="51"/>
  <c r="EF94" i="51"/>
  <c r="EE94" i="51"/>
  <c r="ED94" i="51"/>
  <c r="EC94" i="51"/>
  <c r="EB94" i="51"/>
  <c r="EA94" i="51"/>
  <c r="DZ94" i="51"/>
  <c r="DY94" i="51"/>
  <c r="DX94" i="51"/>
  <c r="DW94" i="51"/>
  <c r="DV94" i="51"/>
  <c r="DU94" i="51"/>
  <c r="DT94" i="51"/>
  <c r="DS94" i="51"/>
  <c r="DR94" i="51"/>
  <c r="DQ94" i="51"/>
  <c r="DP94" i="51"/>
  <c r="DO94" i="51"/>
  <c r="DN94" i="51"/>
  <c r="DM94" i="51"/>
  <c r="DL94" i="51"/>
  <c r="DK94" i="51"/>
  <c r="DJ94" i="51"/>
  <c r="DI94" i="51"/>
  <c r="DH94" i="51"/>
  <c r="DG94" i="51"/>
  <c r="DF94" i="51"/>
  <c r="DE94" i="51"/>
  <c r="DD94" i="51"/>
  <c r="DC94" i="51"/>
  <c r="DB94" i="51"/>
  <c r="DA94" i="51"/>
  <c r="CZ94" i="51"/>
  <c r="CY94" i="51"/>
  <c r="CX94" i="51"/>
  <c r="CW94" i="51"/>
  <c r="CV94" i="51"/>
  <c r="CU94" i="51"/>
  <c r="CT94" i="51"/>
  <c r="CS94" i="51"/>
  <c r="CR94" i="51"/>
  <c r="CQ94" i="51"/>
  <c r="CP94" i="51"/>
  <c r="CO94" i="51"/>
  <c r="CN94" i="51"/>
  <c r="CM94" i="51"/>
  <c r="CL94" i="51"/>
  <c r="CK94" i="51"/>
  <c r="CJ94" i="51"/>
  <c r="CI94" i="51"/>
  <c r="CH94" i="51"/>
  <c r="CG94" i="51"/>
  <c r="CF94" i="51"/>
  <c r="CE94" i="51"/>
  <c r="CD94" i="51"/>
  <c r="CC94" i="51"/>
  <c r="CB94" i="51"/>
  <c r="CA94" i="51"/>
  <c r="BZ94" i="51"/>
  <c r="BY94" i="51"/>
  <c r="BX94" i="51"/>
  <c r="BW94" i="51"/>
  <c r="BV94" i="51"/>
  <c r="BU94" i="51"/>
  <c r="BT94" i="51"/>
  <c r="BS94" i="51"/>
  <c r="BR94" i="51"/>
  <c r="BQ94" i="51"/>
  <c r="BP94" i="51"/>
  <c r="BO94" i="51"/>
  <c r="BN94" i="51"/>
  <c r="BM94" i="51"/>
  <c r="BL94" i="51"/>
  <c r="BK94" i="51"/>
  <c r="BJ94" i="51"/>
  <c r="BI94" i="51"/>
  <c r="BH94" i="51"/>
  <c r="BG94" i="51"/>
  <c r="BF94" i="51"/>
  <c r="BE94" i="51"/>
  <c r="BD94" i="51"/>
  <c r="BC94" i="51"/>
  <c r="BB94" i="51"/>
  <c r="BA94" i="51"/>
  <c r="AZ94" i="51"/>
  <c r="AY94" i="51"/>
  <c r="AX94" i="51"/>
  <c r="AW94" i="51"/>
  <c r="AV94" i="51"/>
  <c r="AU94" i="51"/>
  <c r="AT94" i="51"/>
  <c r="AS94" i="51"/>
  <c r="AR94" i="51"/>
  <c r="AQ94" i="51"/>
  <c r="AP94" i="51"/>
  <c r="AO94" i="51"/>
  <c r="AN94" i="51"/>
  <c r="AM94" i="51"/>
  <c r="AL94" i="51"/>
  <c r="AK94" i="51"/>
  <c r="AJ94" i="51"/>
  <c r="AI94" i="51"/>
  <c r="AH94" i="51"/>
  <c r="AG94" i="51"/>
  <c r="AF94" i="51"/>
  <c r="AE94" i="51"/>
  <c r="AD94" i="51"/>
  <c r="AC94" i="51"/>
  <c r="AB94" i="51"/>
  <c r="AA94" i="51"/>
  <c r="Z94" i="51"/>
  <c r="Y94" i="51"/>
  <c r="X94" i="51"/>
  <c r="W94" i="51"/>
  <c r="V94" i="51"/>
  <c r="U94" i="51"/>
  <c r="T94" i="51"/>
  <c r="S94" i="51"/>
  <c r="R94" i="51"/>
  <c r="Q94" i="51"/>
  <c r="P94" i="51"/>
  <c r="O94" i="51"/>
  <c r="N94" i="51"/>
  <c r="M94" i="51"/>
  <c r="L94" i="51"/>
  <c r="K94" i="51"/>
  <c r="J94" i="51"/>
  <c r="I94" i="51"/>
  <c r="H94" i="51"/>
  <c r="G94" i="51"/>
  <c r="F94" i="51"/>
  <c r="IV93" i="51"/>
  <c r="IU93" i="51"/>
  <c r="IT93" i="51"/>
  <c r="IS93" i="51"/>
  <c r="IR93" i="51"/>
  <c r="IQ93" i="51"/>
  <c r="IP93" i="51"/>
  <c r="IO93" i="51"/>
  <c r="IN93" i="51"/>
  <c r="IM93" i="51"/>
  <c r="IL93" i="51"/>
  <c r="IK93" i="51"/>
  <c r="IJ93" i="51"/>
  <c r="II93" i="51"/>
  <c r="IH93" i="51"/>
  <c r="IG93" i="51"/>
  <c r="IF93" i="51"/>
  <c r="IE93" i="51"/>
  <c r="ID93" i="51"/>
  <c r="IC93" i="51"/>
  <c r="IB93" i="51"/>
  <c r="IA93" i="51"/>
  <c r="HZ93" i="51"/>
  <c r="HY93" i="51"/>
  <c r="HX93" i="51"/>
  <c r="HW93" i="51"/>
  <c r="HV93" i="51"/>
  <c r="HU93" i="51"/>
  <c r="HT93" i="51"/>
  <c r="HS93" i="51"/>
  <c r="HR93" i="51"/>
  <c r="HQ93" i="51"/>
  <c r="HP93" i="51"/>
  <c r="HO93" i="51"/>
  <c r="HN93" i="51"/>
  <c r="HM93" i="51"/>
  <c r="HL93" i="51"/>
  <c r="HK93" i="51"/>
  <c r="HJ93" i="51"/>
  <c r="HI93" i="51"/>
  <c r="HH93" i="51"/>
  <c r="HG93" i="51"/>
  <c r="HF93" i="51"/>
  <c r="HE93" i="51"/>
  <c r="HD93" i="51"/>
  <c r="HC93" i="51"/>
  <c r="HB93" i="51"/>
  <c r="HA93" i="51"/>
  <c r="GZ93" i="51"/>
  <c r="GY93" i="51"/>
  <c r="GX93" i="51"/>
  <c r="GW93" i="51"/>
  <c r="GV93" i="51"/>
  <c r="GU93" i="51"/>
  <c r="GT93" i="51"/>
  <c r="GS93" i="51"/>
  <c r="GR93" i="51"/>
  <c r="GQ93" i="51"/>
  <c r="GP93" i="51"/>
  <c r="GO93" i="51"/>
  <c r="GN93" i="51"/>
  <c r="GM93" i="51"/>
  <c r="GL93" i="51"/>
  <c r="GK93" i="51"/>
  <c r="GJ93" i="51"/>
  <c r="GI93" i="51"/>
  <c r="GH93" i="51"/>
  <c r="GG93" i="51"/>
  <c r="GF93" i="51"/>
  <c r="GE93" i="51"/>
  <c r="GD93" i="51"/>
  <c r="GC93" i="51"/>
  <c r="GB93" i="51"/>
  <c r="GA93" i="51"/>
  <c r="FZ93" i="51"/>
  <c r="FY93" i="51"/>
  <c r="FX93" i="51"/>
  <c r="FW93" i="51"/>
  <c r="FV93" i="51"/>
  <c r="FU93" i="51"/>
  <c r="FT93" i="51"/>
  <c r="FS93" i="51"/>
  <c r="FR93" i="51"/>
  <c r="FQ93" i="51"/>
  <c r="FP93" i="51"/>
  <c r="FO93" i="51"/>
  <c r="FN93" i="51"/>
  <c r="FM93" i="51"/>
  <c r="FL93" i="51"/>
  <c r="FK93" i="51"/>
  <c r="FJ93" i="51"/>
  <c r="FI93" i="51"/>
  <c r="FH93" i="51"/>
  <c r="FG93" i="51"/>
  <c r="FF93" i="51"/>
  <c r="FE93" i="51"/>
  <c r="FD93" i="51"/>
  <c r="FC93" i="51"/>
  <c r="FB93" i="51"/>
  <c r="FA93" i="51"/>
  <c r="EZ93" i="51"/>
  <c r="EY93" i="51"/>
  <c r="EX93" i="51"/>
  <c r="EW93" i="51"/>
  <c r="EV93" i="51"/>
  <c r="EU93" i="51"/>
  <c r="ET93" i="51"/>
  <c r="ES93" i="51"/>
  <c r="ER93" i="51"/>
  <c r="EQ93" i="51"/>
  <c r="EP93" i="51"/>
  <c r="EO93" i="51"/>
  <c r="EN93" i="51"/>
  <c r="EM93" i="51"/>
  <c r="EL93" i="51"/>
  <c r="EK93" i="51"/>
  <c r="EJ93" i="51"/>
  <c r="EI93" i="51"/>
  <c r="EH93" i="51"/>
  <c r="EG93" i="51"/>
  <c r="EF93" i="51"/>
  <c r="EE93" i="51"/>
  <c r="ED93" i="51"/>
  <c r="EC93" i="51"/>
  <c r="EB93" i="51"/>
  <c r="EA93" i="51"/>
  <c r="DZ93" i="51"/>
  <c r="DY93" i="51"/>
  <c r="DX93" i="51"/>
  <c r="DW93" i="51"/>
  <c r="DV93" i="51"/>
  <c r="DU93" i="51"/>
  <c r="DT93" i="51"/>
  <c r="DS93" i="51"/>
  <c r="DR93" i="51"/>
  <c r="DQ93" i="51"/>
  <c r="DP93" i="51"/>
  <c r="DO93" i="51"/>
  <c r="DN93" i="51"/>
  <c r="DM93" i="51"/>
  <c r="DL93" i="51"/>
  <c r="DK93" i="51"/>
  <c r="DJ93" i="51"/>
  <c r="DI93" i="51"/>
  <c r="DH93" i="51"/>
  <c r="DG93" i="51"/>
  <c r="DF93" i="51"/>
  <c r="DE93" i="51"/>
  <c r="DD93" i="51"/>
  <c r="DC93" i="51"/>
  <c r="DB93" i="51"/>
  <c r="DA93" i="51"/>
  <c r="CZ93" i="51"/>
  <c r="CY93" i="51"/>
  <c r="CX93" i="51"/>
  <c r="CW93" i="51"/>
  <c r="CV93" i="51"/>
  <c r="CU93" i="51"/>
  <c r="CT93" i="51"/>
  <c r="CS93" i="51"/>
  <c r="CR93" i="51"/>
  <c r="CQ93" i="51"/>
  <c r="CP93" i="51"/>
  <c r="CO93" i="51"/>
  <c r="CN93" i="51"/>
  <c r="CM93" i="51"/>
  <c r="CL93" i="51"/>
  <c r="CK93" i="51"/>
  <c r="CJ93" i="51"/>
  <c r="CI93" i="51"/>
  <c r="CH93" i="51"/>
  <c r="CG93" i="51"/>
  <c r="CF93" i="51"/>
  <c r="CE93" i="51"/>
  <c r="CD93" i="51"/>
  <c r="CC93" i="51"/>
  <c r="CB93" i="51"/>
  <c r="CA93" i="51"/>
  <c r="BZ93" i="51"/>
  <c r="BY93" i="51"/>
  <c r="BX93" i="51"/>
  <c r="BW93" i="51"/>
  <c r="BV93" i="51"/>
  <c r="BU93" i="51"/>
  <c r="BT93" i="51"/>
  <c r="BS93" i="51"/>
  <c r="BR93" i="51"/>
  <c r="BQ93" i="51"/>
  <c r="BP93" i="51"/>
  <c r="BO93" i="51"/>
  <c r="BN93" i="51"/>
  <c r="BM93" i="51"/>
  <c r="BL93" i="51"/>
  <c r="BK93" i="51"/>
  <c r="BJ93" i="51"/>
  <c r="BI93" i="51"/>
  <c r="BH93" i="51"/>
  <c r="BG93" i="51"/>
  <c r="BF93" i="51"/>
  <c r="BE93" i="51"/>
  <c r="BD93" i="51"/>
  <c r="BC93" i="51"/>
  <c r="BB93" i="51"/>
  <c r="BA93" i="51"/>
  <c r="AZ93" i="51"/>
  <c r="AY93" i="51"/>
  <c r="AX93" i="51"/>
  <c r="AW93" i="51"/>
  <c r="AV93" i="51"/>
  <c r="AU93" i="51"/>
  <c r="AT93" i="51"/>
  <c r="AS93" i="51"/>
  <c r="AR93" i="51"/>
  <c r="AQ93" i="51"/>
  <c r="AP93" i="51"/>
  <c r="AO93" i="51"/>
  <c r="AN93" i="51"/>
  <c r="AM93" i="51"/>
  <c r="AL93" i="51"/>
  <c r="AK93" i="51"/>
  <c r="AJ93" i="51"/>
  <c r="AI93" i="51"/>
  <c r="AH93" i="51"/>
  <c r="AG93" i="51"/>
  <c r="AF93" i="51"/>
  <c r="AE93" i="51"/>
  <c r="AD93" i="51"/>
  <c r="AC93" i="51"/>
  <c r="AB93" i="51"/>
  <c r="AA93" i="51"/>
  <c r="Z93" i="51"/>
  <c r="Y93" i="51"/>
  <c r="X93" i="51"/>
  <c r="W93" i="51"/>
  <c r="V93" i="51"/>
  <c r="U93" i="51"/>
  <c r="T93" i="51"/>
  <c r="S93" i="51"/>
  <c r="R93" i="51"/>
  <c r="Q93" i="51"/>
  <c r="P93" i="51"/>
  <c r="O93" i="51"/>
  <c r="N93" i="51"/>
  <c r="M93" i="51"/>
  <c r="L93" i="51"/>
  <c r="K93" i="51"/>
  <c r="J93" i="51"/>
  <c r="I93" i="51"/>
  <c r="H93" i="51"/>
  <c r="G93" i="51"/>
  <c r="F93" i="51"/>
  <c r="IV92" i="51"/>
  <c r="IU92" i="51"/>
  <c r="IT92" i="51"/>
  <c r="IS92" i="51"/>
  <c r="IR92" i="51"/>
  <c r="IQ92" i="51"/>
  <c r="IP92" i="51"/>
  <c r="IO92" i="51"/>
  <c r="IN92" i="51"/>
  <c r="IM92" i="51"/>
  <c r="IL92" i="51"/>
  <c r="IK92" i="51"/>
  <c r="IJ92" i="51"/>
  <c r="II92" i="51"/>
  <c r="IH92" i="51"/>
  <c r="IG92" i="51"/>
  <c r="IF92" i="51"/>
  <c r="IE92" i="51"/>
  <c r="ID92" i="51"/>
  <c r="IC92" i="51"/>
  <c r="IB92" i="51"/>
  <c r="IA92" i="51"/>
  <c r="HZ92" i="51"/>
  <c r="HY92" i="51"/>
  <c r="HX92" i="51"/>
  <c r="HW92" i="51"/>
  <c r="HV92" i="51"/>
  <c r="HU92" i="51"/>
  <c r="HT92" i="51"/>
  <c r="HS92" i="51"/>
  <c r="HR92" i="51"/>
  <c r="HQ92" i="51"/>
  <c r="HP92" i="51"/>
  <c r="HO92" i="51"/>
  <c r="HN92" i="51"/>
  <c r="HM92" i="51"/>
  <c r="HL92" i="51"/>
  <c r="HK92" i="51"/>
  <c r="HJ92" i="51"/>
  <c r="HI92" i="51"/>
  <c r="HH92" i="51"/>
  <c r="HG92" i="51"/>
  <c r="HF92" i="51"/>
  <c r="HE92" i="51"/>
  <c r="HD92" i="51"/>
  <c r="HC92" i="51"/>
  <c r="HB92" i="51"/>
  <c r="HA92" i="51"/>
  <c r="GZ92" i="51"/>
  <c r="GY92" i="51"/>
  <c r="GX92" i="51"/>
  <c r="GW92" i="51"/>
  <c r="GV92" i="51"/>
  <c r="GU92" i="51"/>
  <c r="GT92" i="51"/>
  <c r="GS92" i="51"/>
  <c r="GR92" i="51"/>
  <c r="GQ92" i="51"/>
  <c r="GP92" i="51"/>
  <c r="GO92" i="51"/>
  <c r="GN92" i="51"/>
  <c r="GM92" i="51"/>
  <c r="GL92" i="51"/>
  <c r="GK92" i="51"/>
  <c r="GJ92" i="51"/>
  <c r="GI92" i="51"/>
  <c r="GH92" i="51"/>
  <c r="GG92" i="51"/>
  <c r="GF92" i="51"/>
  <c r="GE92" i="51"/>
  <c r="GD92" i="51"/>
  <c r="GC92" i="51"/>
  <c r="GB92" i="51"/>
  <c r="GA92" i="51"/>
  <c r="FZ92" i="51"/>
  <c r="FY92" i="51"/>
  <c r="FX92" i="51"/>
  <c r="FW92" i="51"/>
  <c r="FV92" i="51"/>
  <c r="FU92" i="51"/>
  <c r="FT92" i="51"/>
  <c r="FS92" i="51"/>
  <c r="FR92" i="51"/>
  <c r="FQ92" i="51"/>
  <c r="FP92" i="51"/>
  <c r="FO92" i="51"/>
  <c r="FN92" i="51"/>
  <c r="FM92" i="51"/>
  <c r="FL92" i="51"/>
  <c r="FK92" i="51"/>
  <c r="FJ92" i="51"/>
  <c r="FI92" i="51"/>
  <c r="FH92" i="51"/>
  <c r="FG92" i="51"/>
  <c r="FF92" i="51"/>
  <c r="FE92" i="51"/>
  <c r="FD92" i="51"/>
  <c r="FC92" i="51"/>
  <c r="FB92" i="51"/>
  <c r="FA92" i="51"/>
  <c r="EZ92" i="51"/>
  <c r="EY92" i="51"/>
  <c r="EX92" i="51"/>
  <c r="EW92" i="51"/>
  <c r="EV92" i="51"/>
  <c r="EU92" i="51"/>
  <c r="ET92" i="51"/>
  <c r="ES92" i="51"/>
  <c r="ER92" i="51"/>
  <c r="EQ92" i="51"/>
  <c r="EP92" i="51"/>
  <c r="EO92" i="51"/>
  <c r="EN92" i="51"/>
  <c r="EM92" i="51"/>
  <c r="EL92" i="51"/>
  <c r="EK92" i="51"/>
  <c r="EJ92" i="51"/>
  <c r="EI92" i="51"/>
  <c r="EH92" i="51"/>
  <c r="EG92" i="51"/>
  <c r="EF92" i="51"/>
  <c r="EE92" i="51"/>
  <c r="ED92" i="51"/>
  <c r="EC92" i="51"/>
  <c r="EB92" i="51"/>
  <c r="EA92" i="51"/>
  <c r="DZ92" i="51"/>
  <c r="DY92" i="51"/>
  <c r="DX92" i="51"/>
  <c r="DW92" i="51"/>
  <c r="DV92" i="51"/>
  <c r="DU92" i="51"/>
  <c r="DT92" i="51"/>
  <c r="DS92" i="51"/>
  <c r="DR92" i="51"/>
  <c r="DQ92" i="51"/>
  <c r="DP92" i="51"/>
  <c r="DO92" i="51"/>
  <c r="DN92" i="51"/>
  <c r="DM92" i="51"/>
  <c r="DL92" i="51"/>
  <c r="DK92" i="51"/>
  <c r="DJ92" i="51"/>
  <c r="DI92" i="51"/>
  <c r="DH92" i="51"/>
  <c r="DG92" i="51"/>
  <c r="DF92" i="51"/>
  <c r="DE92" i="51"/>
  <c r="DD92" i="51"/>
  <c r="DC92" i="51"/>
  <c r="DB92" i="51"/>
  <c r="DA92" i="51"/>
  <c r="CZ92" i="51"/>
  <c r="CY92" i="51"/>
  <c r="CX92" i="51"/>
  <c r="CW92" i="51"/>
  <c r="CV92" i="51"/>
  <c r="CU92" i="51"/>
  <c r="CT92" i="51"/>
  <c r="CS92" i="51"/>
  <c r="CR92" i="51"/>
  <c r="CQ92" i="51"/>
  <c r="CP92" i="51"/>
  <c r="CO92" i="51"/>
  <c r="CN92" i="51"/>
  <c r="CM92" i="51"/>
  <c r="CL92" i="51"/>
  <c r="CK92" i="51"/>
  <c r="CJ92" i="51"/>
  <c r="CI92" i="51"/>
  <c r="CH92" i="51"/>
  <c r="CG92" i="51"/>
  <c r="CF92" i="51"/>
  <c r="CE92" i="51"/>
  <c r="CD92" i="51"/>
  <c r="CC92" i="51"/>
  <c r="CB92" i="51"/>
  <c r="CA92" i="51"/>
  <c r="BZ92" i="51"/>
  <c r="BY92" i="51"/>
  <c r="BX92" i="51"/>
  <c r="BW92" i="51"/>
  <c r="BV92" i="51"/>
  <c r="BU92" i="51"/>
  <c r="BT92" i="51"/>
  <c r="BS92" i="51"/>
  <c r="BR92" i="51"/>
  <c r="BQ92" i="51"/>
  <c r="BP92" i="51"/>
  <c r="BO92" i="51"/>
  <c r="BN92" i="51"/>
  <c r="BM92" i="51"/>
  <c r="BL92" i="51"/>
  <c r="BK92" i="51"/>
  <c r="BJ92" i="51"/>
  <c r="BI92" i="51"/>
  <c r="BH92" i="51"/>
  <c r="BG92" i="51"/>
  <c r="BF92" i="51"/>
  <c r="BE92" i="51"/>
  <c r="BD92" i="51"/>
  <c r="BC92" i="51"/>
  <c r="BB92" i="51"/>
  <c r="BA92" i="51"/>
  <c r="AZ92" i="51"/>
  <c r="AY92" i="51"/>
  <c r="AX92" i="51"/>
  <c r="AW92" i="51"/>
  <c r="AV92" i="51"/>
  <c r="AU92" i="51"/>
  <c r="AT92" i="51"/>
  <c r="AS92" i="51"/>
  <c r="AR92" i="51"/>
  <c r="AQ92" i="51"/>
  <c r="AP92" i="51"/>
  <c r="AO92" i="51"/>
  <c r="AN92" i="51"/>
  <c r="AM92" i="51"/>
  <c r="AL92" i="51"/>
  <c r="AK92" i="51"/>
  <c r="AJ92" i="51"/>
  <c r="AI92" i="51"/>
  <c r="AH92" i="51"/>
  <c r="AG92" i="51"/>
  <c r="AF92" i="51"/>
  <c r="AE92" i="51"/>
  <c r="AD92" i="51"/>
  <c r="AC92" i="51"/>
  <c r="AB92" i="51"/>
  <c r="AA92" i="51"/>
  <c r="Z92" i="51"/>
  <c r="Y92" i="51"/>
  <c r="X92" i="51"/>
  <c r="W92" i="51"/>
  <c r="V92" i="51"/>
  <c r="U92" i="51"/>
  <c r="T92" i="51"/>
  <c r="S92" i="51"/>
  <c r="R92" i="51"/>
  <c r="Q92" i="51"/>
  <c r="P92" i="51"/>
  <c r="O92" i="51"/>
  <c r="N92" i="51"/>
  <c r="M92" i="51"/>
  <c r="L92" i="51"/>
  <c r="K92" i="51"/>
  <c r="J92" i="51"/>
  <c r="I92" i="51"/>
  <c r="H92" i="51"/>
  <c r="G92" i="51"/>
  <c r="F92" i="51"/>
  <c r="IV91" i="51"/>
  <c r="IU91" i="51"/>
  <c r="IT91" i="51"/>
  <c r="IS91" i="51"/>
  <c r="IR91" i="51"/>
  <c r="IQ91" i="51"/>
  <c r="IP91" i="51"/>
  <c r="IO91" i="51"/>
  <c r="IN91" i="51"/>
  <c r="IM91" i="51"/>
  <c r="IL91" i="51"/>
  <c r="IK91" i="51"/>
  <c r="IJ91" i="51"/>
  <c r="II91" i="51"/>
  <c r="IH91" i="51"/>
  <c r="IG91" i="51"/>
  <c r="IF91" i="51"/>
  <c r="IE91" i="51"/>
  <c r="ID91" i="51"/>
  <c r="IC91" i="51"/>
  <c r="IB91" i="51"/>
  <c r="IA91" i="51"/>
  <c r="HZ91" i="51"/>
  <c r="HY91" i="51"/>
  <c r="HX91" i="51"/>
  <c r="HW91" i="51"/>
  <c r="HV91" i="51"/>
  <c r="HU91" i="51"/>
  <c r="HT91" i="51"/>
  <c r="HS91" i="51"/>
  <c r="HR91" i="51"/>
  <c r="HQ91" i="51"/>
  <c r="HP91" i="51"/>
  <c r="HO91" i="51"/>
  <c r="HN91" i="51"/>
  <c r="HM91" i="51"/>
  <c r="HL91" i="51"/>
  <c r="HK91" i="51"/>
  <c r="HJ91" i="51"/>
  <c r="HI91" i="51"/>
  <c r="HH91" i="51"/>
  <c r="HG91" i="51"/>
  <c r="HF91" i="51"/>
  <c r="HE91" i="51"/>
  <c r="HD91" i="51"/>
  <c r="HC91" i="51"/>
  <c r="HB91" i="51"/>
  <c r="HA91" i="51"/>
  <c r="GZ91" i="51"/>
  <c r="GY91" i="51"/>
  <c r="GX91" i="51"/>
  <c r="GW91" i="51"/>
  <c r="GV91" i="51"/>
  <c r="GU91" i="51"/>
  <c r="GT91" i="51"/>
  <c r="GS91" i="51"/>
  <c r="GR91" i="51"/>
  <c r="GQ91" i="51"/>
  <c r="GP91" i="51"/>
  <c r="GO91" i="51"/>
  <c r="GN91" i="51"/>
  <c r="GM91" i="51"/>
  <c r="GL91" i="51"/>
  <c r="GK91" i="51"/>
  <c r="GJ91" i="51"/>
  <c r="GI91" i="51"/>
  <c r="GH91" i="51"/>
  <c r="GG91" i="51"/>
  <c r="GF91" i="51"/>
  <c r="GE91" i="51"/>
  <c r="GD91" i="51"/>
  <c r="GC91" i="51"/>
  <c r="GB91" i="51"/>
  <c r="GA91" i="51"/>
  <c r="FZ91" i="51"/>
  <c r="FY91" i="51"/>
  <c r="FX91" i="51"/>
  <c r="FW91" i="51"/>
  <c r="FV91" i="51"/>
  <c r="FU91" i="51"/>
  <c r="FT91" i="51"/>
  <c r="FS91" i="51"/>
  <c r="FR91" i="51"/>
  <c r="FQ91" i="51"/>
  <c r="FP91" i="51"/>
  <c r="FO91" i="51"/>
  <c r="FN91" i="51"/>
  <c r="FM91" i="51"/>
  <c r="FL91" i="51"/>
  <c r="FK91" i="51"/>
  <c r="FJ91" i="51"/>
  <c r="FI91" i="51"/>
  <c r="FH91" i="51"/>
  <c r="FG91" i="51"/>
  <c r="FF91" i="51"/>
  <c r="FE91" i="51"/>
  <c r="FD91" i="51"/>
  <c r="FC91" i="51"/>
  <c r="FB91" i="51"/>
  <c r="FA91" i="51"/>
  <c r="EZ91" i="51"/>
  <c r="EY91" i="51"/>
  <c r="EX91" i="51"/>
  <c r="EW91" i="51"/>
  <c r="EV91" i="51"/>
  <c r="EU91" i="51"/>
  <c r="ET91" i="51"/>
  <c r="ES91" i="51"/>
  <c r="ER91" i="51"/>
  <c r="EQ91" i="51"/>
  <c r="EP91" i="51"/>
  <c r="EO91" i="51"/>
  <c r="EN91" i="51"/>
  <c r="EM91" i="51"/>
  <c r="EL91" i="51"/>
  <c r="EK91" i="51"/>
  <c r="EJ91" i="51"/>
  <c r="EI91" i="51"/>
  <c r="EH91" i="51"/>
  <c r="EG91" i="51"/>
  <c r="EF91" i="51"/>
  <c r="EE91" i="51"/>
  <c r="ED91" i="51"/>
  <c r="EC91" i="51"/>
  <c r="EB91" i="51"/>
  <c r="EA91" i="51"/>
  <c r="DZ91" i="51"/>
  <c r="DY91" i="51"/>
  <c r="DX91" i="51"/>
  <c r="DW91" i="51"/>
  <c r="DV91" i="51"/>
  <c r="DU91" i="51"/>
  <c r="DT91" i="51"/>
  <c r="DS91" i="51"/>
  <c r="DR91" i="51"/>
  <c r="DQ91" i="51"/>
  <c r="DP91" i="51"/>
  <c r="DO91" i="51"/>
  <c r="DN91" i="51"/>
  <c r="DM91" i="51"/>
  <c r="DL91" i="51"/>
  <c r="DK91" i="51"/>
  <c r="DJ91" i="51"/>
  <c r="DI91" i="51"/>
  <c r="DH91" i="51"/>
  <c r="DG91" i="51"/>
  <c r="DF91" i="51"/>
  <c r="DE91" i="51"/>
  <c r="DD91" i="51"/>
  <c r="DC91" i="51"/>
  <c r="DB91" i="51"/>
  <c r="DA91" i="51"/>
  <c r="CZ91" i="51"/>
  <c r="CY91" i="51"/>
  <c r="CX91" i="51"/>
  <c r="CW91" i="51"/>
  <c r="CV91" i="51"/>
  <c r="CU91" i="51"/>
  <c r="CT91" i="51"/>
  <c r="CS91" i="51"/>
  <c r="CR91" i="51"/>
  <c r="CQ91" i="51"/>
  <c r="CP91" i="51"/>
  <c r="CO91" i="51"/>
  <c r="CN91" i="51"/>
  <c r="CM91" i="51"/>
  <c r="CL91" i="51"/>
  <c r="CK91" i="51"/>
  <c r="CJ91" i="51"/>
  <c r="CI91" i="51"/>
  <c r="CH91" i="51"/>
  <c r="CG91" i="51"/>
  <c r="CF91" i="51"/>
  <c r="CE91" i="51"/>
  <c r="CD91" i="51"/>
  <c r="CC91" i="51"/>
  <c r="CB91" i="51"/>
  <c r="CA91" i="51"/>
  <c r="BZ91" i="51"/>
  <c r="BY91" i="51"/>
  <c r="BX91" i="51"/>
  <c r="BW91" i="51"/>
  <c r="BV91" i="51"/>
  <c r="BU91" i="51"/>
  <c r="BT91" i="51"/>
  <c r="BS91" i="51"/>
  <c r="BR91" i="51"/>
  <c r="BQ91" i="51"/>
  <c r="BP91" i="51"/>
  <c r="BO91" i="51"/>
  <c r="BN91" i="51"/>
  <c r="BM91" i="51"/>
  <c r="BL91" i="51"/>
  <c r="BK91" i="51"/>
  <c r="BJ91" i="51"/>
  <c r="BI91" i="51"/>
  <c r="BH91" i="51"/>
  <c r="BG91" i="51"/>
  <c r="BF91" i="51"/>
  <c r="BE91" i="51"/>
  <c r="BD91" i="51"/>
  <c r="BC91" i="51"/>
  <c r="BB91" i="51"/>
  <c r="BA91" i="51"/>
  <c r="AZ91" i="51"/>
  <c r="AY91" i="51"/>
  <c r="AX91" i="51"/>
  <c r="AW91" i="51"/>
  <c r="AV91" i="51"/>
  <c r="AU91" i="51"/>
  <c r="AT91" i="51"/>
  <c r="AS91" i="51"/>
  <c r="AR91" i="51"/>
  <c r="AQ91" i="51"/>
  <c r="AP91" i="51"/>
  <c r="AO91" i="51"/>
  <c r="AN91" i="51"/>
  <c r="AM91" i="51"/>
  <c r="AL91" i="51"/>
  <c r="AK91" i="51"/>
  <c r="AJ91" i="51"/>
  <c r="AI91" i="51"/>
  <c r="AH91" i="51"/>
  <c r="AG91" i="51"/>
  <c r="AF91" i="51"/>
  <c r="AE91" i="51"/>
  <c r="AD91" i="51"/>
  <c r="AC91" i="51"/>
  <c r="AB91" i="51"/>
  <c r="AA91" i="51"/>
  <c r="Z91" i="51"/>
  <c r="Y91" i="51"/>
  <c r="X91" i="51"/>
  <c r="W91" i="51"/>
  <c r="V91" i="51"/>
  <c r="U91" i="51"/>
  <c r="T91" i="51"/>
  <c r="S91" i="51"/>
  <c r="R91" i="51"/>
  <c r="Q91" i="51"/>
  <c r="P91" i="51"/>
  <c r="O91" i="51"/>
  <c r="N91" i="51"/>
  <c r="M91" i="51"/>
  <c r="L91" i="51"/>
  <c r="K91" i="51"/>
  <c r="J91" i="51"/>
  <c r="I91" i="51"/>
  <c r="H91" i="51"/>
  <c r="G91" i="51"/>
  <c r="F91" i="51"/>
  <c r="IV90" i="51"/>
  <c r="IU90" i="51"/>
  <c r="IT90" i="51"/>
  <c r="IS90" i="51"/>
  <c r="IR90" i="51"/>
  <c r="IQ90" i="51"/>
  <c r="IP90" i="51"/>
  <c r="IO90" i="51"/>
  <c r="IN90" i="51"/>
  <c r="IM90" i="51"/>
  <c r="IL90" i="51"/>
  <c r="IK90" i="51"/>
  <c r="IJ90" i="51"/>
  <c r="II90" i="51"/>
  <c r="IH90" i="51"/>
  <c r="IG90" i="51"/>
  <c r="IF90" i="51"/>
  <c r="IE90" i="51"/>
  <c r="ID90" i="51"/>
  <c r="IC90" i="51"/>
  <c r="IB90" i="51"/>
  <c r="IA90" i="51"/>
  <c r="HZ90" i="51"/>
  <c r="HY90" i="51"/>
  <c r="HX90" i="51"/>
  <c r="HW90" i="51"/>
  <c r="HV90" i="51"/>
  <c r="HU90" i="51"/>
  <c r="HT90" i="51"/>
  <c r="HS90" i="51"/>
  <c r="HR90" i="51"/>
  <c r="HQ90" i="51"/>
  <c r="HP90" i="51"/>
  <c r="HO90" i="51"/>
  <c r="HN90" i="51"/>
  <c r="HM90" i="51"/>
  <c r="HL90" i="51"/>
  <c r="HK90" i="51"/>
  <c r="HJ90" i="51"/>
  <c r="HI90" i="51"/>
  <c r="HH90" i="51"/>
  <c r="HG90" i="51"/>
  <c r="HF90" i="51"/>
  <c r="HE90" i="51"/>
  <c r="HD90" i="51"/>
  <c r="HC90" i="51"/>
  <c r="HB90" i="51"/>
  <c r="HA90" i="51"/>
  <c r="GZ90" i="51"/>
  <c r="GY90" i="51"/>
  <c r="GX90" i="51"/>
  <c r="GW90" i="51"/>
  <c r="GV90" i="51"/>
  <c r="GU90" i="51"/>
  <c r="GT90" i="51"/>
  <c r="GS90" i="51"/>
  <c r="GR90" i="51"/>
  <c r="GQ90" i="51"/>
  <c r="GP90" i="51"/>
  <c r="GO90" i="51"/>
  <c r="GN90" i="51"/>
  <c r="GM90" i="51"/>
  <c r="GL90" i="51"/>
  <c r="GK90" i="51"/>
  <c r="GJ90" i="51"/>
  <c r="GI90" i="51"/>
  <c r="GH90" i="51"/>
  <c r="GG90" i="51"/>
  <c r="GF90" i="51"/>
  <c r="GE90" i="51"/>
  <c r="GD90" i="51"/>
  <c r="GC90" i="51"/>
  <c r="GB90" i="51"/>
  <c r="GA90" i="51"/>
  <c r="FZ90" i="51"/>
  <c r="FY90" i="51"/>
  <c r="FX90" i="51"/>
  <c r="FW90" i="51"/>
  <c r="FV90" i="51"/>
  <c r="FU90" i="51"/>
  <c r="FT90" i="51"/>
  <c r="FS90" i="51"/>
  <c r="FR90" i="51"/>
  <c r="FQ90" i="51"/>
  <c r="FP90" i="51"/>
  <c r="FO90" i="51"/>
  <c r="FN90" i="51"/>
  <c r="FM90" i="51"/>
  <c r="FL90" i="51"/>
  <c r="FK90" i="51"/>
  <c r="FJ90" i="51"/>
  <c r="FI90" i="51"/>
  <c r="FH90" i="51"/>
  <c r="FG90" i="51"/>
  <c r="FF90" i="51"/>
  <c r="FE90" i="51"/>
  <c r="FD90" i="51"/>
  <c r="FC90" i="51"/>
  <c r="FB90" i="51"/>
  <c r="FA90" i="51"/>
  <c r="EZ90" i="51"/>
  <c r="EY90" i="51"/>
  <c r="EX90" i="51"/>
  <c r="EW90" i="51"/>
  <c r="EV90" i="51"/>
  <c r="EU90" i="51"/>
  <c r="ET90" i="51"/>
  <c r="ES90" i="51"/>
  <c r="ER90" i="51"/>
  <c r="EQ90" i="51"/>
  <c r="EP90" i="51"/>
  <c r="EO90" i="51"/>
  <c r="EN90" i="51"/>
  <c r="EM90" i="51"/>
  <c r="EL90" i="51"/>
  <c r="EK90" i="51"/>
  <c r="EJ90" i="51"/>
  <c r="EI90" i="51"/>
  <c r="EH90" i="51"/>
  <c r="EG90" i="51"/>
  <c r="EF90" i="51"/>
  <c r="EE90" i="51"/>
  <c r="ED90" i="51"/>
  <c r="EC90" i="51"/>
  <c r="EB90" i="51"/>
  <c r="EA90" i="51"/>
  <c r="DZ90" i="51"/>
  <c r="DY90" i="51"/>
  <c r="DX90" i="51"/>
  <c r="DW90" i="51"/>
  <c r="DV90" i="51"/>
  <c r="DU90" i="51"/>
  <c r="DT90" i="51"/>
  <c r="DS90" i="51"/>
  <c r="DR90" i="51"/>
  <c r="DQ90" i="51"/>
  <c r="DP90" i="51"/>
  <c r="DO90" i="51"/>
  <c r="DN90" i="51"/>
  <c r="DM90" i="51"/>
  <c r="DL90" i="51"/>
  <c r="DK90" i="51"/>
  <c r="DJ90" i="51"/>
  <c r="DI90" i="51"/>
  <c r="DH90" i="51"/>
  <c r="DG90" i="51"/>
  <c r="DF90" i="51"/>
  <c r="DE90" i="51"/>
  <c r="DD90" i="51"/>
  <c r="DC90" i="51"/>
  <c r="DB90" i="51"/>
  <c r="DA90" i="51"/>
  <c r="CZ90" i="51"/>
  <c r="CY90" i="51"/>
  <c r="CX90" i="51"/>
  <c r="CW90" i="51"/>
  <c r="CV90" i="51"/>
  <c r="CU90" i="51"/>
  <c r="CT90" i="51"/>
  <c r="CS90" i="51"/>
  <c r="CR90" i="51"/>
  <c r="CQ90" i="51"/>
  <c r="CP90" i="51"/>
  <c r="CO90" i="51"/>
  <c r="CN90" i="51"/>
  <c r="CM90" i="51"/>
  <c r="CL90" i="51"/>
  <c r="CK90" i="51"/>
  <c r="CJ90" i="51"/>
  <c r="CI90" i="51"/>
  <c r="CH90" i="51"/>
  <c r="CG90" i="51"/>
  <c r="CF90" i="51"/>
  <c r="CE90" i="51"/>
  <c r="CD90" i="51"/>
  <c r="CC90" i="51"/>
  <c r="CB90" i="51"/>
  <c r="CA90" i="51"/>
  <c r="BZ90" i="51"/>
  <c r="BY90" i="51"/>
  <c r="BX90" i="51"/>
  <c r="BW90" i="51"/>
  <c r="BV90" i="51"/>
  <c r="BU90" i="51"/>
  <c r="BT90" i="51"/>
  <c r="BS90" i="51"/>
  <c r="BR90" i="51"/>
  <c r="BQ90" i="51"/>
  <c r="BP90" i="51"/>
  <c r="BO90" i="51"/>
  <c r="BN90" i="51"/>
  <c r="BM90" i="51"/>
  <c r="BL90" i="51"/>
  <c r="BK90" i="51"/>
  <c r="BJ90" i="51"/>
  <c r="BI90" i="51"/>
  <c r="BH90" i="51"/>
  <c r="BG90" i="51"/>
  <c r="BF90" i="51"/>
  <c r="BE90" i="51"/>
  <c r="BD90" i="51"/>
  <c r="BC90" i="51"/>
  <c r="BB90" i="51"/>
  <c r="BA90" i="51"/>
  <c r="AZ90" i="51"/>
  <c r="AY90" i="51"/>
  <c r="AX90" i="51"/>
  <c r="AW90" i="51"/>
  <c r="AV90" i="51"/>
  <c r="AU90" i="51"/>
  <c r="AT90" i="51"/>
  <c r="AS90" i="51"/>
  <c r="AR90" i="51"/>
  <c r="AQ90" i="51"/>
  <c r="AP90" i="51"/>
  <c r="AO90" i="51"/>
  <c r="AN90" i="51"/>
  <c r="AM90" i="51"/>
  <c r="AL90" i="51"/>
  <c r="AK90" i="51"/>
  <c r="AJ90" i="51"/>
  <c r="AI90" i="51"/>
  <c r="AH90" i="51"/>
  <c r="AG90" i="51"/>
  <c r="AF90" i="51"/>
  <c r="AE90" i="51"/>
  <c r="AD90" i="51"/>
  <c r="AC90" i="51"/>
  <c r="AB90" i="51"/>
  <c r="AA90" i="51"/>
  <c r="Z90" i="51"/>
  <c r="Y90" i="51"/>
  <c r="X90" i="51"/>
  <c r="W90" i="51"/>
  <c r="V90" i="51"/>
  <c r="U90" i="51"/>
  <c r="T90" i="51"/>
  <c r="S90" i="51"/>
  <c r="R90" i="51"/>
  <c r="Q90" i="51"/>
  <c r="P90" i="51"/>
  <c r="O90" i="51"/>
  <c r="N90" i="51"/>
  <c r="M90" i="51"/>
  <c r="L90" i="51"/>
  <c r="K90" i="51"/>
  <c r="J90" i="51"/>
  <c r="I90" i="51"/>
  <c r="H90" i="51"/>
  <c r="G90" i="51"/>
  <c r="F90" i="51"/>
  <c r="IV89" i="51"/>
  <c r="IU89" i="51"/>
  <c r="IT89" i="51"/>
  <c r="IS89" i="51"/>
  <c r="IR89" i="51"/>
  <c r="IQ89" i="51"/>
  <c r="IP89" i="51"/>
  <c r="IO89" i="51"/>
  <c r="IN89" i="51"/>
  <c r="IM89" i="51"/>
  <c r="IL89" i="51"/>
  <c r="IK89" i="51"/>
  <c r="IJ89" i="51"/>
  <c r="II89" i="51"/>
  <c r="IH89" i="51"/>
  <c r="IG89" i="51"/>
  <c r="IF89" i="51"/>
  <c r="IE89" i="51"/>
  <c r="ID89" i="51"/>
  <c r="IC89" i="51"/>
  <c r="IB89" i="51"/>
  <c r="IA89" i="51"/>
  <c r="HZ89" i="51"/>
  <c r="HY89" i="51"/>
  <c r="HX89" i="51"/>
  <c r="HW89" i="51"/>
  <c r="HV89" i="51"/>
  <c r="HU89" i="51"/>
  <c r="HT89" i="51"/>
  <c r="HS89" i="51"/>
  <c r="HR89" i="51"/>
  <c r="HQ89" i="51"/>
  <c r="HP89" i="51"/>
  <c r="HO89" i="51"/>
  <c r="HN89" i="51"/>
  <c r="HM89" i="51"/>
  <c r="HL89" i="51"/>
  <c r="HK89" i="51"/>
  <c r="HJ89" i="51"/>
  <c r="HI89" i="51"/>
  <c r="HH89" i="51"/>
  <c r="HG89" i="51"/>
  <c r="HF89" i="51"/>
  <c r="HE89" i="51"/>
  <c r="HD89" i="51"/>
  <c r="HC89" i="51"/>
  <c r="HB89" i="51"/>
  <c r="HA89" i="51"/>
  <c r="GZ89" i="51"/>
  <c r="GY89" i="51"/>
  <c r="GX89" i="51"/>
  <c r="GW89" i="51"/>
  <c r="GV89" i="51"/>
  <c r="GU89" i="51"/>
  <c r="GT89" i="51"/>
  <c r="GS89" i="51"/>
  <c r="GR89" i="51"/>
  <c r="GQ89" i="51"/>
  <c r="GP89" i="51"/>
  <c r="GO89" i="51"/>
  <c r="GN89" i="51"/>
  <c r="GM89" i="51"/>
  <c r="GL89" i="51"/>
  <c r="GK89" i="51"/>
  <c r="GJ89" i="51"/>
  <c r="GI89" i="51"/>
  <c r="GH89" i="51"/>
  <c r="GG89" i="51"/>
  <c r="GF89" i="51"/>
  <c r="GE89" i="51"/>
  <c r="GD89" i="51"/>
  <c r="GC89" i="51"/>
  <c r="GB89" i="51"/>
  <c r="GA89" i="51"/>
  <c r="FZ89" i="51"/>
  <c r="FY89" i="51"/>
  <c r="FX89" i="51"/>
  <c r="FW89" i="51"/>
  <c r="FV89" i="51"/>
  <c r="FU89" i="51"/>
  <c r="FT89" i="51"/>
  <c r="FS89" i="51"/>
  <c r="FR89" i="51"/>
  <c r="FQ89" i="51"/>
  <c r="FP89" i="51"/>
  <c r="FO89" i="51"/>
  <c r="FN89" i="51"/>
  <c r="FM89" i="51"/>
  <c r="FL89" i="51"/>
  <c r="FK89" i="51"/>
  <c r="FJ89" i="51"/>
  <c r="FI89" i="51"/>
  <c r="FH89" i="51"/>
  <c r="FG89" i="51"/>
  <c r="FF89" i="51"/>
  <c r="FE89" i="51"/>
  <c r="FD89" i="51"/>
  <c r="FC89" i="51"/>
  <c r="FB89" i="51"/>
  <c r="FA89" i="51"/>
  <c r="EZ89" i="51"/>
  <c r="EY89" i="51"/>
  <c r="EX89" i="51"/>
  <c r="EW89" i="51"/>
  <c r="EV89" i="51"/>
  <c r="EU89" i="51"/>
  <c r="ET89" i="51"/>
  <c r="ES89" i="51"/>
  <c r="ER89" i="51"/>
  <c r="EQ89" i="51"/>
  <c r="EP89" i="51"/>
  <c r="EO89" i="51"/>
  <c r="EN89" i="51"/>
  <c r="EM89" i="51"/>
  <c r="EL89" i="51"/>
  <c r="EK89" i="51"/>
  <c r="EJ89" i="51"/>
  <c r="EI89" i="51"/>
  <c r="EH89" i="51"/>
  <c r="EG89" i="51"/>
  <c r="EF89" i="51"/>
  <c r="EE89" i="51"/>
  <c r="ED89" i="51"/>
  <c r="EC89" i="51"/>
  <c r="EB89" i="51"/>
  <c r="EA89" i="51"/>
  <c r="DZ89" i="51"/>
  <c r="DY89" i="51"/>
  <c r="DX89" i="51"/>
  <c r="DW89" i="51"/>
  <c r="DV89" i="51"/>
  <c r="DU89" i="51"/>
  <c r="DT89" i="51"/>
  <c r="DS89" i="51"/>
  <c r="DR89" i="51"/>
  <c r="DQ89" i="51"/>
  <c r="DP89" i="51"/>
  <c r="DO89" i="51"/>
  <c r="DN89" i="51"/>
  <c r="DM89" i="51"/>
  <c r="DL89" i="51"/>
  <c r="DK89" i="51"/>
  <c r="DJ89" i="51"/>
  <c r="DI89" i="51"/>
  <c r="DH89" i="51"/>
  <c r="DG89" i="51"/>
  <c r="DF89" i="51"/>
  <c r="DE89" i="51"/>
  <c r="DD89" i="51"/>
  <c r="DC89" i="51"/>
  <c r="DB89" i="51"/>
  <c r="DA89" i="51"/>
  <c r="CZ89" i="51"/>
  <c r="CY89" i="51"/>
  <c r="CX89" i="51"/>
  <c r="CW89" i="51"/>
  <c r="CV89" i="51"/>
  <c r="CU89" i="51"/>
  <c r="CT89" i="51"/>
  <c r="CS89" i="51"/>
  <c r="CR89" i="51"/>
  <c r="CQ89" i="51"/>
  <c r="CP89" i="51"/>
  <c r="CO89" i="51"/>
  <c r="CN89" i="51"/>
  <c r="CM89" i="51"/>
  <c r="CL89" i="51"/>
  <c r="CK89" i="51"/>
  <c r="CJ89" i="51"/>
  <c r="CI89" i="51"/>
  <c r="CH89" i="51"/>
  <c r="CG89" i="51"/>
  <c r="CF89" i="51"/>
  <c r="CE89" i="51"/>
  <c r="CD89" i="51"/>
  <c r="CC89" i="51"/>
  <c r="CB89" i="51"/>
  <c r="CA89" i="51"/>
  <c r="BZ89" i="51"/>
  <c r="BY89" i="51"/>
  <c r="BX89" i="51"/>
  <c r="BW89" i="51"/>
  <c r="BV89" i="51"/>
  <c r="BU89" i="51"/>
  <c r="BT89" i="51"/>
  <c r="BS89" i="51"/>
  <c r="BR89" i="51"/>
  <c r="BQ89" i="51"/>
  <c r="BP89" i="51"/>
  <c r="BO89" i="51"/>
  <c r="BN89" i="51"/>
  <c r="BM89" i="51"/>
  <c r="BL89" i="51"/>
  <c r="BK89" i="51"/>
  <c r="BJ89" i="51"/>
  <c r="BI89" i="51"/>
  <c r="BH89" i="51"/>
  <c r="BG89" i="51"/>
  <c r="BF89" i="51"/>
  <c r="BE89" i="51"/>
  <c r="BD89" i="51"/>
  <c r="BC89" i="51"/>
  <c r="BB89" i="51"/>
  <c r="BA89" i="51"/>
  <c r="AZ89" i="51"/>
  <c r="AY89" i="51"/>
  <c r="AX89" i="51"/>
  <c r="AW89" i="51"/>
  <c r="AV89" i="51"/>
  <c r="AU89" i="51"/>
  <c r="AT89" i="51"/>
  <c r="AS89" i="51"/>
  <c r="AR89" i="51"/>
  <c r="AQ89" i="51"/>
  <c r="AP89" i="51"/>
  <c r="AO89" i="51"/>
  <c r="AN89" i="51"/>
  <c r="AM89" i="51"/>
  <c r="AL89" i="51"/>
  <c r="AK89" i="51"/>
  <c r="AJ89" i="51"/>
  <c r="AI89" i="51"/>
  <c r="AH89" i="51"/>
  <c r="AG89" i="51"/>
  <c r="AF89" i="51"/>
  <c r="AE89" i="51"/>
  <c r="AD89" i="51"/>
  <c r="AC89" i="51"/>
  <c r="AB89" i="51"/>
  <c r="AA89" i="51"/>
  <c r="Z89" i="51"/>
  <c r="Y89" i="51"/>
  <c r="X89" i="51"/>
  <c r="W89" i="51"/>
  <c r="V89" i="51"/>
  <c r="U89" i="51"/>
  <c r="T89" i="51"/>
  <c r="S89" i="51"/>
  <c r="R89" i="51"/>
  <c r="Q89" i="51"/>
  <c r="P89" i="51"/>
  <c r="O89" i="51"/>
  <c r="N89" i="51"/>
  <c r="M89" i="51"/>
  <c r="L89" i="51"/>
  <c r="K89" i="51"/>
  <c r="J89" i="51"/>
  <c r="I89" i="51"/>
  <c r="H89" i="51"/>
  <c r="G89" i="51"/>
  <c r="F89" i="51"/>
  <c r="IV88" i="51"/>
  <c r="IU88" i="51"/>
  <c r="IT88" i="51"/>
  <c r="IS88" i="51"/>
  <c r="IR88" i="51"/>
  <c r="IQ88" i="51"/>
  <c r="IP88" i="51"/>
  <c r="IO88" i="51"/>
  <c r="IN88" i="51"/>
  <c r="IM88" i="51"/>
  <c r="IL88" i="51"/>
  <c r="IK88" i="51"/>
  <c r="IJ88" i="51"/>
  <c r="II88" i="51"/>
  <c r="IH88" i="51"/>
  <c r="IG88" i="51"/>
  <c r="IF88" i="51"/>
  <c r="IE88" i="51"/>
  <c r="ID88" i="51"/>
  <c r="IC88" i="51"/>
  <c r="IB88" i="51"/>
  <c r="IA88" i="51"/>
  <c r="HZ88" i="51"/>
  <c r="HY88" i="51"/>
  <c r="HX88" i="51"/>
  <c r="HW88" i="51"/>
  <c r="HV88" i="51"/>
  <c r="HU88" i="51"/>
  <c r="HT88" i="51"/>
  <c r="HS88" i="51"/>
  <c r="HR88" i="51"/>
  <c r="HQ88" i="51"/>
  <c r="HP88" i="51"/>
  <c r="HO88" i="51"/>
  <c r="HN88" i="51"/>
  <c r="HM88" i="51"/>
  <c r="HL88" i="51"/>
  <c r="HK88" i="51"/>
  <c r="HJ88" i="51"/>
  <c r="HI88" i="51"/>
  <c r="HH88" i="51"/>
  <c r="HG88" i="51"/>
  <c r="HF88" i="51"/>
  <c r="HE88" i="51"/>
  <c r="HD88" i="51"/>
  <c r="HC88" i="51"/>
  <c r="HB88" i="51"/>
  <c r="HA88" i="51"/>
  <c r="GZ88" i="51"/>
  <c r="GY88" i="51"/>
  <c r="GX88" i="51"/>
  <c r="GW88" i="51"/>
  <c r="GV88" i="51"/>
  <c r="GU88" i="51"/>
  <c r="GT88" i="51"/>
  <c r="GS88" i="51"/>
  <c r="GR88" i="51"/>
  <c r="GQ88" i="51"/>
  <c r="GP88" i="51"/>
  <c r="GO88" i="51"/>
  <c r="GN88" i="51"/>
  <c r="GM88" i="51"/>
  <c r="GL88" i="51"/>
  <c r="GK88" i="51"/>
  <c r="GJ88" i="51"/>
  <c r="GI88" i="51"/>
  <c r="GH88" i="51"/>
  <c r="GG88" i="51"/>
  <c r="GF88" i="51"/>
  <c r="GE88" i="51"/>
  <c r="GD88" i="51"/>
  <c r="GC88" i="51"/>
  <c r="GB88" i="51"/>
  <c r="GA88" i="51"/>
  <c r="FZ88" i="51"/>
  <c r="FY88" i="51"/>
  <c r="FX88" i="51"/>
  <c r="FW88" i="51"/>
  <c r="FV88" i="51"/>
  <c r="FU88" i="51"/>
  <c r="FT88" i="51"/>
  <c r="FS88" i="51"/>
  <c r="FR88" i="51"/>
  <c r="FQ88" i="51"/>
  <c r="FP88" i="51"/>
  <c r="FO88" i="51"/>
  <c r="FN88" i="51"/>
  <c r="FM88" i="51"/>
  <c r="FL88" i="51"/>
  <c r="FK88" i="51"/>
  <c r="FJ88" i="51"/>
  <c r="FI88" i="51"/>
  <c r="FH88" i="51"/>
  <c r="FG88" i="51"/>
  <c r="FF88" i="51"/>
  <c r="FE88" i="51"/>
  <c r="FD88" i="51"/>
  <c r="FC88" i="51"/>
  <c r="FB88" i="51"/>
  <c r="FA88" i="51"/>
  <c r="EZ88" i="51"/>
  <c r="EY88" i="51"/>
  <c r="EX88" i="51"/>
  <c r="EW88" i="51"/>
  <c r="EV88" i="51"/>
  <c r="EU88" i="51"/>
  <c r="ET88" i="51"/>
  <c r="ES88" i="51"/>
  <c r="ER88" i="51"/>
  <c r="EQ88" i="51"/>
  <c r="EP88" i="51"/>
  <c r="EO88" i="51"/>
  <c r="EN88" i="51"/>
  <c r="EM88" i="51"/>
  <c r="EL88" i="51"/>
  <c r="EK88" i="51"/>
  <c r="EJ88" i="51"/>
  <c r="EI88" i="51"/>
  <c r="EH88" i="51"/>
  <c r="EG88" i="51"/>
  <c r="EF88" i="51"/>
  <c r="EE88" i="51"/>
  <c r="ED88" i="51"/>
  <c r="EC88" i="51"/>
  <c r="EB88" i="51"/>
  <c r="EA88" i="51"/>
  <c r="DZ88" i="51"/>
  <c r="DY88" i="51"/>
  <c r="DX88" i="51"/>
  <c r="DW88" i="51"/>
  <c r="DV88" i="51"/>
  <c r="DU88" i="51"/>
  <c r="DT88" i="51"/>
  <c r="DS88" i="51"/>
  <c r="DR88" i="51"/>
  <c r="DQ88" i="51"/>
  <c r="DP88" i="51"/>
  <c r="DO88" i="51"/>
  <c r="DN88" i="51"/>
  <c r="DM88" i="51"/>
  <c r="DL88" i="51"/>
  <c r="DK88" i="51"/>
  <c r="DJ88" i="51"/>
  <c r="DI88" i="51"/>
  <c r="DH88" i="51"/>
  <c r="DG88" i="51"/>
  <c r="DF88" i="51"/>
  <c r="DE88" i="51"/>
  <c r="DD88" i="51"/>
  <c r="DC88" i="51"/>
  <c r="DB88" i="51"/>
  <c r="DA88" i="51"/>
  <c r="CZ88" i="51"/>
  <c r="CY88" i="51"/>
  <c r="CX88" i="51"/>
  <c r="CW88" i="51"/>
  <c r="CV88" i="51"/>
  <c r="CU88" i="51"/>
  <c r="CT88" i="51"/>
  <c r="CS88" i="51"/>
  <c r="CR88" i="51"/>
  <c r="CQ88" i="51"/>
  <c r="CP88" i="51"/>
  <c r="CO88" i="51"/>
  <c r="CN88" i="51"/>
  <c r="CM88" i="51"/>
  <c r="CL88" i="51"/>
  <c r="CK88" i="51"/>
  <c r="CJ88" i="51"/>
  <c r="CI88" i="51"/>
  <c r="CH88" i="51"/>
  <c r="CG88" i="51"/>
  <c r="CF88" i="51"/>
  <c r="CE88" i="51"/>
  <c r="CD88" i="51"/>
  <c r="CC88" i="51"/>
  <c r="CB88" i="51"/>
  <c r="CA88" i="51"/>
  <c r="BZ88" i="51"/>
  <c r="BY88" i="51"/>
  <c r="BX88" i="51"/>
  <c r="BW88" i="51"/>
  <c r="BV88" i="51"/>
  <c r="BU88" i="51"/>
  <c r="BT88" i="51"/>
  <c r="BS88" i="51"/>
  <c r="BR88" i="51"/>
  <c r="BQ88" i="51"/>
  <c r="BP88" i="51"/>
  <c r="BO88" i="51"/>
  <c r="BN88" i="51"/>
  <c r="BM88" i="51"/>
  <c r="BL88" i="51"/>
  <c r="BK88" i="51"/>
  <c r="BJ88" i="51"/>
  <c r="BI88" i="51"/>
  <c r="BH88" i="51"/>
  <c r="BG88" i="51"/>
  <c r="BF88" i="51"/>
  <c r="BE88" i="51"/>
  <c r="BD88" i="51"/>
  <c r="BC88" i="51"/>
  <c r="BB88" i="51"/>
  <c r="BA88" i="51"/>
  <c r="AZ88" i="51"/>
  <c r="AY88" i="51"/>
  <c r="AX88" i="51"/>
  <c r="AW88" i="51"/>
  <c r="AV88" i="51"/>
  <c r="AU88" i="51"/>
  <c r="AT88" i="51"/>
  <c r="AS88" i="51"/>
  <c r="AR88" i="51"/>
  <c r="AQ88" i="51"/>
  <c r="AP88" i="51"/>
  <c r="AO88" i="51"/>
  <c r="AN88" i="51"/>
  <c r="AM88" i="51"/>
  <c r="AL88" i="51"/>
  <c r="AK88" i="51"/>
  <c r="AJ88" i="51"/>
  <c r="AI88" i="51"/>
  <c r="AH88" i="51"/>
  <c r="AG88" i="51"/>
  <c r="AF88" i="51"/>
  <c r="AE88" i="51"/>
  <c r="AD88" i="51"/>
  <c r="AC88" i="51"/>
  <c r="AB88" i="51"/>
  <c r="AA88" i="51"/>
  <c r="Z88" i="51"/>
  <c r="Y88" i="51"/>
  <c r="X88" i="51"/>
  <c r="W88" i="51"/>
  <c r="V88" i="51"/>
  <c r="U88" i="51"/>
  <c r="T88" i="51"/>
  <c r="S88" i="51"/>
  <c r="R88" i="51"/>
  <c r="Q88" i="51"/>
  <c r="P88" i="51"/>
  <c r="O88" i="51"/>
  <c r="N88" i="51"/>
  <c r="M88" i="51"/>
  <c r="L88" i="51"/>
  <c r="K88" i="51"/>
  <c r="J88" i="51"/>
  <c r="I88" i="51"/>
  <c r="H88" i="51"/>
  <c r="G88" i="51"/>
  <c r="F88" i="51"/>
  <c r="IV87" i="51"/>
  <c r="IU87" i="51"/>
  <c r="IT87" i="51"/>
  <c r="IS87" i="51"/>
  <c r="IR87" i="51"/>
  <c r="IQ87" i="51"/>
  <c r="IP87" i="51"/>
  <c r="IO87" i="51"/>
  <c r="IN87" i="51"/>
  <c r="IM87" i="51"/>
  <c r="IL87" i="51"/>
  <c r="IK87" i="51"/>
  <c r="IJ87" i="51"/>
  <c r="II87" i="51"/>
  <c r="IH87" i="51"/>
  <c r="IG87" i="51"/>
  <c r="IF87" i="51"/>
  <c r="IE87" i="51"/>
  <c r="ID87" i="51"/>
  <c r="IC87" i="51"/>
  <c r="IB87" i="51"/>
  <c r="IA87" i="51"/>
  <c r="HZ87" i="51"/>
  <c r="HY87" i="51"/>
  <c r="HX87" i="51"/>
  <c r="HW87" i="51"/>
  <c r="HV87" i="51"/>
  <c r="HU87" i="51"/>
  <c r="HT87" i="51"/>
  <c r="HS87" i="51"/>
  <c r="HR87" i="51"/>
  <c r="HQ87" i="51"/>
  <c r="HP87" i="51"/>
  <c r="HO87" i="51"/>
  <c r="HN87" i="51"/>
  <c r="HM87" i="51"/>
  <c r="HL87" i="51"/>
  <c r="HK87" i="51"/>
  <c r="HJ87" i="51"/>
  <c r="HI87" i="51"/>
  <c r="HH87" i="51"/>
  <c r="HG87" i="51"/>
  <c r="HF87" i="51"/>
  <c r="HE87" i="51"/>
  <c r="HD87" i="51"/>
  <c r="HC87" i="51"/>
  <c r="HB87" i="51"/>
  <c r="HA87" i="51"/>
  <c r="GZ87" i="51"/>
  <c r="GY87" i="51"/>
  <c r="GX87" i="51"/>
  <c r="GW87" i="51"/>
  <c r="GV87" i="51"/>
  <c r="GU87" i="51"/>
  <c r="GT87" i="51"/>
  <c r="GS87" i="51"/>
  <c r="GR87" i="51"/>
  <c r="GQ87" i="51"/>
  <c r="GP87" i="51"/>
  <c r="GO87" i="51"/>
  <c r="GN87" i="51"/>
  <c r="GM87" i="51"/>
  <c r="GL87" i="51"/>
  <c r="GK87" i="51"/>
  <c r="GJ87" i="51"/>
  <c r="GI87" i="51"/>
  <c r="GH87" i="51"/>
  <c r="GG87" i="51"/>
  <c r="GF87" i="51"/>
  <c r="GE87" i="51"/>
  <c r="GD87" i="51"/>
  <c r="GC87" i="51"/>
  <c r="GB87" i="51"/>
  <c r="GA87" i="51"/>
  <c r="FZ87" i="51"/>
  <c r="FY87" i="51"/>
  <c r="FX87" i="51"/>
  <c r="FW87" i="51"/>
  <c r="FV87" i="51"/>
  <c r="FU87" i="51"/>
  <c r="FT87" i="51"/>
  <c r="FS87" i="51"/>
  <c r="FR87" i="51"/>
  <c r="FQ87" i="51"/>
  <c r="FP87" i="51"/>
  <c r="FO87" i="51"/>
  <c r="FN87" i="51"/>
  <c r="FM87" i="51"/>
  <c r="FL87" i="51"/>
  <c r="FK87" i="51"/>
  <c r="FJ87" i="51"/>
  <c r="FI87" i="51"/>
  <c r="FH87" i="51"/>
  <c r="FG87" i="51"/>
  <c r="FF87" i="51"/>
  <c r="FE87" i="51"/>
  <c r="FD87" i="51"/>
  <c r="FC87" i="51"/>
  <c r="FB87" i="51"/>
  <c r="FA87" i="51"/>
  <c r="EZ87" i="51"/>
  <c r="EY87" i="51"/>
  <c r="EX87" i="51"/>
  <c r="EW87" i="51"/>
  <c r="EV87" i="51"/>
  <c r="EU87" i="51"/>
  <c r="ET87" i="51"/>
  <c r="ES87" i="51"/>
  <c r="ER87" i="51"/>
  <c r="EQ87" i="51"/>
  <c r="EP87" i="51"/>
  <c r="EO87" i="51"/>
  <c r="EN87" i="51"/>
  <c r="EM87" i="51"/>
  <c r="EL87" i="51"/>
  <c r="EK87" i="51"/>
  <c r="EJ87" i="51"/>
  <c r="EI87" i="51"/>
  <c r="EH87" i="51"/>
  <c r="EG87" i="51"/>
  <c r="EF87" i="51"/>
  <c r="EE87" i="51"/>
  <c r="ED87" i="51"/>
  <c r="EC87" i="51"/>
  <c r="EB87" i="51"/>
  <c r="EA87" i="51"/>
  <c r="DZ87" i="51"/>
  <c r="DY87" i="51"/>
  <c r="DX87" i="51"/>
  <c r="DW87" i="51"/>
  <c r="DV87" i="51"/>
  <c r="DU87" i="51"/>
  <c r="DT87" i="51"/>
  <c r="DS87" i="51"/>
  <c r="DR87" i="51"/>
  <c r="DQ87" i="51"/>
  <c r="DP87" i="51"/>
  <c r="DO87" i="51"/>
  <c r="DN87" i="51"/>
  <c r="DM87" i="51"/>
  <c r="DL87" i="51"/>
  <c r="DK87" i="51"/>
  <c r="DJ87" i="51"/>
  <c r="DI87" i="51"/>
  <c r="DH87" i="51"/>
  <c r="DG87" i="51"/>
  <c r="DF87" i="51"/>
  <c r="DE87" i="51"/>
  <c r="DD87" i="51"/>
  <c r="DC87" i="51"/>
  <c r="DB87" i="51"/>
  <c r="DA87" i="51"/>
  <c r="CZ87" i="51"/>
  <c r="CY87" i="51"/>
  <c r="CX87" i="51"/>
  <c r="CW87" i="51"/>
  <c r="CV87" i="51"/>
  <c r="CU87" i="51"/>
  <c r="CT87" i="51"/>
  <c r="CS87" i="51"/>
  <c r="CR87" i="51"/>
  <c r="CQ87" i="51"/>
  <c r="CP87" i="51"/>
  <c r="CO87" i="51"/>
  <c r="CN87" i="51"/>
  <c r="CM87" i="51"/>
  <c r="CL87" i="51"/>
  <c r="CK87" i="51"/>
  <c r="CJ87" i="51"/>
  <c r="CI87" i="51"/>
  <c r="CH87" i="51"/>
  <c r="CG87" i="51"/>
  <c r="CF87" i="51"/>
  <c r="CE87" i="51"/>
  <c r="CD87" i="51"/>
  <c r="CC87" i="51"/>
  <c r="CB87" i="51"/>
  <c r="CA87" i="51"/>
  <c r="BZ87" i="51"/>
  <c r="BY87" i="51"/>
  <c r="BX87" i="51"/>
  <c r="BW87" i="51"/>
  <c r="BV87" i="51"/>
  <c r="BU87" i="51"/>
  <c r="BT87" i="51"/>
  <c r="BS87" i="51"/>
  <c r="BR87" i="51"/>
  <c r="BQ87" i="51"/>
  <c r="BP87" i="51"/>
  <c r="BO87" i="51"/>
  <c r="BN87" i="51"/>
  <c r="BM87" i="51"/>
  <c r="BL87" i="51"/>
  <c r="BK87" i="51"/>
  <c r="BJ87" i="51"/>
  <c r="BI87" i="51"/>
  <c r="BH87" i="51"/>
  <c r="BG87" i="51"/>
  <c r="BF87" i="51"/>
  <c r="BE87" i="51"/>
  <c r="BD87" i="51"/>
  <c r="BC87" i="51"/>
  <c r="BB87" i="51"/>
  <c r="BA87" i="51"/>
  <c r="AZ87" i="51"/>
  <c r="AY87" i="51"/>
  <c r="AX87" i="51"/>
  <c r="AW87" i="51"/>
  <c r="AV87" i="51"/>
  <c r="AU87" i="51"/>
  <c r="AT87" i="51"/>
  <c r="AS87" i="51"/>
  <c r="AR87" i="51"/>
  <c r="AQ87" i="51"/>
  <c r="AP87" i="51"/>
  <c r="AO87" i="51"/>
  <c r="AN87" i="51"/>
  <c r="AM87" i="51"/>
  <c r="AL87" i="51"/>
  <c r="AK87" i="51"/>
  <c r="AJ87" i="51"/>
  <c r="AI87" i="51"/>
  <c r="AH87" i="51"/>
  <c r="AG87" i="51"/>
  <c r="AF87" i="51"/>
  <c r="AE87" i="51"/>
  <c r="AD87" i="51"/>
  <c r="AC87" i="51"/>
  <c r="AB87" i="51"/>
  <c r="AA87" i="51"/>
  <c r="Z87" i="51"/>
  <c r="Y87" i="51"/>
  <c r="X87" i="51"/>
  <c r="W87" i="51"/>
  <c r="V87" i="51"/>
  <c r="U87" i="51"/>
  <c r="T87" i="51"/>
  <c r="S87" i="51"/>
  <c r="R87" i="51"/>
  <c r="Q87" i="51"/>
  <c r="P87" i="51"/>
  <c r="O87" i="51"/>
  <c r="N87" i="51"/>
  <c r="M87" i="51"/>
  <c r="L87" i="51"/>
  <c r="K87" i="51"/>
  <c r="J87" i="51"/>
  <c r="I87" i="51"/>
  <c r="H87" i="51"/>
  <c r="G87" i="51"/>
  <c r="F87" i="51"/>
  <c r="IV86" i="51"/>
  <c r="IU86" i="51"/>
  <c r="IT86" i="51"/>
  <c r="IS86" i="51"/>
  <c r="IR86" i="51"/>
  <c r="IQ86" i="51"/>
  <c r="IP86" i="51"/>
  <c r="IO86" i="51"/>
  <c r="IN86" i="51"/>
  <c r="IM86" i="51"/>
  <c r="IL86" i="51"/>
  <c r="IK86" i="51"/>
  <c r="IJ86" i="51"/>
  <c r="II86" i="51"/>
  <c r="IH86" i="51"/>
  <c r="IG86" i="51"/>
  <c r="IF86" i="51"/>
  <c r="IE86" i="51"/>
  <c r="ID86" i="51"/>
  <c r="IC86" i="51"/>
  <c r="IB86" i="51"/>
  <c r="IA86" i="51"/>
  <c r="HZ86" i="51"/>
  <c r="HY86" i="51"/>
  <c r="HX86" i="51"/>
  <c r="HW86" i="51"/>
  <c r="HV86" i="51"/>
  <c r="HU86" i="51"/>
  <c r="HT86" i="51"/>
  <c r="HS86" i="51"/>
  <c r="HR86" i="51"/>
  <c r="HQ86" i="51"/>
  <c r="HP86" i="51"/>
  <c r="HO86" i="51"/>
  <c r="HN86" i="51"/>
  <c r="HM86" i="51"/>
  <c r="HL86" i="51"/>
  <c r="HK86" i="51"/>
  <c r="HJ86" i="51"/>
  <c r="HI86" i="51"/>
  <c r="HH86" i="51"/>
  <c r="HG86" i="51"/>
  <c r="HF86" i="51"/>
  <c r="HE86" i="51"/>
  <c r="HD86" i="51"/>
  <c r="HC86" i="51"/>
  <c r="HB86" i="51"/>
  <c r="HA86" i="51"/>
  <c r="GZ86" i="51"/>
  <c r="GY86" i="51"/>
  <c r="GX86" i="51"/>
  <c r="GW86" i="51"/>
  <c r="GV86" i="51"/>
  <c r="GU86" i="51"/>
  <c r="GT86" i="51"/>
  <c r="GS86" i="51"/>
  <c r="GR86" i="51"/>
  <c r="GQ86" i="51"/>
  <c r="GP86" i="51"/>
  <c r="GO86" i="51"/>
  <c r="GN86" i="51"/>
  <c r="GM86" i="51"/>
  <c r="GL86" i="51"/>
  <c r="GK86" i="51"/>
  <c r="GJ86" i="51"/>
  <c r="GI86" i="51"/>
  <c r="GH86" i="51"/>
  <c r="GG86" i="51"/>
  <c r="GF86" i="51"/>
  <c r="GE86" i="51"/>
  <c r="GD86" i="51"/>
  <c r="GC86" i="51"/>
  <c r="GB86" i="51"/>
  <c r="GA86" i="51"/>
  <c r="FZ86" i="51"/>
  <c r="FY86" i="51"/>
  <c r="FX86" i="51"/>
  <c r="FW86" i="51"/>
  <c r="FV86" i="51"/>
  <c r="FU86" i="51"/>
  <c r="FT86" i="51"/>
  <c r="FS86" i="51"/>
  <c r="FR86" i="51"/>
  <c r="FQ86" i="51"/>
  <c r="FP86" i="51"/>
  <c r="FO86" i="51"/>
  <c r="FN86" i="51"/>
  <c r="FM86" i="51"/>
  <c r="FL86" i="51"/>
  <c r="FK86" i="51"/>
  <c r="FJ86" i="51"/>
  <c r="FI86" i="51"/>
  <c r="FH86" i="51"/>
  <c r="FG86" i="51"/>
  <c r="FF86" i="51"/>
  <c r="FE86" i="51"/>
  <c r="FD86" i="51"/>
  <c r="FC86" i="51"/>
  <c r="FB86" i="51"/>
  <c r="FA86" i="51"/>
  <c r="EZ86" i="51"/>
  <c r="EY86" i="51"/>
  <c r="EX86" i="51"/>
  <c r="EW86" i="51"/>
  <c r="EV86" i="51"/>
  <c r="EU86" i="51"/>
  <c r="ET86" i="51"/>
  <c r="ES86" i="51"/>
  <c r="ER86" i="51"/>
  <c r="EQ86" i="51"/>
  <c r="EP86" i="51"/>
  <c r="EO86" i="51"/>
  <c r="EN86" i="51"/>
  <c r="EM86" i="51"/>
  <c r="EL86" i="51"/>
  <c r="EK86" i="51"/>
  <c r="EJ86" i="51"/>
  <c r="EI86" i="51"/>
  <c r="EH86" i="51"/>
  <c r="EG86" i="51"/>
  <c r="EF86" i="51"/>
  <c r="EE86" i="51"/>
  <c r="ED86" i="51"/>
  <c r="EC86" i="51"/>
  <c r="EB86" i="51"/>
  <c r="EA86" i="51"/>
  <c r="DZ86" i="51"/>
  <c r="DY86" i="51"/>
  <c r="DX86" i="51"/>
  <c r="DW86" i="51"/>
  <c r="DV86" i="51"/>
  <c r="DU86" i="51"/>
  <c r="DT86" i="51"/>
  <c r="DS86" i="51"/>
  <c r="DR86" i="51"/>
  <c r="DQ86" i="51"/>
  <c r="DP86" i="51"/>
  <c r="DO86" i="51"/>
  <c r="DN86" i="51"/>
  <c r="DM86" i="51"/>
  <c r="DL86" i="51"/>
  <c r="DK86" i="51"/>
  <c r="DJ86" i="51"/>
  <c r="DI86" i="51"/>
  <c r="DH86" i="51"/>
  <c r="DG86" i="51"/>
  <c r="DF86" i="51"/>
  <c r="DE86" i="51"/>
  <c r="DD86" i="51"/>
  <c r="DC86" i="51"/>
  <c r="DB86" i="51"/>
  <c r="DA86" i="51"/>
  <c r="CZ86" i="51"/>
  <c r="CY86" i="51"/>
  <c r="CX86" i="51"/>
  <c r="CW86" i="51"/>
  <c r="CV86" i="51"/>
  <c r="CU86" i="51"/>
  <c r="CT86" i="51"/>
  <c r="CS86" i="51"/>
  <c r="CR86" i="51"/>
  <c r="CQ86" i="51"/>
  <c r="CP86" i="51"/>
  <c r="CO86" i="51"/>
  <c r="CN86" i="51"/>
  <c r="CM86" i="51"/>
  <c r="CL86" i="51"/>
  <c r="CK86" i="51"/>
  <c r="CJ86" i="51"/>
  <c r="CI86" i="51"/>
  <c r="CH86" i="51"/>
  <c r="CG86" i="51"/>
  <c r="CF86" i="51"/>
  <c r="CE86" i="51"/>
  <c r="CD86" i="51"/>
  <c r="CC86" i="51"/>
  <c r="CB86" i="51"/>
  <c r="CA86" i="51"/>
  <c r="BZ86" i="51"/>
  <c r="BY86" i="51"/>
  <c r="BX86" i="51"/>
  <c r="BW86" i="51"/>
  <c r="BV86" i="51"/>
  <c r="BU86" i="51"/>
  <c r="BT86" i="51"/>
  <c r="BS86" i="51"/>
  <c r="BR86" i="51"/>
  <c r="BQ86" i="51"/>
  <c r="BP86" i="51"/>
  <c r="BO86" i="51"/>
  <c r="BN86" i="51"/>
  <c r="BM86" i="51"/>
  <c r="BL86" i="51"/>
  <c r="BK86" i="51"/>
  <c r="BJ86" i="51"/>
  <c r="BI86" i="51"/>
  <c r="BH86" i="51"/>
  <c r="BG86" i="51"/>
  <c r="BF86" i="51"/>
  <c r="BE86" i="51"/>
  <c r="BD86" i="51"/>
  <c r="BC86" i="51"/>
  <c r="BB86" i="51"/>
  <c r="BA86" i="51"/>
  <c r="AZ86" i="51"/>
  <c r="AY86" i="51"/>
  <c r="AX86" i="51"/>
  <c r="AW86" i="51"/>
  <c r="AV86" i="51"/>
  <c r="AU86" i="51"/>
  <c r="AT86" i="51"/>
  <c r="AS86" i="51"/>
  <c r="AR86" i="51"/>
  <c r="AQ86" i="51"/>
  <c r="AP86" i="51"/>
  <c r="AO86" i="51"/>
  <c r="AN86" i="51"/>
  <c r="AM86" i="51"/>
  <c r="AL86" i="51"/>
  <c r="AK86" i="51"/>
  <c r="AJ86" i="51"/>
  <c r="AI86" i="51"/>
  <c r="AH86" i="51"/>
  <c r="AG86" i="51"/>
  <c r="AF86" i="51"/>
  <c r="AE86" i="51"/>
  <c r="AD86" i="51"/>
  <c r="AC86" i="51"/>
  <c r="AB86" i="51"/>
  <c r="AA86" i="51"/>
  <c r="Z86" i="51"/>
  <c r="Y86" i="51"/>
  <c r="X86" i="51"/>
  <c r="W86" i="51"/>
  <c r="V86" i="51"/>
  <c r="U86" i="51"/>
  <c r="T86" i="51"/>
  <c r="S86" i="51"/>
  <c r="R86" i="51"/>
  <c r="Q86" i="51"/>
  <c r="P86" i="51"/>
  <c r="O86" i="51"/>
  <c r="N86" i="51"/>
  <c r="M86" i="51"/>
  <c r="L86" i="51"/>
  <c r="K86" i="51"/>
  <c r="J86" i="51"/>
  <c r="I86" i="51"/>
  <c r="H86" i="51"/>
  <c r="G86" i="51"/>
  <c r="F86" i="51"/>
  <c r="IV85" i="51"/>
  <c r="IU85" i="51"/>
  <c r="IT85" i="51"/>
  <c r="IS85" i="51"/>
  <c r="IR85" i="51"/>
  <c r="IQ85" i="51"/>
  <c r="IP85" i="51"/>
  <c r="IO85" i="51"/>
  <c r="IN85" i="51"/>
  <c r="IM85" i="51"/>
  <c r="IL85" i="51"/>
  <c r="IK85" i="51"/>
  <c r="IJ85" i="51"/>
  <c r="II85" i="51"/>
  <c r="IH85" i="51"/>
  <c r="IG85" i="51"/>
  <c r="IF85" i="51"/>
  <c r="IE85" i="51"/>
  <c r="ID85" i="51"/>
  <c r="IC85" i="51"/>
  <c r="IB85" i="51"/>
  <c r="IA85" i="51"/>
  <c r="HZ85" i="51"/>
  <c r="HY85" i="51"/>
  <c r="HX85" i="51"/>
  <c r="HW85" i="51"/>
  <c r="HV85" i="51"/>
  <c r="HU85" i="51"/>
  <c r="HT85" i="51"/>
  <c r="HS85" i="51"/>
  <c r="HR85" i="51"/>
  <c r="HQ85" i="51"/>
  <c r="HP85" i="51"/>
  <c r="HO85" i="51"/>
  <c r="HN85" i="51"/>
  <c r="HM85" i="51"/>
  <c r="HL85" i="51"/>
  <c r="HK85" i="51"/>
  <c r="HJ85" i="51"/>
  <c r="HI85" i="51"/>
  <c r="HH85" i="51"/>
  <c r="HG85" i="51"/>
  <c r="HF85" i="51"/>
  <c r="HE85" i="51"/>
  <c r="HD85" i="51"/>
  <c r="HC85" i="51"/>
  <c r="HB85" i="51"/>
  <c r="HA85" i="51"/>
  <c r="GZ85" i="51"/>
  <c r="GY85" i="51"/>
  <c r="GX85" i="51"/>
  <c r="GW85" i="51"/>
  <c r="GV85" i="51"/>
  <c r="GU85" i="51"/>
  <c r="GT85" i="51"/>
  <c r="GS85" i="51"/>
  <c r="GR85" i="51"/>
  <c r="GQ85" i="51"/>
  <c r="GP85" i="51"/>
  <c r="GO85" i="51"/>
  <c r="GN85" i="51"/>
  <c r="GM85" i="51"/>
  <c r="GL85" i="51"/>
  <c r="GK85" i="51"/>
  <c r="GJ85" i="51"/>
  <c r="GI85" i="51"/>
  <c r="GH85" i="51"/>
  <c r="GG85" i="51"/>
  <c r="GF85" i="51"/>
  <c r="GE85" i="51"/>
  <c r="GD85" i="51"/>
  <c r="GC85" i="51"/>
  <c r="GB85" i="51"/>
  <c r="GA85" i="51"/>
  <c r="FZ85" i="51"/>
  <c r="FY85" i="51"/>
  <c r="FX85" i="51"/>
  <c r="FW85" i="51"/>
  <c r="FV85" i="51"/>
  <c r="FU85" i="51"/>
  <c r="FT85" i="51"/>
  <c r="FS85" i="51"/>
  <c r="FR85" i="51"/>
  <c r="FQ85" i="51"/>
  <c r="FP85" i="51"/>
  <c r="FO85" i="51"/>
  <c r="FN85" i="51"/>
  <c r="FM85" i="51"/>
  <c r="FL85" i="51"/>
  <c r="FK85" i="51"/>
  <c r="FJ85" i="51"/>
  <c r="FI85" i="51"/>
  <c r="FH85" i="51"/>
  <c r="FG85" i="51"/>
  <c r="FF85" i="51"/>
  <c r="FE85" i="51"/>
  <c r="FD85" i="51"/>
  <c r="FC85" i="51"/>
  <c r="FB85" i="51"/>
  <c r="FA85" i="51"/>
  <c r="EZ85" i="51"/>
  <c r="EY85" i="51"/>
  <c r="EX85" i="51"/>
  <c r="EW85" i="51"/>
  <c r="EV85" i="51"/>
  <c r="EU85" i="51"/>
  <c r="ET85" i="51"/>
  <c r="ES85" i="51"/>
  <c r="ER85" i="51"/>
  <c r="EQ85" i="51"/>
  <c r="EP85" i="51"/>
  <c r="EO85" i="51"/>
  <c r="EN85" i="51"/>
  <c r="EM85" i="51"/>
  <c r="EL85" i="51"/>
  <c r="EK85" i="51"/>
  <c r="EJ85" i="51"/>
  <c r="EI85" i="51"/>
  <c r="EH85" i="51"/>
  <c r="EG85" i="51"/>
  <c r="EF85" i="51"/>
  <c r="EE85" i="51"/>
  <c r="ED85" i="51"/>
  <c r="EC85" i="51"/>
  <c r="EB85" i="51"/>
  <c r="EA85" i="51"/>
  <c r="DZ85" i="51"/>
  <c r="DY85" i="51"/>
  <c r="DX85" i="51"/>
  <c r="DW85" i="51"/>
  <c r="DV85" i="51"/>
  <c r="DU85" i="51"/>
  <c r="DT85" i="51"/>
  <c r="DS85" i="51"/>
  <c r="DR85" i="51"/>
  <c r="DQ85" i="51"/>
  <c r="DP85" i="51"/>
  <c r="DO85" i="51"/>
  <c r="DN85" i="51"/>
  <c r="DM85" i="51"/>
  <c r="DL85" i="51"/>
  <c r="DK85" i="51"/>
  <c r="DJ85" i="51"/>
  <c r="DI85" i="51"/>
  <c r="DH85" i="51"/>
  <c r="DG85" i="51"/>
  <c r="DF85" i="51"/>
  <c r="DE85" i="51"/>
  <c r="DD85" i="51"/>
  <c r="DC85" i="51"/>
  <c r="DB85" i="51"/>
  <c r="DA85" i="51"/>
  <c r="CZ85" i="51"/>
  <c r="CY85" i="51"/>
  <c r="CX85" i="51"/>
  <c r="CW85" i="51"/>
  <c r="CV85" i="51"/>
  <c r="CU85" i="51"/>
  <c r="CT85" i="51"/>
  <c r="CS85" i="51"/>
  <c r="CR85" i="51"/>
  <c r="CQ85" i="51"/>
  <c r="CP85" i="51"/>
  <c r="CO85" i="51"/>
  <c r="CN85" i="51"/>
  <c r="CM85" i="51"/>
  <c r="CL85" i="51"/>
  <c r="CK85" i="51"/>
  <c r="CJ85" i="51"/>
  <c r="CI85" i="51"/>
  <c r="CH85" i="51"/>
  <c r="CG85" i="51"/>
  <c r="CF85" i="51"/>
  <c r="CE85" i="51"/>
  <c r="CD85" i="51"/>
  <c r="CC85" i="51"/>
  <c r="CB85" i="51"/>
  <c r="CA85" i="51"/>
  <c r="BZ85" i="51"/>
  <c r="BY85" i="51"/>
  <c r="BX85" i="51"/>
  <c r="BW85" i="51"/>
  <c r="BV85" i="51"/>
  <c r="BU85" i="51"/>
  <c r="BT85" i="51"/>
  <c r="BS85" i="51"/>
  <c r="BR85" i="51"/>
  <c r="BQ85" i="51"/>
  <c r="BP85" i="51"/>
  <c r="BO85" i="51"/>
  <c r="BN85" i="51"/>
  <c r="BM85" i="51"/>
  <c r="BL85" i="51"/>
  <c r="BK85" i="51"/>
  <c r="BJ85" i="51"/>
  <c r="BI85" i="51"/>
  <c r="BH85" i="51"/>
  <c r="BG85" i="51"/>
  <c r="BF85" i="51"/>
  <c r="BE85" i="51"/>
  <c r="BD85" i="51"/>
  <c r="BC85" i="51"/>
  <c r="BB85" i="51"/>
  <c r="BA85" i="51"/>
  <c r="AZ85" i="51"/>
  <c r="AY85" i="51"/>
  <c r="AX85" i="51"/>
  <c r="AW85" i="51"/>
  <c r="AV85" i="51"/>
  <c r="AU85" i="51"/>
  <c r="AT85" i="51"/>
  <c r="AS85" i="51"/>
  <c r="AR85" i="51"/>
  <c r="AQ85" i="51"/>
  <c r="AP85" i="51"/>
  <c r="AO85" i="51"/>
  <c r="AN85" i="51"/>
  <c r="AM85" i="51"/>
  <c r="AL85" i="51"/>
  <c r="AK85" i="51"/>
  <c r="AJ85" i="51"/>
  <c r="AI85" i="51"/>
  <c r="AH85" i="51"/>
  <c r="AG85" i="51"/>
  <c r="AF85" i="51"/>
  <c r="AE85" i="51"/>
  <c r="AD85" i="51"/>
  <c r="AC85" i="51"/>
  <c r="AB85" i="51"/>
  <c r="AA85" i="51"/>
  <c r="Z85" i="51"/>
  <c r="Y85" i="51"/>
  <c r="X85" i="51"/>
  <c r="W85" i="51"/>
  <c r="V85" i="51"/>
  <c r="U85" i="51"/>
  <c r="T85" i="51"/>
  <c r="S85" i="51"/>
  <c r="R85" i="51"/>
  <c r="Q85" i="51"/>
  <c r="P85" i="51"/>
  <c r="O85" i="51"/>
  <c r="N85" i="51"/>
  <c r="M85" i="51"/>
  <c r="L85" i="51"/>
  <c r="K85" i="51"/>
  <c r="J85" i="51"/>
  <c r="I85" i="51"/>
  <c r="H85" i="51"/>
  <c r="G85" i="51"/>
  <c r="F85" i="51"/>
  <c r="IV84" i="51"/>
  <c r="IU84" i="51"/>
  <c r="IT84" i="51"/>
  <c r="IS84" i="51"/>
  <c r="IR84" i="51"/>
  <c r="IQ84" i="51"/>
  <c r="IP84" i="51"/>
  <c r="IO84" i="51"/>
  <c r="IN84" i="51"/>
  <c r="IM84" i="51"/>
  <c r="IL84" i="51"/>
  <c r="IK84" i="51"/>
  <c r="IJ84" i="51"/>
  <c r="II84" i="51"/>
  <c r="IH84" i="51"/>
  <c r="IG84" i="51"/>
  <c r="IF84" i="51"/>
  <c r="IE84" i="51"/>
  <c r="ID84" i="51"/>
  <c r="IC84" i="51"/>
  <c r="IB84" i="51"/>
  <c r="IA84" i="51"/>
  <c r="HZ84" i="51"/>
  <c r="HY84" i="51"/>
  <c r="HX84" i="51"/>
  <c r="HW84" i="51"/>
  <c r="HV84" i="51"/>
  <c r="HU84" i="51"/>
  <c r="HT84" i="51"/>
  <c r="HS84" i="51"/>
  <c r="HR84" i="51"/>
  <c r="HQ84" i="51"/>
  <c r="HP84" i="51"/>
  <c r="HO84" i="51"/>
  <c r="HN84" i="51"/>
  <c r="HM84" i="51"/>
  <c r="HL84" i="51"/>
  <c r="HK84" i="51"/>
  <c r="HJ84" i="51"/>
  <c r="HI84" i="51"/>
  <c r="HH84" i="51"/>
  <c r="HG84" i="51"/>
  <c r="HF84" i="51"/>
  <c r="HE84" i="51"/>
  <c r="HD84" i="51"/>
  <c r="HC84" i="51"/>
  <c r="HB84" i="51"/>
  <c r="HA84" i="51"/>
  <c r="GZ84" i="51"/>
  <c r="GY84" i="51"/>
  <c r="GX84" i="51"/>
  <c r="GW84" i="51"/>
  <c r="GV84" i="51"/>
  <c r="GU84" i="51"/>
  <c r="GT84" i="51"/>
  <c r="GS84" i="51"/>
  <c r="GR84" i="51"/>
  <c r="GQ84" i="51"/>
  <c r="GP84" i="51"/>
  <c r="GO84" i="51"/>
  <c r="GN84" i="51"/>
  <c r="GM84" i="51"/>
  <c r="GL84" i="51"/>
  <c r="GK84" i="51"/>
  <c r="GJ84" i="51"/>
  <c r="GI84" i="51"/>
  <c r="GH84" i="51"/>
  <c r="GG84" i="51"/>
  <c r="GF84" i="51"/>
  <c r="GE84" i="51"/>
  <c r="GD84" i="51"/>
  <c r="GC84" i="51"/>
  <c r="GB84" i="51"/>
  <c r="GA84" i="51"/>
  <c r="FZ84" i="51"/>
  <c r="FY84" i="51"/>
  <c r="FX84" i="51"/>
  <c r="FW84" i="51"/>
  <c r="FV84" i="51"/>
  <c r="FU84" i="51"/>
  <c r="FT84" i="51"/>
  <c r="FS84" i="51"/>
  <c r="FR84" i="51"/>
  <c r="FQ84" i="51"/>
  <c r="FP84" i="51"/>
  <c r="FO84" i="51"/>
  <c r="FN84" i="51"/>
  <c r="FM84" i="51"/>
  <c r="FL84" i="51"/>
  <c r="FK84" i="51"/>
  <c r="FJ84" i="51"/>
  <c r="FI84" i="51"/>
  <c r="FH84" i="51"/>
  <c r="FG84" i="51"/>
  <c r="FF84" i="51"/>
  <c r="FE84" i="51"/>
  <c r="FD84" i="51"/>
  <c r="FC84" i="51"/>
  <c r="FB84" i="51"/>
  <c r="FA84" i="51"/>
  <c r="EZ84" i="51"/>
  <c r="EY84" i="51"/>
  <c r="EX84" i="51"/>
  <c r="EW84" i="51"/>
  <c r="EV84" i="51"/>
  <c r="EU84" i="51"/>
  <c r="ET84" i="51"/>
  <c r="ES84" i="51"/>
  <c r="ER84" i="51"/>
  <c r="EQ84" i="51"/>
  <c r="EP84" i="51"/>
  <c r="EO84" i="51"/>
  <c r="EN84" i="51"/>
  <c r="EM84" i="51"/>
  <c r="EL84" i="51"/>
  <c r="EK84" i="51"/>
  <c r="EJ84" i="51"/>
  <c r="EI84" i="51"/>
  <c r="EH84" i="51"/>
  <c r="EG84" i="51"/>
  <c r="EF84" i="51"/>
  <c r="EE84" i="51"/>
  <c r="ED84" i="51"/>
  <c r="EC84" i="51"/>
  <c r="EB84" i="51"/>
  <c r="EA84" i="51"/>
  <c r="DZ84" i="51"/>
  <c r="DY84" i="51"/>
  <c r="DX84" i="51"/>
  <c r="DW84" i="51"/>
  <c r="DV84" i="51"/>
  <c r="DU84" i="51"/>
  <c r="DT84" i="51"/>
  <c r="DS84" i="51"/>
  <c r="DR84" i="51"/>
  <c r="DQ84" i="51"/>
  <c r="DP84" i="51"/>
  <c r="DO84" i="51"/>
  <c r="DN84" i="51"/>
  <c r="DM84" i="51"/>
  <c r="DL84" i="51"/>
  <c r="DK84" i="51"/>
  <c r="DJ84" i="51"/>
  <c r="DI84" i="51"/>
  <c r="DH84" i="51"/>
  <c r="DG84" i="51"/>
  <c r="DF84" i="51"/>
  <c r="DE84" i="51"/>
  <c r="DD84" i="51"/>
  <c r="DC84" i="51"/>
  <c r="DB84" i="51"/>
  <c r="DA84" i="51"/>
  <c r="CZ84" i="51"/>
  <c r="CY84" i="51"/>
  <c r="CX84" i="51"/>
  <c r="CW84" i="51"/>
  <c r="CV84" i="51"/>
  <c r="CU84" i="51"/>
  <c r="CT84" i="51"/>
  <c r="CS84" i="51"/>
  <c r="CR84" i="51"/>
  <c r="CQ84" i="51"/>
  <c r="CP84" i="51"/>
  <c r="CO84" i="51"/>
  <c r="CN84" i="51"/>
  <c r="CM84" i="51"/>
  <c r="CL84" i="51"/>
  <c r="CK84" i="51"/>
  <c r="CJ84" i="51"/>
  <c r="CI84" i="51"/>
  <c r="CH84" i="51"/>
  <c r="CG84" i="51"/>
  <c r="CF84" i="51"/>
  <c r="CE84" i="51"/>
  <c r="CD84" i="51"/>
  <c r="CC84" i="51"/>
  <c r="CB84" i="51"/>
  <c r="CA84" i="51"/>
  <c r="BZ84" i="51"/>
  <c r="BY84" i="51"/>
  <c r="BX84" i="51"/>
  <c r="BW84" i="51"/>
  <c r="BV84" i="51"/>
  <c r="BU84" i="51"/>
  <c r="BT84" i="51"/>
  <c r="BS84" i="51"/>
  <c r="BR84" i="51"/>
  <c r="BQ84" i="51"/>
  <c r="BP84" i="51"/>
  <c r="BO84" i="51"/>
  <c r="BN84" i="51"/>
  <c r="BM84" i="51"/>
  <c r="BL84" i="51"/>
  <c r="BK84" i="51"/>
  <c r="BJ84" i="51"/>
  <c r="BI84" i="51"/>
  <c r="BH84" i="51"/>
  <c r="BG84" i="51"/>
  <c r="BF84" i="51"/>
  <c r="BE84" i="51"/>
  <c r="BD84" i="51"/>
  <c r="BC84" i="51"/>
  <c r="BB84" i="51"/>
  <c r="BA84" i="51"/>
  <c r="AZ84" i="51"/>
  <c r="AY84" i="51"/>
  <c r="AX84" i="51"/>
  <c r="AW84" i="51"/>
  <c r="AV84" i="51"/>
  <c r="AU84" i="51"/>
  <c r="AT84" i="51"/>
  <c r="AS84" i="51"/>
  <c r="AR84" i="51"/>
  <c r="AQ84" i="51"/>
  <c r="AP84" i="51"/>
  <c r="AO84" i="51"/>
  <c r="AN84" i="51"/>
  <c r="AM84" i="51"/>
  <c r="AL84" i="51"/>
  <c r="AK84" i="51"/>
  <c r="AJ84" i="51"/>
  <c r="AI84" i="51"/>
  <c r="AH84" i="51"/>
  <c r="AG84" i="51"/>
  <c r="AF84" i="51"/>
  <c r="AE84" i="51"/>
  <c r="AD84" i="51"/>
  <c r="AC84" i="51"/>
  <c r="AB84" i="51"/>
  <c r="AA84" i="51"/>
  <c r="Z84" i="51"/>
  <c r="Y84" i="51"/>
  <c r="X84" i="51"/>
  <c r="W84" i="51"/>
  <c r="V84" i="51"/>
  <c r="U84" i="51"/>
  <c r="T84" i="51"/>
  <c r="S84" i="51"/>
  <c r="R84" i="51"/>
  <c r="Q84" i="51"/>
  <c r="P84" i="51"/>
  <c r="O84" i="51"/>
  <c r="N84" i="51"/>
  <c r="M84" i="51"/>
  <c r="L84" i="51"/>
  <c r="K84" i="51"/>
  <c r="J84" i="51"/>
  <c r="I84" i="51"/>
  <c r="H84" i="51"/>
  <c r="G84" i="51"/>
  <c r="F84" i="51"/>
  <c r="IV83" i="51"/>
  <c r="IU83" i="51"/>
  <c r="IT83" i="51"/>
  <c r="IS83" i="51"/>
  <c r="IR83" i="51"/>
  <c r="IQ83" i="51"/>
  <c r="IP83" i="51"/>
  <c r="IO83" i="51"/>
  <c r="IN83" i="51"/>
  <c r="IM83" i="51"/>
  <c r="IL83" i="51"/>
  <c r="IK83" i="51"/>
  <c r="IJ83" i="51"/>
  <c r="II83" i="51"/>
  <c r="IH83" i="51"/>
  <c r="IG83" i="51"/>
  <c r="IF83" i="51"/>
  <c r="IE83" i="51"/>
  <c r="ID83" i="51"/>
  <c r="IC83" i="51"/>
  <c r="IB83" i="51"/>
  <c r="IA83" i="51"/>
  <c r="HZ83" i="51"/>
  <c r="HY83" i="51"/>
  <c r="HX83" i="51"/>
  <c r="HW83" i="51"/>
  <c r="HV83" i="51"/>
  <c r="HU83" i="51"/>
  <c r="HT83" i="51"/>
  <c r="HS83" i="51"/>
  <c r="HR83" i="51"/>
  <c r="HQ83" i="51"/>
  <c r="HP83" i="51"/>
  <c r="HO83" i="51"/>
  <c r="HN83" i="51"/>
  <c r="HM83" i="51"/>
  <c r="HL83" i="51"/>
  <c r="HK83" i="51"/>
  <c r="HJ83" i="51"/>
  <c r="HI83" i="51"/>
  <c r="HH83" i="51"/>
  <c r="HG83" i="51"/>
  <c r="HF83" i="51"/>
  <c r="HE83" i="51"/>
  <c r="HD83" i="51"/>
  <c r="HC83" i="51"/>
  <c r="HB83" i="51"/>
  <c r="HA83" i="51"/>
  <c r="GZ83" i="51"/>
  <c r="GY83" i="51"/>
  <c r="GX83" i="51"/>
  <c r="GW83" i="51"/>
  <c r="GV83" i="51"/>
  <c r="GU83" i="51"/>
  <c r="GT83" i="51"/>
  <c r="GS83" i="51"/>
  <c r="GR83" i="51"/>
  <c r="GQ83" i="51"/>
  <c r="GP83" i="51"/>
  <c r="GO83" i="51"/>
  <c r="GN83" i="51"/>
  <c r="GM83" i="51"/>
  <c r="GL83" i="51"/>
  <c r="GK83" i="51"/>
  <c r="GJ83" i="51"/>
  <c r="GI83" i="51"/>
  <c r="GH83" i="51"/>
  <c r="GG83" i="51"/>
  <c r="GF83" i="51"/>
  <c r="GE83" i="51"/>
  <c r="GD83" i="51"/>
  <c r="GC83" i="51"/>
  <c r="GB83" i="51"/>
  <c r="GA83" i="51"/>
  <c r="FZ83" i="51"/>
  <c r="FY83" i="51"/>
  <c r="FX83" i="51"/>
  <c r="FW83" i="51"/>
  <c r="FV83" i="51"/>
  <c r="FU83" i="51"/>
  <c r="FT83" i="51"/>
  <c r="FS83" i="51"/>
  <c r="FR83" i="51"/>
  <c r="FQ83" i="51"/>
  <c r="FP83" i="51"/>
  <c r="FO83" i="51"/>
  <c r="FN83" i="51"/>
  <c r="FM83" i="51"/>
  <c r="FL83" i="51"/>
  <c r="FK83" i="51"/>
  <c r="FJ83" i="51"/>
  <c r="FI83" i="51"/>
  <c r="FH83" i="51"/>
  <c r="FG83" i="51"/>
  <c r="FF83" i="51"/>
  <c r="FE83" i="51"/>
  <c r="FD83" i="51"/>
  <c r="FC83" i="51"/>
  <c r="FB83" i="51"/>
  <c r="FA83" i="51"/>
  <c r="EZ83" i="51"/>
  <c r="EY83" i="51"/>
  <c r="EX83" i="51"/>
  <c r="EW83" i="51"/>
  <c r="EV83" i="51"/>
  <c r="EU83" i="51"/>
  <c r="ET83" i="51"/>
  <c r="ES83" i="51"/>
  <c r="ER83" i="51"/>
  <c r="EQ83" i="51"/>
  <c r="EP83" i="51"/>
  <c r="EO83" i="51"/>
  <c r="EN83" i="51"/>
  <c r="EM83" i="51"/>
  <c r="EL83" i="51"/>
  <c r="EK83" i="51"/>
  <c r="EJ83" i="51"/>
  <c r="EI83" i="51"/>
  <c r="EH83" i="51"/>
  <c r="EG83" i="51"/>
  <c r="EF83" i="51"/>
  <c r="EE83" i="51"/>
  <c r="ED83" i="51"/>
  <c r="EC83" i="51"/>
  <c r="EB83" i="51"/>
  <c r="EA83" i="51"/>
  <c r="DZ83" i="51"/>
  <c r="DY83" i="51"/>
  <c r="DX83" i="51"/>
  <c r="DW83" i="51"/>
  <c r="DV83" i="51"/>
  <c r="DU83" i="51"/>
  <c r="DT83" i="51"/>
  <c r="DS83" i="51"/>
  <c r="DR83" i="51"/>
  <c r="DQ83" i="51"/>
  <c r="DP83" i="51"/>
  <c r="DO83" i="51"/>
  <c r="DN83" i="51"/>
  <c r="DM83" i="51"/>
  <c r="DL83" i="51"/>
  <c r="DK83" i="51"/>
  <c r="DJ83" i="51"/>
  <c r="DI83" i="51"/>
  <c r="DH83" i="51"/>
  <c r="DG83" i="51"/>
  <c r="DF83" i="51"/>
  <c r="DE83" i="51"/>
  <c r="DD83" i="51"/>
  <c r="DC83" i="51"/>
  <c r="DB83" i="51"/>
  <c r="DA83" i="51"/>
  <c r="CZ83" i="51"/>
  <c r="CY83" i="51"/>
  <c r="CX83" i="51"/>
  <c r="CW83" i="51"/>
  <c r="CV83" i="51"/>
  <c r="CU83" i="51"/>
  <c r="CT83" i="51"/>
  <c r="CS83" i="51"/>
  <c r="CR83" i="51"/>
  <c r="CQ83" i="51"/>
  <c r="CP83" i="51"/>
  <c r="CO83" i="51"/>
  <c r="CN83" i="51"/>
  <c r="CM83" i="51"/>
  <c r="CL83" i="51"/>
  <c r="CK83" i="51"/>
  <c r="CJ83" i="51"/>
  <c r="CI83" i="51"/>
  <c r="CH83" i="51"/>
  <c r="CG83" i="51"/>
  <c r="CF83" i="51"/>
  <c r="CE83" i="51"/>
  <c r="CD83" i="51"/>
  <c r="CC83" i="51"/>
  <c r="CB83" i="51"/>
  <c r="CA83" i="51"/>
  <c r="BZ83" i="51"/>
  <c r="BY83" i="51"/>
  <c r="BX83" i="51"/>
  <c r="BW83" i="51"/>
  <c r="BV83" i="51"/>
  <c r="BU83" i="51"/>
  <c r="BT83" i="51"/>
  <c r="BS83" i="51"/>
  <c r="BR83" i="51"/>
  <c r="BQ83" i="51"/>
  <c r="BP83" i="51"/>
  <c r="BO83" i="51"/>
  <c r="BN83" i="51"/>
  <c r="BM83" i="51"/>
  <c r="BL83" i="51"/>
  <c r="BK83" i="51"/>
  <c r="BJ83" i="51"/>
  <c r="BI83" i="51"/>
  <c r="BH83" i="51"/>
  <c r="BG83" i="51"/>
  <c r="BF83" i="51"/>
  <c r="BE83" i="51"/>
  <c r="BD83" i="51"/>
  <c r="BC83" i="51"/>
  <c r="BB83" i="51"/>
  <c r="BA83" i="51"/>
  <c r="AZ83" i="51"/>
  <c r="AY83" i="51"/>
  <c r="AX83" i="51"/>
  <c r="AW83" i="51"/>
  <c r="AV83" i="51"/>
  <c r="AU83" i="51"/>
  <c r="AT83" i="51"/>
  <c r="AS83" i="51"/>
  <c r="AR83" i="51"/>
  <c r="AQ83" i="51"/>
  <c r="AP83" i="51"/>
  <c r="AO83" i="51"/>
  <c r="AN83" i="51"/>
  <c r="AM83" i="51"/>
  <c r="AL83" i="51"/>
  <c r="AK83" i="51"/>
  <c r="AJ83" i="51"/>
  <c r="AI83" i="51"/>
  <c r="AH83" i="51"/>
  <c r="AG83" i="51"/>
  <c r="AF83" i="51"/>
  <c r="AE83" i="51"/>
  <c r="AD83" i="51"/>
  <c r="AC83" i="51"/>
  <c r="AB83" i="51"/>
  <c r="AA83" i="51"/>
  <c r="Z83" i="51"/>
  <c r="Y83" i="51"/>
  <c r="X83" i="51"/>
  <c r="W83" i="51"/>
  <c r="V83" i="51"/>
  <c r="U83" i="51"/>
  <c r="T83" i="51"/>
  <c r="S83" i="51"/>
  <c r="R83" i="51"/>
  <c r="Q83" i="51"/>
  <c r="P83" i="51"/>
  <c r="O83" i="51"/>
  <c r="N83" i="51"/>
  <c r="M83" i="51"/>
  <c r="L83" i="51"/>
  <c r="K83" i="51"/>
  <c r="J83" i="51"/>
  <c r="I83" i="51"/>
  <c r="H83" i="51"/>
  <c r="G83" i="51"/>
  <c r="F83" i="51"/>
  <c r="IV82" i="51"/>
  <c r="IU82" i="51"/>
  <c r="IT82" i="51"/>
  <c r="IS82" i="51"/>
  <c r="IR82" i="51"/>
  <c r="IQ82" i="51"/>
  <c r="IP82" i="51"/>
  <c r="IO82" i="51"/>
  <c r="IN82" i="51"/>
  <c r="IM82" i="51"/>
  <c r="IL82" i="51"/>
  <c r="IK82" i="51"/>
  <c r="IJ82" i="51"/>
  <c r="II82" i="51"/>
  <c r="IH82" i="51"/>
  <c r="IG82" i="51"/>
  <c r="IF82" i="51"/>
  <c r="IE82" i="51"/>
  <c r="ID82" i="51"/>
  <c r="IC82" i="51"/>
  <c r="IB82" i="51"/>
  <c r="IA82" i="51"/>
  <c r="HZ82" i="51"/>
  <c r="HY82" i="51"/>
  <c r="HX82" i="51"/>
  <c r="HW82" i="51"/>
  <c r="HV82" i="51"/>
  <c r="HU82" i="51"/>
  <c r="HT82" i="51"/>
  <c r="HS82" i="51"/>
  <c r="HR82" i="51"/>
  <c r="HQ82" i="51"/>
  <c r="HP82" i="51"/>
  <c r="HO82" i="51"/>
  <c r="HN82" i="51"/>
  <c r="HM82" i="51"/>
  <c r="HL82" i="51"/>
  <c r="HK82" i="51"/>
  <c r="HJ82" i="51"/>
  <c r="HI82" i="51"/>
  <c r="HH82" i="51"/>
  <c r="HG82" i="51"/>
  <c r="HF82" i="51"/>
  <c r="HE82" i="51"/>
  <c r="HD82" i="51"/>
  <c r="HC82" i="51"/>
  <c r="HB82" i="51"/>
  <c r="HA82" i="51"/>
  <c r="GZ82" i="51"/>
  <c r="GY82" i="51"/>
  <c r="GX82" i="51"/>
  <c r="GW82" i="51"/>
  <c r="GV82" i="51"/>
  <c r="GU82" i="51"/>
  <c r="GT82" i="51"/>
  <c r="GS82" i="51"/>
  <c r="GR82" i="51"/>
  <c r="GQ82" i="51"/>
  <c r="GP82" i="51"/>
  <c r="GO82" i="51"/>
  <c r="GN82" i="51"/>
  <c r="GM82" i="51"/>
  <c r="GL82" i="51"/>
  <c r="GK82" i="51"/>
  <c r="GJ82" i="51"/>
  <c r="GI82" i="51"/>
  <c r="GH82" i="51"/>
  <c r="GG82" i="51"/>
  <c r="GF82" i="51"/>
  <c r="GE82" i="51"/>
  <c r="GD82" i="51"/>
  <c r="GC82" i="51"/>
  <c r="GB82" i="51"/>
  <c r="GA82" i="51"/>
  <c r="FZ82" i="51"/>
  <c r="FY82" i="51"/>
  <c r="FX82" i="51"/>
  <c r="FW82" i="51"/>
  <c r="FV82" i="51"/>
  <c r="FU82" i="51"/>
  <c r="FT82" i="51"/>
  <c r="FS82" i="51"/>
  <c r="FR82" i="51"/>
  <c r="FQ82" i="51"/>
  <c r="FP82" i="51"/>
  <c r="FO82" i="51"/>
  <c r="FN82" i="51"/>
  <c r="FM82" i="51"/>
  <c r="FL82" i="51"/>
  <c r="FK82" i="51"/>
  <c r="FJ82" i="51"/>
  <c r="FI82" i="51"/>
  <c r="FH82" i="51"/>
  <c r="FG82" i="51"/>
  <c r="FF82" i="51"/>
  <c r="FE82" i="51"/>
  <c r="FD82" i="51"/>
  <c r="FC82" i="51"/>
  <c r="FB82" i="51"/>
  <c r="FA82" i="51"/>
  <c r="EZ82" i="51"/>
  <c r="EY82" i="51"/>
  <c r="EX82" i="51"/>
  <c r="EW82" i="51"/>
  <c r="EV82" i="51"/>
  <c r="EU82" i="51"/>
  <c r="ET82" i="51"/>
  <c r="ES82" i="51"/>
  <c r="ER82" i="51"/>
  <c r="EQ82" i="51"/>
  <c r="EP82" i="51"/>
  <c r="EO82" i="51"/>
  <c r="EN82" i="51"/>
  <c r="EM82" i="51"/>
  <c r="EL82" i="51"/>
  <c r="EK82" i="51"/>
  <c r="EJ82" i="51"/>
  <c r="EI82" i="51"/>
  <c r="EH82" i="51"/>
  <c r="EG82" i="51"/>
  <c r="EF82" i="51"/>
  <c r="EE82" i="51"/>
  <c r="ED82" i="51"/>
  <c r="EC82" i="51"/>
  <c r="EB82" i="51"/>
  <c r="EA82" i="51"/>
  <c r="DZ82" i="51"/>
  <c r="DY82" i="51"/>
  <c r="DX82" i="51"/>
  <c r="DW82" i="51"/>
  <c r="DV82" i="51"/>
  <c r="DU82" i="51"/>
  <c r="DT82" i="51"/>
  <c r="DS82" i="51"/>
  <c r="DR82" i="51"/>
  <c r="DQ82" i="51"/>
  <c r="DP82" i="51"/>
  <c r="DO82" i="51"/>
  <c r="DN82" i="51"/>
  <c r="DM82" i="51"/>
  <c r="DL82" i="51"/>
  <c r="DK82" i="51"/>
  <c r="DJ82" i="51"/>
  <c r="DI82" i="51"/>
  <c r="DH82" i="51"/>
  <c r="DG82" i="51"/>
  <c r="DF82" i="51"/>
  <c r="DE82" i="51"/>
  <c r="DD82" i="51"/>
  <c r="DC82" i="51"/>
  <c r="DB82" i="51"/>
  <c r="DA82" i="51"/>
  <c r="CZ82" i="51"/>
  <c r="CY82" i="51"/>
  <c r="CX82" i="51"/>
  <c r="CW82" i="51"/>
  <c r="CV82" i="51"/>
  <c r="CU82" i="51"/>
  <c r="CT82" i="51"/>
  <c r="CS82" i="51"/>
  <c r="CR82" i="51"/>
  <c r="CQ82" i="51"/>
  <c r="CP82" i="51"/>
  <c r="CO82" i="51"/>
  <c r="CN82" i="51"/>
  <c r="CM82" i="51"/>
  <c r="CL82" i="51"/>
  <c r="CK82" i="51"/>
  <c r="CJ82" i="51"/>
  <c r="CI82" i="51"/>
  <c r="CH82" i="51"/>
  <c r="CG82" i="51"/>
  <c r="CF82" i="51"/>
  <c r="CE82" i="51"/>
  <c r="CD82" i="51"/>
  <c r="CC82" i="51"/>
  <c r="CB82" i="51"/>
  <c r="CA82" i="51"/>
  <c r="BZ82" i="51"/>
  <c r="BY82" i="51"/>
  <c r="BX82" i="51"/>
  <c r="BW82" i="51"/>
  <c r="BV82" i="51"/>
  <c r="BU82" i="51"/>
  <c r="BT82" i="51"/>
  <c r="BS82" i="51"/>
  <c r="BR82" i="51"/>
  <c r="BQ82" i="51"/>
  <c r="BP82" i="51"/>
  <c r="BO82" i="51"/>
  <c r="BN82" i="51"/>
  <c r="BM82" i="51"/>
  <c r="BL82" i="51"/>
  <c r="BK82" i="51"/>
  <c r="BJ82" i="51"/>
  <c r="BI82" i="51"/>
  <c r="BH82" i="51"/>
  <c r="BG82" i="51"/>
  <c r="BF82" i="51"/>
  <c r="BE82" i="51"/>
  <c r="BD82" i="51"/>
  <c r="BC82" i="51"/>
  <c r="BB82" i="51"/>
  <c r="BA82" i="51"/>
  <c r="AZ82" i="51"/>
  <c r="AY82" i="51"/>
  <c r="AX82" i="51"/>
  <c r="AW82" i="51"/>
  <c r="AV82" i="51"/>
  <c r="AU82" i="51"/>
  <c r="AT82" i="51"/>
  <c r="AS82" i="51"/>
  <c r="AR82" i="51"/>
  <c r="AQ82" i="51"/>
  <c r="AP82" i="51"/>
  <c r="AO82" i="51"/>
  <c r="AN82" i="51"/>
  <c r="AM82" i="51"/>
  <c r="AL82" i="51"/>
  <c r="AK82" i="51"/>
  <c r="AJ82" i="51"/>
  <c r="AI82" i="51"/>
  <c r="AH82" i="51"/>
  <c r="AG82" i="51"/>
  <c r="AF82" i="51"/>
  <c r="AE82" i="51"/>
  <c r="AD82" i="51"/>
  <c r="AC82" i="51"/>
  <c r="AB82" i="51"/>
  <c r="AA82" i="51"/>
  <c r="Z82" i="51"/>
  <c r="Y82" i="51"/>
  <c r="X82" i="51"/>
  <c r="W82" i="51"/>
  <c r="V82" i="51"/>
  <c r="U82" i="51"/>
  <c r="T82" i="51"/>
  <c r="S82" i="51"/>
  <c r="R82" i="51"/>
  <c r="Q82" i="51"/>
  <c r="P82" i="51"/>
  <c r="O82" i="51"/>
  <c r="N82" i="51"/>
  <c r="M82" i="51"/>
  <c r="L82" i="51"/>
  <c r="K82" i="51"/>
  <c r="J82" i="51"/>
  <c r="I82" i="51"/>
  <c r="H82" i="51"/>
  <c r="G82" i="51"/>
  <c r="F82" i="51"/>
  <c r="IV81" i="51"/>
  <c r="IU81" i="51"/>
  <c r="IT81" i="51"/>
  <c r="IS81" i="51"/>
  <c r="IR81" i="51"/>
  <c r="IQ81" i="51"/>
  <c r="IP81" i="51"/>
  <c r="IO81" i="51"/>
  <c r="IN81" i="51"/>
  <c r="IM81" i="51"/>
  <c r="IL81" i="51"/>
  <c r="IK81" i="51"/>
  <c r="IJ81" i="51"/>
  <c r="II81" i="51"/>
  <c r="IH81" i="51"/>
  <c r="IG81" i="51"/>
  <c r="IF81" i="51"/>
  <c r="IE81" i="51"/>
  <c r="ID81" i="51"/>
  <c r="IC81" i="51"/>
  <c r="IB81" i="51"/>
  <c r="IA81" i="51"/>
  <c r="HZ81" i="51"/>
  <c r="HY81" i="51"/>
  <c r="HX81" i="51"/>
  <c r="HW81" i="51"/>
  <c r="HV81" i="51"/>
  <c r="HU81" i="51"/>
  <c r="HT81" i="51"/>
  <c r="HS81" i="51"/>
  <c r="HR81" i="51"/>
  <c r="HQ81" i="51"/>
  <c r="HP81" i="51"/>
  <c r="HO81" i="51"/>
  <c r="HN81" i="51"/>
  <c r="HM81" i="51"/>
  <c r="HL81" i="51"/>
  <c r="HK81" i="51"/>
  <c r="HJ81" i="51"/>
  <c r="HI81" i="51"/>
  <c r="HH81" i="51"/>
  <c r="HG81" i="51"/>
  <c r="HF81" i="51"/>
  <c r="HE81" i="51"/>
  <c r="HD81" i="51"/>
  <c r="HC81" i="51"/>
  <c r="HB81" i="51"/>
  <c r="HA81" i="51"/>
  <c r="GZ81" i="51"/>
  <c r="GY81" i="51"/>
  <c r="GX81" i="51"/>
  <c r="GW81" i="51"/>
  <c r="GV81" i="51"/>
  <c r="GU81" i="51"/>
  <c r="GT81" i="51"/>
  <c r="GS81" i="51"/>
  <c r="GR81" i="51"/>
  <c r="GQ81" i="51"/>
  <c r="GP81" i="51"/>
  <c r="GO81" i="51"/>
  <c r="GN81" i="51"/>
  <c r="GM81" i="51"/>
  <c r="GL81" i="51"/>
  <c r="GK81" i="51"/>
  <c r="GJ81" i="51"/>
  <c r="GI81" i="51"/>
  <c r="GH81" i="51"/>
  <c r="GG81" i="51"/>
  <c r="GF81" i="51"/>
  <c r="GE81" i="51"/>
  <c r="GD81" i="51"/>
  <c r="GC81" i="51"/>
  <c r="GB81" i="51"/>
  <c r="GA81" i="51"/>
  <c r="FZ81" i="51"/>
  <c r="FY81" i="51"/>
  <c r="FX81" i="51"/>
  <c r="FW81" i="51"/>
  <c r="FV81" i="51"/>
  <c r="FU81" i="51"/>
  <c r="FT81" i="51"/>
  <c r="FS81" i="51"/>
  <c r="FR81" i="51"/>
  <c r="FQ81" i="51"/>
  <c r="FP81" i="51"/>
  <c r="FO81" i="51"/>
  <c r="FN81" i="51"/>
  <c r="FM81" i="51"/>
  <c r="FL81" i="51"/>
  <c r="FK81" i="51"/>
  <c r="FJ81" i="51"/>
  <c r="FI81" i="51"/>
  <c r="FH81" i="51"/>
  <c r="FG81" i="51"/>
  <c r="FF81" i="51"/>
  <c r="FE81" i="51"/>
  <c r="FD81" i="51"/>
  <c r="FC81" i="51"/>
  <c r="FB81" i="51"/>
  <c r="FA81" i="51"/>
  <c r="EZ81" i="51"/>
  <c r="EY81" i="51"/>
  <c r="EX81" i="51"/>
  <c r="EW81" i="51"/>
  <c r="EV81" i="51"/>
  <c r="EU81" i="51"/>
  <c r="ET81" i="51"/>
  <c r="ES81" i="51"/>
  <c r="ER81" i="51"/>
  <c r="EQ81" i="51"/>
  <c r="EP81" i="51"/>
  <c r="EO81" i="51"/>
  <c r="EN81" i="51"/>
  <c r="EM81" i="51"/>
  <c r="EL81" i="51"/>
  <c r="EK81" i="51"/>
  <c r="EJ81" i="51"/>
  <c r="EI81" i="51"/>
  <c r="EH81" i="51"/>
  <c r="EG81" i="51"/>
  <c r="EF81" i="51"/>
  <c r="EE81" i="51"/>
  <c r="ED81" i="51"/>
  <c r="EC81" i="51"/>
  <c r="EB81" i="51"/>
  <c r="EA81" i="51"/>
  <c r="DZ81" i="51"/>
  <c r="DY81" i="51"/>
  <c r="DX81" i="51"/>
  <c r="DW81" i="51"/>
  <c r="DV81" i="51"/>
  <c r="DU81" i="51"/>
  <c r="DT81" i="51"/>
  <c r="DS81" i="51"/>
  <c r="DR81" i="51"/>
  <c r="DQ81" i="51"/>
  <c r="DP81" i="51"/>
  <c r="DO81" i="51"/>
  <c r="DN81" i="51"/>
  <c r="DM81" i="51"/>
  <c r="DL81" i="51"/>
  <c r="DK81" i="51"/>
  <c r="DJ81" i="51"/>
  <c r="DI81" i="51"/>
  <c r="DH81" i="51"/>
  <c r="DG81" i="51"/>
  <c r="DF81" i="51"/>
  <c r="DE81" i="51"/>
  <c r="DD81" i="51"/>
  <c r="DC81" i="51"/>
  <c r="DB81" i="51"/>
  <c r="DA81" i="51"/>
  <c r="CZ81" i="51"/>
  <c r="CY81" i="51"/>
  <c r="CX81" i="51"/>
  <c r="CW81" i="51"/>
  <c r="CV81" i="51"/>
  <c r="CU81" i="51"/>
  <c r="CT81" i="51"/>
  <c r="CS81" i="51"/>
  <c r="CR81" i="51"/>
  <c r="CQ81" i="51"/>
  <c r="CP81" i="51"/>
  <c r="CO81" i="51"/>
  <c r="CN81" i="51"/>
  <c r="CM81" i="51"/>
  <c r="CL81" i="51"/>
  <c r="CK81" i="51"/>
  <c r="CJ81" i="51"/>
  <c r="CI81" i="51"/>
  <c r="CH81" i="51"/>
  <c r="CG81" i="51"/>
  <c r="CF81" i="51"/>
  <c r="CE81" i="51"/>
  <c r="CD81" i="51"/>
  <c r="CC81" i="51"/>
  <c r="CB81" i="51"/>
  <c r="CA81" i="51"/>
  <c r="BZ81" i="51"/>
  <c r="BY81" i="51"/>
  <c r="BX81" i="51"/>
  <c r="BW81" i="51"/>
  <c r="BV81" i="51"/>
  <c r="BU81" i="51"/>
  <c r="BT81" i="51"/>
  <c r="BS81" i="51"/>
  <c r="BR81" i="51"/>
  <c r="BQ81" i="51"/>
  <c r="BP81" i="51"/>
  <c r="BO81" i="51"/>
  <c r="BN81" i="51"/>
  <c r="BM81" i="51"/>
  <c r="BL81" i="51"/>
  <c r="BK81" i="51"/>
  <c r="BJ81" i="51"/>
  <c r="BI81" i="51"/>
  <c r="BH81" i="51"/>
  <c r="BG81" i="51"/>
  <c r="BF81" i="51"/>
  <c r="BE81" i="51"/>
  <c r="BD81" i="51"/>
  <c r="BC81" i="51"/>
  <c r="BB81" i="51"/>
  <c r="BA81" i="51"/>
  <c r="AZ81" i="51"/>
  <c r="AY81" i="51"/>
  <c r="AX81" i="51"/>
  <c r="AW81" i="51"/>
  <c r="AV81" i="51"/>
  <c r="AU81" i="51"/>
  <c r="AT81" i="51"/>
  <c r="AS81" i="51"/>
  <c r="AR81" i="51"/>
  <c r="AQ81" i="51"/>
  <c r="AP81" i="51"/>
  <c r="AO81" i="51"/>
  <c r="AN81" i="51"/>
  <c r="AM81" i="51"/>
  <c r="AL81" i="51"/>
  <c r="AK81" i="51"/>
  <c r="AJ81" i="51"/>
  <c r="AI81" i="51"/>
  <c r="AH81" i="51"/>
  <c r="AG81" i="51"/>
  <c r="AF81" i="51"/>
  <c r="AE81" i="51"/>
  <c r="AD81" i="51"/>
  <c r="AC81" i="51"/>
  <c r="AB81" i="51"/>
  <c r="AA81" i="51"/>
  <c r="Z81" i="51"/>
  <c r="Y81" i="51"/>
  <c r="X81" i="51"/>
  <c r="W81" i="51"/>
  <c r="V81" i="51"/>
  <c r="U81" i="51"/>
  <c r="T81" i="51"/>
  <c r="S81" i="51"/>
  <c r="R81" i="51"/>
  <c r="Q81" i="51"/>
  <c r="P81" i="51"/>
  <c r="O81" i="51"/>
  <c r="N81" i="51"/>
  <c r="M81" i="51"/>
  <c r="L81" i="51"/>
  <c r="K81" i="51"/>
  <c r="J81" i="51"/>
  <c r="I81" i="51"/>
  <c r="H81" i="51"/>
  <c r="G81" i="51"/>
  <c r="F81" i="51"/>
  <c r="IV80" i="51"/>
  <c r="IU80" i="51"/>
  <c r="IT80" i="51"/>
  <c r="IS80" i="51"/>
  <c r="IR80" i="51"/>
  <c r="IQ80" i="51"/>
  <c r="IP80" i="51"/>
  <c r="IO80" i="51"/>
  <c r="IN80" i="51"/>
  <c r="IM80" i="51"/>
  <c r="IL80" i="51"/>
  <c r="IK80" i="51"/>
  <c r="IJ80" i="51"/>
  <c r="II80" i="51"/>
  <c r="IH80" i="51"/>
  <c r="IG80" i="51"/>
  <c r="IF80" i="51"/>
  <c r="IE80" i="51"/>
  <c r="ID80" i="51"/>
  <c r="IC80" i="51"/>
  <c r="IB80" i="51"/>
  <c r="IA80" i="51"/>
  <c r="HZ80" i="51"/>
  <c r="HY80" i="51"/>
  <c r="HX80" i="51"/>
  <c r="HW80" i="51"/>
  <c r="HV80" i="51"/>
  <c r="HU80" i="51"/>
  <c r="HT80" i="51"/>
  <c r="HS80" i="51"/>
  <c r="HR80" i="51"/>
  <c r="HQ80" i="51"/>
  <c r="HP80" i="51"/>
  <c r="HO80" i="51"/>
  <c r="HN80" i="51"/>
  <c r="HM80" i="51"/>
  <c r="HL80" i="51"/>
  <c r="HK80" i="51"/>
  <c r="HJ80" i="51"/>
  <c r="HI80" i="51"/>
  <c r="HH80" i="51"/>
  <c r="HG80" i="51"/>
  <c r="HF80" i="51"/>
  <c r="HE80" i="51"/>
  <c r="HD80" i="51"/>
  <c r="HC80" i="51"/>
  <c r="HB80" i="51"/>
  <c r="HA80" i="51"/>
  <c r="GZ80" i="51"/>
  <c r="GY80" i="51"/>
  <c r="GX80" i="51"/>
  <c r="GW80" i="51"/>
  <c r="GV80" i="51"/>
  <c r="GU80" i="51"/>
  <c r="GT80" i="51"/>
  <c r="GS80" i="51"/>
  <c r="GR80" i="51"/>
  <c r="GQ80" i="51"/>
  <c r="GP80" i="51"/>
  <c r="GO80" i="51"/>
  <c r="GN80" i="51"/>
  <c r="GM80" i="51"/>
  <c r="GL80" i="51"/>
  <c r="GK80" i="51"/>
  <c r="GJ80" i="51"/>
  <c r="GI80" i="51"/>
  <c r="GH80" i="51"/>
  <c r="GG80" i="51"/>
  <c r="GF80" i="51"/>
  <c r="GE80" i="51"/>
  <c r="GD80" i="51"/>
  <c r="GC80" i="51"/>
  <c r="GB80" i="51"/>
  <c r="GA80" i="51"/>
  <c r="FZ80" i="51"/>
  <c r="FY80" i="51"/>
  <c r="FX80" i="51"/>
  <c r="FW80" i="51"/>
  <c r="FV80" i="51"/>
  <c r="FU80" i="51"/>
  <c r="FT80" i="51"/>
  <c r="FS80" i="51"/>
  <c r="FR80" i="51"/>
  <c r="FQ80" i="51"/>
  <c r="FP80" i="51"/>
  <c r="FO80" i="51"/>
  <c r="FN80" i="51"/>
  <c r="FM80" i="51"/>
  <c r="FL80" i="51"/>
  <c r="FK80" i="51"/>
  <c r="FJ80" i="51"/>
  <c r="FI80" i="51"/>
  <c r="FH80" i="51"/>
  <c r="FG80" i="51"/>
  <c r="FF80" i="51"/>
  <c r="FE80" i="51"/>
  <c r="FD80" i="51"/>
  <c r="FC80" i="51"/>
  <c r="FB80" i="51"/>
  <c r="FA80" i="51"/>
  <c r="EZ80" i="51"/>
  <c r="EY80" i="51"/>
  <c r="EX80" i="51"/>
  <c r="EW80" i="51"/>
  <c r="EV80" i="51"/>
  <c r="EU80" i="51"/>
  <c r="ET80" i="51"/>
  <c r="ES80" i="51"/>
  <c r="ER80" i="51"/>
  <c r="EQ80" i="51"/>
  <c r="EP80" i="51"/>
  <c r="EO80" i="51"/>
  <c r="EN80" i="51"/>
  <c r="EM80" i="51"/>
  <c r="EL80" i="51"/>
  <c r="EK80" i="51"/>
  <c r="EJ80" i="51"/>
  <c r="EI80" i="51"/>
  <c r="EH80" i="51"/>
  <c r="EG80" i="51"/>
  <c r="EF80" i="51"/>
  <c r="EE80" i="51"/>
  <c r="ED80" i="51"/>
  <c r="EC80" i="51"/>
  <c r="EB80" i="51"/>
  <c r="EA80" i="51"/>
  <c r="DZ80" i="51"/>
  <c r="DY80" i="51"/>
  <c r="DX80" i="51"/>
  <c r="DW80" i="51"/>
  <c r="DV80" i="51"/>
  <c r="DU80" i="51"/>
  <c r="DT80" i="51"/>
  <c r="DS80" i="51"/>
  <c r="DR80" i="51"/>
  <c r="DQ80" i="51"/>
  <c r="DP80" i="51"/>
  <c r="DO80" i="51"/>
  <c r="DN80" i="51"/>
  <c r="DM80" i="51"/>
  <c r="DL80" i="51"/>
  <c r="DK80" i="51"/>
  <c r="DJ80" i="51"/>
  <c r="DI80" i="51"/>
  <c r="DH80" i="51"/>
  <c r="DG80" i="51"/>
  <c r="DF80" i="51"/>
  <c r="DE80" i="51"/>
  <c r="DD80" i="51"/>
  <c r="DC80" i="51"/>
  <c r="DB80" i="51"/>
  <c r="DA80" i="51"/>
  <c r="CZ80" i="51"/>
  <c r="CY80" i="51"/>
  <c r="CX80" i="51"/>
  <c r="CW80" i="51"/>
  <c r="CV80" i="51"/>
  <c r="CU80" i="51"/>
  <c r="CT80" i="51"/>
  <c r="CS80" i="51"/>
  <c r="CR80" i="51"/>
  <c r="CQ80" i="51"/>
  <c r="CP80" i="51"/>
  <c r="CO80" i="51"/>
  <c r="CN80" i="51"/>
  <c r="CM80" i="51"/>
  <c r="CL80" i="51"/>
  <c r="CK80" i="51"/>
  <c r="CJ80" i="51"/>
  <c r="CI80" i="51"/>
  <c r="CH80" i="51"/>
  <c r="CG80" i="51"/>
  <c r="CF80" i="51"/>
  <c r="CE80" i="51"/>
  <c r="CD80" i="51"/>
  <c r="CC80" i="51"/>
  <c r="CB80" i="51"/>
  <c r="CA80" i="51"/>
  <c r="BZ80" i="51"/>
  <c r="BY80" i="51"/>
  <c r="BX80" i="51"/>
  <c r="BW80" i="51"/>
  <c r="BV80" i="51"/>
  <c r="BU80" i="51"/>
  <c r="BT80" i="51"/>
  <c r="BS80" i="51"/>
  <c r="BR80" i="51"/>
  <c r="BQ80" i="51"/>
  <c r="BP80" i="51"/>
  <c r="BO80" i="51"/>
  <c r="BN80" i="51"/>
  <c r="BM80" i="51"/>
  <c r="BL80" i="51"/>
  <c r="BK80" i="51"/>
  <c r="BJ80" i="51"/>
  <c r="BI80" i="51"/>
  <c r="BH80" i="51"/>
  <c r="BG80" i="51"/>
  <c r="BF80" i="51"/>
  <c r="BE80" i="51"/>
  <c r="BD80" i="51"/>
  <c r="BC80" i="51"/>
  <c r="BB80" i="51"/>
  <c r="BA80" i="51"/>
  <c r="AZ80" i="51"/>
  <c r="AY80" i="51"/>
  <c r="AX80" i="51"/>
  <c r="AW80" i="51"/>
  <c r="AV80" i="51"/>
  <c r="AU80" i="51"/>
  <c r="AT80" i="51"/>
  <c r="AS80" i="51"/>
  <c r="AR80" i="51"/>
  <c r="AQ80" i="51"/>
  <c r="AP80" i="51"/>
  <c r="AO80" i="51"/>
  <c r="AN80" i="51"/>
  <c r="AM80" i="51"/>
  <c r="AL80" i="51"/>
  <c r="AK80" i="51"/>
  <c r="AJ80" i="51"/>
  <c r="AI80" i="51"/>
  <c r="AH80" i="51"/>
  <c r="AG80" i="51"/>
  <c r="AF80" i="51"/>
  <c r="AE80" i="51"/>
  <c r="AD80" i="51"/>
  <c r="AC80" i="51"/>
  <c r="AB80" i="51"/>
  <c r="AA80" i="51"/>
  <c r="Z80" i="51"/>
  <c r="Y80" i="51"/>
  <c r="X80" i="51"/>
  <c r="W80" i="51"/>
  <c r="V80" i="51"/>
  <c r="U80" i="51"/>
  <c r="T80" i="51"/>
  <c r="S80" i="51"/>
  <c r="R80" i="51"/>
  <c r="Q80" i="51"/>
  <c r="P80" i="51"/>
  <c r="O80" i="51"/>
  <c r="N80" i="51"/>
  <c r="M80" i="51"/>
  <c r="L80" i="51"/>
  <c r="K80" i="51"/>
  <c r="J80" i="51"/>
  <c r="I80" i="51"/>
  <c r="H80" i="51"/>
  <c r="G80" i="51"/>
  <c r="F80" i="51"/>
  <c r="IV79" i="51"/>
  <c r="IU79" i="51"/>
  <c r="IT79" i="51"/>
  <c r="IS79" i="51"/>
  <c r="IR79" i="51"/>
  <c r="IQ79" i="51"/>
  <c r="IP79" i="51"/>
  <c r="IO79" i="51"/>
  <c r="IN79" i="51"/>
  <c r="IM79" i="51"/>
  <c r="IL79" i="51"/>
  <c r="IK79" i="51"/>
  <c r="IJ79" i="51"/>
  <c r="II79" i="51"/>
  <c r="IH79" i="51"/>
  <c r="IG79" i="51"/>
  <c r="IF79" i="51"/>
  <c r="IE79" i="51"/>
  <c r="ID79" i="51"/>
  <c r="IC79" i="51"/>
  <c r="IB79" i="51"/>
  <c r="IA79" i="51"/>
  <c r="HZ79" i="51"/>
  <c r="HY79" i="51"/>
  <c r="HX79" i="51"/>
  <c r="HW79" i="51"/>
  <c r="HV79" i="51"/>
  <c r="HU79" i="51"/>
  <c r="HT79" i="51"/>
  <c r="HS79" i="51"/>
  <c r="HR79" i="51"/>
  <c r="HQ79" i="51"/>
  <c r="HP79" i="51"/>
  <c r="HO79" i="51"/>
  <c r="HN79" i="51"/>
  <c r="HM79" i="51"/>
  <c r="HL79" i="51"/>
  <c r="HK79" i="51"/>
  <c r="HJ79" i="51"/>
  <c r="HI79" i="51"/>
  <c r="HH79" i="51"/>
  <c r="HG79" i="51"/>
  <c r="HF79" i="51"/>
  <c r="HE79" i="51"/>
  <c r="HD79" i="51"/>
  <c r="HC79" i="51"/>
  <c r="HB79" i="51"/>
  <c r="HA79" i="51"/>
  <c r="GZ79" i="51"/>
  <c r="GY79" i="51"/>
  <c r="GX79" i="51"/>
  <c r="GW79" i="51"/>
  <c r="GV79" i="51"/>
  <c r="GU79" i="51"/>
  <c r="GT79" i="51"/>
  <c r="GS79" i="51"/>
  <c r="GR79" i="51"/>
  <c r="GQ79" i="51"/>
  <c r="GP79" i="51"/>
  <c r="GO79" i="51"/>
  <c r="GN79" i="51"/>
  <c r="GM79" i="51"/>
  <c r="GL79" i="51"/>
  <c r="GK79" i="51"/>
  <c r="GJ79" i="51"/>
  <c r="GI79" i="51"/>
  <c r="GH79" i="51"/>
  <c r="GG79" i="51"/>
  <c r="GF79" i="51"/>
  <c r="GE79" i="51"/>
  <c r="GD79" i="51"/>
  <c r="GC79" i="51"/>
  <c r="GB79" i="51"/>
  <c r="GA79" i="51"/>
  <c r="FZ79" i="51"/>
  <c r="FY79" i="51"/>
  <c r="FX79" i="51"/>
  <c r="FW79" i="51"/>
  <c r="FV79" i="51"/>
  <c r="FU79" i="51"/>
  <c r="FT79" i="51"/>
  <c r="FS79" i="51"/>
  <c r="FR79" i="51"/>
  <c r="FQ79" i="51"/>
  <c r="FP79" i="51"/>
  <c r="FO79" i="51"/>
  <c r="FN79" i="51"/>
  <c r="FM79" i="51"/>
  <c r="FL79" i="51"/>
  <c r="FK79" i="51"/>
  <c r="FJ79" i="51"/>
  <c r="FI79" i="51"/>
  <c r="FH79" i="51"/>
  <c r="FG79" i="51"/>
  <c r="FF79" i="51"/>
  <c r="FE79" i="51"/>
  <c r="FD79" i="51"/>
  <c r="FC79" i="51"/>
  <c r="FB79" i="51"/>
  <c r="FA79" i="51"/>
  <c r="EZ79" i="51"/>
  <c r="EY79" i="51"/>
  <c r="EX79" i="51"/>
  <c r="EW79" i="51"/>
  <c r="EV79" i="51"/>
  <c r="EU79" i="51"/>
  <c r="ET79" i="51"/>
  <c r="ES79" i="51"/>
  <c r="ER79" i="51"/>
  <c r="EQ79" i="51"/>
  <c r="EP79" i="51"/>
  <c r="EO79" i="51"/>
  <c r="EN79" i="51"/>
  <c r="EM79" i="51"/>
  <c r="EL79" i="51"/>
  <c r="EK79" i="51"/>
  <c r="EJ79" i="51"/>
  <c r="EI79" i="51"/>
  <c r="EH79" i="51"/>
  <c r="EG79" i="51"/>
  <c r="EF79" i="51"/>
  <c r="EE79" i="51"/>
  <c r="ED79" i="51"/>
  <c r="EC79" i="51"/>
  <c r="EB79" i="51"/>
  <c r="EA79" i="51"/>
  <c r="DZ79" i="51"/>
  <c r="DY79" i="51"/>
  <c r="DX79" i="51"/>
  <c r="DW79" i="51"/>
  <c r="DV79" i="51"/>
  <c r="DU79" i="51"/>
  <c r="DT79" i="51"/>
  <c r="DS79" i="51"/>
  <c r="DR79" i="51"/>
  <c r="DQ79" i="51"/>
  <c r="DP79" i="51"/>
  <c r="DO79" i="51"/>
  <c r="DN79" i="51"/>
  <c r="DM79" i="51"/>
  <c r="DL79" i="51"/>
  <c r="DK79" i="51"/>
  <c r="DJ79" i="51"/>
  <c r="DI79" i="51"/>
  <c r="DH79" i="51"/>
  <c r="DG79" i="51"/>
  <c r="DF79" i="51"/>
  <c r="DE79" i="51"/>
  <c r="DD79" i="51"/>
  <c r="DC79" i="51"/>
  <c r="DB79" i="51"/>
  <c r="DA79" i="51"/>
  <c r="CZ79" i="51"/>
  <c r="CY79" i="51"/>
  <c r="CX79" i="51"/>
  <c r="CW79" i="51"/>
  <c r="CV79" i="51"/>
  <c r="CU79" i="51"/>
  <c r="CT79" i="51"/>
  <c r="CS79" i="51"/>
  <c r="CR79" i="51"/>
  <c r="CQ79" i="51"/>
  <c r="CP79" i="51"/>
  <c r="CO79" i="51"/>
  <c r="CN79" i="51"/>
  <c r="CM79" i="51"/>
  <c r="CL79" i="51"/>
  <c r="CK79" i="51"/>
  <c r="CJ79" i="51"/>
  <c r="CI79" i="51"/>
  <c r="CH79" i="51"/>
  <c r="CG79" i="51"/>
  <c r="CF79" i="51"/>
  <c r="CE79" i="51"/>
  <c r="CD79" i="51"/>
  <c r="CC79" i="51"/>
  <c r="CB79" i="51"/>
  <c r="CA79" i="51"/>
  <c r="BZ79" i="51"/>
  <c r="BY79" i="51"/>
  <c r="BX79" i="51"/>
  <c r="BW79" i="51"/>
  <c r="BV79" i="51"/>
  <c r="BU79" i="51"/>
  <c r="BT79" i="51"/>
  <c r="BS79" i="51"/>
  <c r="BR79" i="51"/>
  <c r="BQ79" i="51"/>
  <c r="BP79" i="51"/>
  <c r="BO79" i="51"/>
  <c r="BN79" i="51"/>
  <c r="BM79" i="51"/>
  <c r="BL79" i="51"/>
  <c r="BK79" i="51"/>
  <c r="BJ79" i="51"/>
  <c r="BI79" i="51"/>
  <c r="BH79" i="51"/>
  <c r="BG79" i="51"/>
  <c r="BF79" i="51"/>
  <c r="BE79" i="51"/>
  <c r="BD79" i="51"/>
  <c r="BC79" i="51"/>
  <c r="BB79" i="51"/>
  <c r="BA79" i="51"/>
  <c r="AZ79" i="51"/>
  <c r="AY79" i="51"/>
  <c r="AX79" i="51"/>
  <c r="AW79" i="51"/>
  <c r="AV79" i="51"/>
  <c r="AU79" i="51"/>
  <c r="AT79" i="51"/>
  <c r="AS79" i="51"/>
  <c r="AR79" i="51"/>
  <c r="AQ79" i="51"/>
  <c r="AP79" i="51"/>
  <c r="AO79" i="51"/>
  <c r="AN79" i="51"/>
  <c r="AM79" i="51"/>
  <c r="AL79" i="51"/>
  <c r="AK79" i="51"/>
  <c r="AJ79" i="51"/>
  <c r="AI79" i="51"/>
  <c r="AH79" i="51"/>
  <c r="AG79" i="51"/>
  <c r="AF79" i="51"/>
  <c r="AE79" i="51"/>
  <c r="AD79" i="51"/>
  <c r="AC79" i="51"/>
  <c r="AB79" i="51"/>
  <c r="AA79" i="51"/>
  <c r="Z79" i="51"/>
  <c r="Y79" i="51"/>
  <c r="X79" i="51"/>
  <c r="W79" i="51"/>
  <c r="V79" i="51"/>
  <c r="U79" i="51"/>
  <c r="T79" i="51"/>
  <c r="S79" i="51"/>
  <c r="R79" i="51"/>
  <c r="Q79" i="51"/>
  <c r="P79" i="51"/>
  <c r="O79" i="51"/>
  <c r="N79" i="51"/>
  <c r="M79" i="51"/>
  <c r="L79" i="51"/>
  <c r="K79" i="51"/>
  <c r="J79" i="51"/>
  <c r="I79" i="51"/>
  <c r="H79" i="51"/>
  <c r="G79" i="51"/>
  <c r="F79" i="51"/>
  <c r="IV78" i="51"/>
  <c r="IU78" i="51"/>
  <c r="IT78" i="51"/>
  <c r="IS78" i="51"/>
  <c r="IR78" i="51"/>
  <c r="IQ78" i="51"/>
  <c r="IP78" i="51"/>
  <c r="IO78" i="51"/>
  <c r="IN78" i="51"/>
  <c r="IM78" i="51"/>
  <c r="IL78" i="51"/>
  <c r="IK78" i="51"/>
  <c r="IJ78" i="51"/>
  <c r="II78" i="51"/>
  <c r="IH78" i="51"/>
  <c r="IG78" i="51"/>
  <c r="IF78" i="51"/>
  <c r="IE78" i="51"/>
  <c r="ID78" i="51"/>
  <c r="IC78" i="51"/>
  <c r="IB78" i="51"/>
  <c r="IA78" i="51"/>
  <c r="HZ78" i="51"/>
  <c r="HY78" i="51"/>
  <c r="HX78" i="51"/>
  <c r="HW78" i="51"/>
  <c r="HV78" i="51"/>
  <c r="HU78" i="51"/>
  <c r="HT78" i="51"/>
  <c r="HS78" i="51"/>
  <c r="HR78" i="51"/>
  <c r="HQ78" i="51"/>
  <c r="HP78" i="51"/>
  <c r="HO78" i="51"/>
  <c r="HN78" i="51"/>
  <c r="HM78" i="51"/>
  <c r="HL78" i="51"/>
  <c r="HK78" i="51"/>
  <c r="HJ78" i="51"/>
  <c r="HI78" i="51"/>
  <c r="HH78" i="51"/>
  <c r="HG78" i="51"/>
  <c r="HF78" i="51"/>
  <c r="HE78" i="51"/>
  <c r="HD78" i="51"/>
  <c r="HC78" i="51"/>
  <c r="HB78" i="51"/>
  <c r="HA78" i="51"/>
  <c r="GZ78" i="51"/>
  <c r="GY78" i="51"/>
  <c r="GX78" i="51"/>
  <c r="GW78" i="51"/>
  <c r="GV78" i="51"/>
  <c r="GU78" i="51"/>
  <c r="GT78" i="51"/>
  <c r="GS78" i="51"/>
  <c r="GR78" i="51"/>
  <c r="GQ78" i="51"/>
  <c r="GP78" i="51"/>
  <c r="GO78" i="51"/>
  <c r="GN78" i="51"/>
  <c r="GM78" i="51"/>
  <c r="GL78" i="51"/>
  <c r="GK78" i="51"/>
  <c r="GJ78" i="51"/>
  <c r="GI78" i="51"/>
  <c r="GH78" i="51"/>
  <c r="GG78" i="51"/>
  <c r="GF78" i="51"/>
  <c r="GE78" i="51"/>
  <c r="GD78" i="51"/>
  <c r="GC78" i="51"/>
  <c r="GB78" i="51"/>
  <c r="GA78" i="51"/>
  <c r="FZ78" i="51"/>
  <c r="FY78" i="51"/>
  <c r="FX78" i="51"/>
  <c r="FW78" i="51"/>
  <c r="FV78" i="51"/>
  <c r="FU78" i="51"/>
  <c r="FT78" i="51"/>
  <c r="FS78" i="51"/>
  <c r="FR78" i="51"/>
  <c r="FQ78" i="51"/>
  <c r="FP78" i="51"/>
  <c r="FO78" i="51"/>
  <c r="FN78" i="51"/>
  <c r="FM78" i="51"/>
  <c r="FL78" i="51"/>
  <c r="FK78" i="51"/>
  <c r="FJ78" i="51"/>
  <c r="FI78" i="51"/>
  <c r="FH78" i="51"/>
  <c r="FG78" i="51"/>
  <c r="FF78" i="51"/>
  <c r="FE78" i="51"/>
  <c r="FD78" i="51"/>
  <c r="FC78" i="51"/>
  <c r="FB78" i="51"/>
  <c r="FA78" i="51"/>
  <c r="EZ78" i="51"/>
  <c r="EY78" i="51"/>
  <c r="EX78" i="51"/>
  <c r="EW78" i="51"/>
  <c r="EV78" i="51"/>
  <c r="EU78" i="51"/>
  <c r="ET78" i="51"/>
  <c r="ES78" i="51"/>
  <c r="ER78" i="51"/>
  <c r="EQ78" i="51"/>
  <c r="EP78" i="51"/>
  <c r="EO78" i="51"/>
  <c r="EN78" i="51"/>
  <c r="EM78" i="51"/>
  <c r="EL78" i="51"/>
  <c r="EK78" i="51"/>
  <c r="EJ78" i="51"/>
  <c r="EI78" i="51"/>
  <c r="EH78" i="51"/>
  <c r="EG78" i="51"/>
  <c r="EF78" i="51"/>
  <c r="EE78" i="51"/>
  <c r="ED78" i="51"/>
  <c r="EC78" i="51"/>
  <c r="EB78" i="51"/>
  <c r="EA78" i="51"/>
  <c r="DZ78" i="51"/>
  <c r="DY78" i="51"/>
  <c r="DX78" i="51"/>
  <c r="DW78" i="51"/>
  <c r="DV78" i="51"/>
  <c r="DU78" i="51"/>
  <c r="DT78" i="51"/>
  <c r="DS78" i="51"/>
  <c r="DR78" i="51"/>
  <c r="DQ78" i="51"/>
  <c r="DP78" i="51"/>
  <c r="DO78" i="51"/>
  <c r="DN78" i="51"/>
  <c r="DM78" i="51"/>
  <c r="DL78" i="51"/>
  <c r="DK78" i="51"/>
  <c r="DJ78" i="51"/>
  <c r="DI78" i="51"/>
  <c r="DH78" i="51"/>
  <c r="DG78" i="51"/>
  <c r="DF78" i="51"/>
  <c r="DE78" i="51"/>
  <c r="DD78" i="51"/>
  <c r="DC78" i="51"/>
  <c r="DB78" i="51"/>
  <c r="DA78" i="51"/>
  <c r="CZ78" i="51"/>
  <c r="CY78" i="51"/>
  <c r="CX78" i="51"/>
  <c r="CW78" i="51"/>
  <c r="CV78" i="51"/>
  <c r="CU78" i="51"/>
  <c r="CT78" i="51"/>
  <c r="CS78" i="51"/>
  <c r="CR78" i="51"/>
  <c r="CQ78" i="51"/>
  <c r="CP78" i="51"/>
  <c r="CO78" i="51"/>
  <c r="CN78" i="51"/>
  <c r="CM78" i="51"/>
  <c r="CL78" i="51"/>
  <c r="CK78" i="51"/>
  <c r="CJ78" i="51"/>
  <c r="CI78" i="51"/>
  <c r="CH78" i="51"/>
  <c r="CG78" i="51"/>
  <c r="CF78" i="51"/>
  <c r="CE78" i="51"/>
  <c r="CD78" i="51"/>
  <c r="CC78" i="51"/>
  <c r="CB78" i="51"/>
  <c r="CA78" i="51"/>
  <c r="BZ78" i="51"/>
  <c r="BY78" i="51"/>
  <c r="BX78" i="51"/>
  <c r="BW78" i="51"/>
  <c r="BV78" i="51"/>
  <c r="BU78" i="51"/>
  <c r="BT78" i="51"/>
  <c r="BS78" i="51"/>
  <c r="BR78" i="51"/>
  <c r="BQ78" i="51"/>
  <c r="BP78" i="51"/>
  <c r="BO78" i="51"/>
  <c r="BN78" i="51"/>
  <c r="BM78" i="51"/>
  <c r="BL78" i="51"/>
  <c r="BK78" i="51"/>
  <c r="BJ78" i="51"/>
  <c r="BI78" i="51"/>
  <c r="BH78" i="51"/>
  <c r="BG78" i="51"/>
  <c r="BF78" i="51"/>
  <c r="BE78" i="51"/>
  <c r="BD78" i="51"/>
  <c r="BC78" i="51"/>
  <c r="BB78" i="51"/>
  <c r="BA78" i="51"/>
  <c r="AZ78" i="51"/>
  <c r="AY78" i="51"/>
  <c r="AX78" i="51"/>
  <c r="AW78" i="51"/>
  <c r="AV78" i="51"/>
  <c r="AU78" i="51"/>
  <c r="AT78" i="51"/>
  <c r="AS78" i="51"/>
  <c r="AR78" i="51"/>
  <c r="AQ78" i="51"/>
  <c r="AP78" i="51"/>
  <c r="AO78" i="51"/>
  <c r="AN78" i="51"/>
  <c r="AM78" i="51"/>
  <c r="AL78" i="51"/>
  <c r="AK78" i="51"/>
  <c r="AJ78" i="51"/>
  <c r="AI78" i="51"/>
  <c r="AH78" i="51"/>
  <c r="AG78" i="51"/>
  <c r="AF78" i="51"/>
  <c r="AE78" i="51"/>
  <c r="AD78" i="51"/>
  <c r="AC78" i="51"/>
  <c r="AB78" i="51"/>
  <c r="AA78" i="51"/>
  <c r="Z78" i="51"/>
  <c r="Y78" i="51"/>
  <c r="X78" i="51"/>
  <c r="W78" i="51"/>
  <c r="V78" i="51"/>
  <c r="U78" i="51"/>
  <c r="T78" i="51"/>
  <c r="S78" i="51"/>
  <c r="R78" i="51"/>
  <c r="Q78" i="51"/>
  <c r="P78" i="51"/>
  <c r="O78" i="51"/>
  <c r="N78" i="51"/>
  <c r="M78" i="51"/>
  <c r="L78" i="51"/>
  <c r="K78" i="51"/>
  <c r="J78" i="51"/>
  <c r="I78" i="51"/>
  <c r="H78" i="51"/>
  <c r="G78" i="51"/>
  <c r="F78" i="51"/>
  <c r="IV77" i="51"/>
  <c r="IU77" i="51"/>
  <c r="IT77" i="51"/>
  <c r="IS77" i="51"/>
  <c r="IR77" i="51"/>
  <c r="IQ77" i="51"/>
  <c r="IP77" i="51"/>
  <c r="IO77" i="51"/>
  <c r="IN77" i="51"/>
  <c r="IM77" i="51"/>
  <c r="IL77" i="51"/>
  <c r="IK77" i="51"/>
  <c r="IJ77" i="51"/>
  <c r="II77" i="51"/>
  <c r="IH77" i="51"/>
  <c r="IG77" i="51"/>
  <c r="IF77" i="51"/>
  <c r="IE77" i="51"/>
  <c r="ID77" i="51"/>
  <c r="IC77" i="51"/>
  <c r="IB77" i="51"/>
  <c r="IA77" i="51"/>
  <c r="HZ77" i="51"/>
  <c r="HY77" i="51"/>
  <c r="HX77" i="51"/>
  <c r="HW77" i="51"/>
  <c r="HV77" i="51"/>
  <c r="HU77" i="51"/>
  <c r="HT77" i="51"/>
  <c r="HS77" i="51"/>
  <c r="HR77" i="51"/>
  <c r="HQ77" i="51"/>
  <c r="HP77" i="51"/>
  <c r="HO77" i="51"/>
  <c r="HN77" i="51"/>
  <c r="HM77" i="51"/>
  <c r="HL77" i="51"/>
  <c r="HK77" i="51"/>
  <c r="HJ77" i="51"/>
  <c r="HI77" i="51"/>
  <c r="HH77" i="51"/>
  <c r="HG77" i="51"/>
  <c r="HF77" i="51"/>
  <c r="HE77" i="51"/>
  <c r="HD77" i="51"/>
  <c r="HC77" i="51"/>
  <c r="HB77" i="51"/>
  <c r="HA77" i="51"/>
  <c r="GZ77" i="51"/>
  <c r="GY77" i="51"/>
  <c r="GX77" i="51"/>
  <c r="GW77" i="51"/>
  <c r="GV77" i="51"/>
  <c r="GU77" i="51"/>
  <c r="GT77" i="51"/>
  <c r="GS77" i="51"/>
  <c r="GR77" i="51"/>
  <c r="GQ77" i="51"/>
  <c r="GP77" i="51"/>
  <c r="GO77" i="51"/>
  <c r="GN77" i="51"/>
  <c r="GM77" i="51"/>
  <c r="GL77" i="51"/>
  <c r="GK77" i="51"/>
  <c r="GJ77" i="51"/>
  <c r="GI77" i="51"/>
  <c r="GH77" i="51"/>
  <c r="GG77" i="51"/>
  <c r="GF77" i="51"/>
  <c r="GE77" i="51"/>
  <c r="GD77" i="51"/>
  <c r="GC77" i="51"/>
  <c r="GB77" i="51"/>
  <c r="GA77" i="51"/>
  <c r="FZ77" i="51"/>
  <c r="FY77" i="51"/>
  <c r="FX77" i="51"/>
  <c r="FW77" i="51"/>
  <c r="FV77" i="51"/>
  <c r="FU77" i="51"/>
  <c r="FT77" i="51"/>
  <c r="FS77" i="51"/>
  <c r="FR77" i="51"/>
  <c r="FQ77" i="51"/>
  <c r="FP77" i="51"/>
  <c r="FO77" i="51"/>
  <c r="FN77" i="51"/>
  <c r="FM77" i="51"/>
  <c r="FL77" i="51"/>
  <c r="FK77" i="51"/>
  <c r="FJ77" i="51"/>
  <c r="FI77" i="51"/>
  <c r="FH77" i="51"/>
  <c r="FG77" i="51"/>
  <c r="FF77" i="51"/>
  <c r="FE77" i="51"/>
  <c r="FD77" i="51"/>
  <c r="FC77" i="51"/>
  <c r="FB77" i="51"/>
  <c r="FA77" i="51"/>
  <c r="EZ77" i="51"/>
  <c r="EY77" i="51"/>
  <c r="EX77" i="51"/>
  <c r="EW77" i="51"/>
  <c r="EV77" i="51"/>
  <c r="EU77" i="51"/>
  <c r="ET77" i="51"/>
  <c r="ES77" i="51"/>
  <c r="ER77" i="51"/>
  <c r="EQ77" i="51"/>
  <c r="EP77" i="51"/>
  <c r="EO77" i="51"/>
  <c r="EN77" i="51"/>
  <c r="EM77" i="51"/>
  <c r="EL77" i="51"/>
  <c r="EK77" i="51"/>
  <c r="EJ77" i="51"/>
  <c r="EI77" i="51"/>
  <c r="EH77" i="51"/>
  <c r="EG77" i="51"/>
  <c r="EF77" i="51"/>
  <c r="EE77" i="51"/>
  <c r="ED77" i="51"/>
  <c r="EC77" i="51"/>
  <c r="EB77" i="51"/>
  <c r="EA77" i="51"/>
  <c r="DZ77" i="51"/>
  <c r="DY77" i="51"/>
  <c r="DX77" i="51"/>
  <c r="DW77" i="51"/>
  <c r="DV77" i="51"/>
  <c r="DU77" i="51"/>
  <c r="DT77" i="51"/>
  <c r="DS77" i="51"/>
  <c r="DR77" i="51"/>
  <c r="DQ77" i="51"/>
  <c r="DP77" i="51"/>
  <c r="DO77" i="51"/>
  <c r="DN77" i="51"/>
  <c r="DM77" i="51"/>
  <c r="DL77" i="51"/>
  <c r="DK77" i="51"/>
  <c r="DJ77" i="51"/>
  <c r="DI77" i="51"/>
  <c r="DH77" i="51"/>
  <c r="DG77" i="51"/>
  <c r="DF77" i="51"/>
  <c r="DE77" i="51"/>
  <c r="DD77" i="51"/>
  <c r="DC77" i="51"/>
  <c r="DB77" i="51"/>
  <c r="DA77" i="51"/>
  <c r="CZ77" i="51"/>
  <c r="CY77" i="51"/>
  <c r="CX77" i="51"/>
  <c r="CW77" i="51"/>
  <c r="CV77" i="51"/>
  <c r="CU77" i="51"/>
  <c r="CT77" i="51"/>
  <c r="CS77" i="51"/>
  <c r="CR77" i="51"/>
  <c r="CQ77" i="51"/>
  <c r="CP77" i="51"/>
  <c r="CO77" i="51"/>
  <c r="CN77" i="51"/>
  <c r="CM77" i="51"/>
  <c r="CL77" i="51"/>
  <c r="CK77" i="51"/>
  <c r="CJ77" i="51"/>
  <c r="CI77" i="51"/>
  <c r="CH77" i="51"/>
  <c r="CG77" i="51"/>
  <c r="CF77" i="51"/>
  <c r="CE77" i="51"/>
  <c r="CD77" i="51"/>
  <c r="CC77" i="51"/>
  <c r="CB77" i="51"/>
  <c r="CA77" i="51"/>
  <c r="BZ77" i="51"/>
  <c r="BY77" i="51"/>
  <c r="BX77" i="51"/>
  <c r="BW77" i="51"/>
  <c r="BV77" i="51"/>
  <c r="BU77" i="51"/>
  <c r="BT77" i="51"/>
  <c r="BS77" i="51"/>
  <c r="BR77" i="51"/>
  <c r="BQ77" i="51"/>
  <c r="BP77" i="51"/>
  <c r="BO77" i="51"/>
  <c r="BN77" i="51"/>
  <c r="BM77" i="51"/>
  <c r="BL77" i="51"/>
  <c r="BK77" i="51"/>
  <c r="BJ77" i="51"/>
  <c r="BI77" i="51"/>
  <c r="BH77" i="51"/>
  <c r="BG77" i="51"/>
  <c r="BF77" i="51"/>
  <c r="BE77" i="51"/>
  <c r="BD77" i="51"/>
  <c r="BC77" i="51"/>
  <c r="BB77" i="51"/>
  <c r="BA77" i="51"/>
  <c r="AZ77" i="51"/>
  <c r="AY77" i="51"/>
  <c r="AX77" i="51"/>
  <c r="AW77" i="51"/>
  <c r="AV77" i="51"/>
  <c r="AU77" i="51"/>
  <c r="AT77" i="51"/>
  <c r="AS77" i="51"/>
  <c r="AR77" i="51"/>
  <c r="AQ77" i="51"/>
  <c r="AP77" i="51"/>
  <c r="AO77" i="51"/>
  <c r="AN77" i="51"/>
  <c r="AM77" i="51"/>
  <c r="AL77" i="51"/>
  <c r="AK77" i="51"/>
  <c r="AJ77" i="51"/>
  <c r="AI77" i="51"/>
  <c r="AH77" i="51"/>
  <c r="AG77" i="51"/>
  <c r="AF77" i="51"/>
  <c r="AE77" i="51"/>
  <c r="AD77" i="51"/>
  <c r="AC77" i="51"/>
  <c r="AB77" i="51"/>
  <c r="AA77" i="51"/>
  <c r="Z77" i="51"/>
  <c r="Y77" i="51"/>
  <c r="X77" i="51"/>
  <c r="W77" i="51"/>
  <c r="V77" i="51"/>
  <c r="U77" i="51"/>
  <c r="T77" i="51"/>
  <c r="S77" i="51"/>
  <c r="R77" i="51"/>
  <c r="Q77" i="51"/>
  <c r="P77" i="51"/>
  <c r="O77" i="51"/>
  <c r="N77" i="51"/>
  <c r="M77" i="51"/>
  <c r="L77" i="51"/>
  <c r="K77" i="51"/>
  <c r="J77" i="51"/>
  <c r="I77" i="51"/>
  <c r="H77" i="51"/>
  <c r="G77" i="51"/>
  <c r="F77" i="51"/>
  <c r="IV76" i="51"/>
  <c r="IU76" i="51"/>
  <c r="IT76" i="51"/>
  <c r="IS76" i="51"/>
  <c r="IR76" i="51"/>
  <c r="IQ76" i="51"/>
  <c r="IP76" i="51"/>
  <c r="IO76" i="51"/>
  <c r="IN76" i="51"/>
  <c r="IM76" i="51"/>
  <c r="IL76" i="51"/>
  <c r="IK76" i="51"/>
  <c r="IJ76" i="51"/>
  <c r="II76" i="51"/>
  <c r="IH76" i="51"/>
  <c r="IG76" i="51"/>
  <c r="IF76" i="51"/>
  <c r="IE76" i="51"/>
  <c r="ID76" i="51"/>
  <c r="IC76" i="51"/>
  <c r="IB76" i="51"/>
  <c r="IA76" i="51"/>
  <c r="HZ76" i="51"/>
  <c r="HY76" i="51"/>
  <c r="HX76" i="51"/>
  <c r="HW76" i="51"/>
  <c r="HV76" i="51"/>
  <c r="HU76" i="51"/>
  <c r="HT76" i="51"/>
  <c r="HS76" i="51"/>
  <c r="HR76" i="51"/>
  <c r="HQ76" i="51"/>
  <c r="HP76" i="51"/>
  <c r="HO76" i="51"/>
  <c r="HN76" i="51"/>
  <c r="HM76" i="51"/>
  <c r="HL76" i="51"/>
  <c r="HK76" i="51"/>
  <c r="HJ76" i="51"/>
  <c r="HI76" i="51"/>
  <c r="HH76" i="51"/>
  <c r="HG76" i="51"/>
  <c r="HF76" i="51"/>
  <c r="HE76" i="51"/>
  <c r="HD76" i="51"/>
  <c r="HC76" i="51"/>
  <c r="HB76" i="51"/>
  <c r="HA76" i="51"/>
  <c r="GZ76" i="51"/>
  <c r="GY76" i="51"/>
  <c r="GX76" i="51"/>
  <c r="GW76" i="51"/>
  <c r="GV76" i="51"/>
  <c r="GU76" i="51"/>
  <c r="GT76" i="51"/>
  <c r="GS76" i="51"/>
  <c r="GR76" i="51"/>
  <c r="GQ76" i="51"/>
  <c r="GP76" i="51"/>
  <c r="GO76" i="51"/>
  <c r="GN76" i="51"/>
  <c r="GM76" i="51"/>
  <c r="GL76" i="51"/>
  <c r="GK76" i="51"/>
  <c r="GJ76" i="51"/>
  <c r="GI76" i="51"/>
  <c r="GH76" i="51"/>
  <c r="GG76" i="51"/>
  <c r="GF76" i="51"/>
  <c r="GE76" i="51"/>
  <c r="GD76" i="51"/>
  <c r="GC76" i="51"/>
  <c r="GB76" i="51"/>
  <c r="GA76" i="51"/>
  <c r="FZ76" i="51"/>
  <c r="FY76" i="51"/>
  <c r="FX76" i="51"/>
  <c r="FW76" i="51"/>
  <c r="FV76" i="51"/>
  <c r="FU76" i="51"/>
  <c r="FT76" i="51"/>
  <c r="FS76" i="51"/>
  <c r="FR76" i="51"/>
  <c r="FQ76" i="51"/>
  <c r="FP76" i="51"/>
  <c r="FO76" i="51"/>
  <c r="FN76" i="51"/>
  <c r="FM76" i="51"/>
  <c r="FL76" i="51"/>
  <c r="FK76" i="51"/>
  <c r="FJ76" i="51"/>
  <c r="FI76" i="51"/>
  <c r="FH76" i="51"/>
  <c r="FG76" i="51"/>
  <c r="FF76" i="51"/>
  <c r="FE76" i="51"/>
  <c r="FD76" i="51"/>
  <c r="FC76" i="51"/>
  <c r="FB76" i="51"/>
  <c r="FA76" i="51"/>
  <c r="EZ76" i="51"/>
  <c r="EY76" i="51"/>
  <c r="EX76" i="51"/>
  <c r="EW76" i="51"/>
  <c r="EV76" i="51"/>
  <c r="EU76" i="51"/>
  <c r="ET76" i="51"/>
  <c r="ES76" i="51"/>
  <c r="ER76" i="51"/>
  <c r="EQ76" i="51"/>
  <c r="EP76" i="51"/>
  <c r="EO76" i="51"/>
  <c r="EN76" i="51"/>
  <c r="EM76" i="51"/>
  <c r="EL76" i="51"/>
  <c r="EK76" i="51"/>
  <c r="EJ76" i="51"/>
  <c r="EI76" i="51"/>
  <c r="EH76" i="51"/>
  <c r="EG76" i="51"/>
  <c r="EF76" i="51"/>
  <c r="EE76" i="51"/>
  <c r="ED76" i="51"/>
  <c r="EC76" i="51"/>
  <c r="EB76" i="51"/>
  <c r="EA76" i="51"/>
  <c r="DZ76" i="51"/>
  <c r="DY76" i="51"/>
  <c r="DX76" i="51"/>
  <c r="DW76" i="51"/>
  <c r="DV76" i="51"/>
  <c r="DU76" i="51"/>
  <c r="DT76" i="51"/>
  <c r="DS76" i="51"/>
  <c r="DR76" i="51"/>
  <c r="DQ76" i="51"/>
  <c r="DP76" i="51"/>
  <c r="DO76" i="51"/>
  <c r="DN76" i="51"/>
  <c r="DM76" i="51"/>
  <c r="DL76" i="51"/>
  <c r="DK76" i="51"/>
  <c r="DJ76" i="51"/>
  <c r="DI76" i="51"/>
  <c r="DH76" i="51"/>
  <c r="DG76" i="51"/>
  <c r="DF76" i="51"/>
  <c r="DE76" i="51"/>
  <c r="DD76" i="51"/>
  <c r="DC76" i="51"/>
  <c r="DB76" i="51"/>
  <c r="DA76" i="51"/>
  <c r="CZ76" i="51"/>
  <c r="CY76" i="51"/>
  <c r="CX76" i="51"/>
  <c r="CW76" i="51"/>
  <c r="CV76" i="51"/>
  <c r="CU76" i="51"/>
  <c r="CT76" i="51"/>
  <c r="CS76" i="51"/>
  <c r="CR76" i="51"/>
  <c r="CQ76" i="51"/>
  <c r="CP76" i="51"/>
  <c r="CO76" i="51"/>
  <c r="CN76" i="51"/>
  <c r="CM76" i="51"/>
  <c r="CL76" i="51"/>
  <c r="CK76" i="51"/>
  <c r="CJ76" i="51"/>
  <c r="CI76" i="51"/>
  <c r="CH76" i="51"/>
  <c r="CG76" i="51"/>
  <c r="CF76" i="51"/>
  <c r="CE76" i="51"/>
  <c r="CD76" i="51"/>
  <c r="CC76" i="51"/>
  <c r="CB76" i="51"/>
  <c r="CA76" i="51"/>
  <c r="BZ76" i="51"/>
  <c r="BY76" i="51"/>
  <c r="BX76" i="51"/>
  <c r="BW76" i="51"/>
  <c r="BV76" i="51"/>
  <c r="BU76" i="51"/>
  <c r="BT76" i="51"/>
  <c r="BS76" i="51"/>
  <c r="BR76" i="51"/>
  <c r="BQ76" i="51"/>
  <c r="BP76" i="51"/>
  <c r="BO76" i="51"/>
  <c r="BN76" i="51"/>
  <c r="BM76" i="51"/>
  <c r="BL76" i="51"/>
  <c r="BK76" i="51"/>
  <c r="BJ76" i="51"/>
  <c r="BI76" i="51"/>
  <c r="BH76" i="51"/>
  <c r="BG76" i="51"/>
  <c r="BF76" i="51"/>
  <c r="BE76" i="51"/>
  <c r="BD76" i="51"/>
  <c r="BC76" i="51"/>
  <c r="BB76" i="51"/>
  <c r="BA76" i="51"/>
  <c r="AZ76" i="51"/>
  <c r="AY76" i="51"/>
  <c r="AX76" i="51"/>
  <c r="AW76" i="51"/>
  <c r="AV76" i="51"/>
  <c r="AU76" i="51"/>
  <c r="AT76" i="51"/>
  <c r="AS76" i="51"/>
  <c r="AR76" i="51"/>
  <c r="AQ76" i="51"/>
  <c r="AP76" i="51"/>
  <c r="AO76" i="51"/>
  <c r="AN76" i="51"/>
  <c r="AM76" i="51"/>
  <c r="AL76" i="51"/>
  <c r="AK76" i="51"/>
  <c r="AJ76" i="51"/>
  <c r="AI76" i="51"/>
  <c r="AH76" i="51"/>
  <c r="AG76" i="51"/>
  <c r="AF76" i="51"/>
  <c r="AE76" i="51"/>
  <c r="AD76" i="51"/>
  <c r="AC76" i="51"/>
  <c r="AB76" i="51"/>
  <c r="AA76" i="51"/>
  <c r="Z76" i="51"/>
  <c r="Y76" i="51"/>
  <c r="X76" i="51"/>
  <c r="W76" i="51"/>
  <c r="V76" i="51"/>
  <c r="U76" i="51"/>
  <c r="T76" i="51"/>
  <c r="S76" i="51"/>
  <c r="R76" i="51"/>
  <c r="Q76" i="51"/>
  <c r="P76" i="51"/>
  <c r="O76" i="51"/>
  <c r="N76" i="51"/>
  <c r="M76" i="51"/>
  <c r="L76" i="51"/>
  <c r="K76" i="51"/>
  <c r="J76" i="51"/>
  <c r="I76" i="51"/>
  <c r="H76" i="51"/>
  <c r="G76" i="51"/>
  <c r="F76" i="51"/>
  <c r="IV75" i="51"/>
  <c r="IU75" i="51"/>
  <c r="IT75" i="51"/>
  <c r="IS75" i="51"/>
  <c r="IR75" i="51"/>
  <c r="IQ75" i="51"/>
  <c r="IP75" i="51"/>
  <c r="IO75" i="51"/>
  <c r="IN75" i="51"/>
  <c r="IM75" i="51"/>
  <c r="IL75" i="51"/>
  <c r="IK75" i="51"/>
  <c r="IJ75" i="51"/>
  <c r="II75" i="51"/>
  <c r="IH75" i="51"/>
  <c r="IG75" i="51"/>
  <c r="IF75" i="51"/>
  <c r="IE75" i="51"/>
  <c r="ID75" i="51"/>
  <c r="IC75" i="51"/>
  <c r="IB75" i="51"/>
  <c r="IA75" i="51"/>
  <c r="HZ75" i="51"/>
  <c r="HY75" i="51"/>
  <c r="HX75" i="51"/>
  <c r="HW75" i="51"/>
  <c r="HV75" i="51"/>
  <c r="HU75" i="51"/>
  <c r="HT75" i="51"/>
  <c r="HS75" i="51"/>
  <c r="HR75" i="51"/>
  <c r="HQ75" i="51"/>
  <c r="HP75" i="51"/>
  <c r="HO75" i="51"/>
  <c r="HN75" i="51"/>
  <c r="HM75" i="51"/>
  <c r="HL75" i="51"/>
  <c r="HK75" i="51"/>
  <c r="HJ75" i="51"/>
  <c r="HI75" i="51"/>
  <c r="HH75" i="51"/>
  <c r="HG75" i="51"/>
  <c r="HF75" i="51"/>
  <c r="HE75" i="51"/>
  <c r="HD75" i="51"/>
  <c r="HC75" i="51"/>
  <c r="HB75" i="51"/>
  <c r="HA75" i="51"/>
  <c r="GZ75" i="51"/>
  <c r="GY75" i="51"/>
  <c r="GX75" i="51"/>
  <c r="GW75" i="51"/>
  <c r="GV75" i="51"/>
  <c r="GU75" i="51"/>
  <c r="GT75" i="51"/>
  <c r="GS75" i="51"/>
  <c r="GR75" i="51"/>
  <c r="GQ75" i="51"/>
  <c r="GP75" i="51"/>
  <c r="GO75" i="51"/>
  <c r="GN75" i="51"/>
  <c r="GM75" i="51"/>
  <c r="GL75" i="51"/>
  <c r="GK75" i="51"/>
  <c r="GJ75" i="51"/>
  <c r="GI75" i="51"/>
  <c r="GH75" i="51"/>
  <c r="GG75" i="51"/>
  <c r="GF75" i="51"/>
  <c r="GE75" i="51"/>
  <c r="GD75" i="51"/>
  <c r="GC75" i="51"/>
  <c r="GB75" i="51"/>
  <c r="GA75" i="51"/>
  <c r="FZ75" i="51"/>
  <c r="FY75" i="51"/>
  <c r="FX75" i="51"/>
  <c r="FW75" i="51"/>
  <c r="FV75" i="51"/>
  <c r="FU75" i="51"/>
  <c r="FT75" i="51"/>
  <c r="FS75" i="51"/>
  <c r="FR75" i="51"/>
  <c r="FQ75" i="51"/>
  <c r="FP75" i="51"/>
  <c r="FO75" i="51"/>
  <c r="FN75" i="51"/>
  <c r="FM75" i="51"/>
  <c r="FL75" i="51"/>
  <c r="FK75" i="51"/>
  <c r="FJ75" i="51"/>
  <c r="FI75" i="51"/>
  <c r="FH75" i="51"/>
  <c r="FG75" i="51"/>
  <c r="FF75" i="51"/>
  <c r="FE75" i="51"/>
  <c r="FD75" i="51"/>
  <c r="FC75" i="51"/>
  <c r="FB75" i="51"/>
  <c r="FA75" i="51"/>
  <c r="EZ75" i="51"/>
  <c r="EY75" i="51"/>
  <c r="EX75" i="51"/>
  <c r="EW75" i="51"/>
  <c r="EV75" i="51"/>
  <c r="EU75" i="51"/>
  <c r="ET75" i="51"/>
  <c r="ES75" i="51"/>
  <c r="ER75" i="51"/>
  <c r="EQ75" i="51"/>
  <c r="EP75" i="51"/>
  <c r="EO75" i="51"/>
  <c r="EN75" i="51"/>
  <c r="EM75" i="51"/>
  <c r="EL75" i="51"/>
  <c r="EK75" i="51"/>
  <c r="EJ75" i="51"/>
  <c r="EI75" i="51"/>
  <c r="EH75" i="51"/>
  <c r="EG75" i="51"/>
  <c r="EF75" i="51"/>
  <c r="EE75" i="51"/>
  <c r="ED75" i="51"/>
  <c r="EC75" i="51"/>
  <c r="EB75" i="51"/>
  <c r="EA75" i="51"/>
  <c r="DZ75" i="51"/>
  <c r="DY75" i="51"/>
  <c r="DX75" i="51"/>
  <c r="DW75" i="51"/>
  <c r="DV75" i="51"/>
  <c r="DU75" i="51"/>
  <c r="DT75" i="51"/>
  <c r="DS75" i="51"/>
  <c r="DR75" i="51"/>
  <c r="DQ75" i="51"/>
  <c r="DP75" i="51"/>
  <c r="DO75" i="51"/>
  <c r="DN75" i="51"/>
  <c r="DM75" i="51"/>
  <c r="DL75" i="51"/>
  <c r="DK75" i="51"/>
  <c r="DJ75" i="51"/>
  <c r="DI75" i="51"/>
  <c r="DH75" i="51"/>
  <c r="DG75" i="51"/>
  <c r="DF75" i="51"/>
  <c r="DE75" i="51"/>
  <c r="DD75" i="51"/>
  <c r="DC75" i="51"/>
  <c r="DB75" i="51"/>
  <c r="DA75" i="51"/>
  <c r="CZ75" i="51"/>
  <c r="CY75" i="51"/>
  <c r="CX75" i="51"/>
  <c r="CW75" i="51"/>
  <c r="CV75" i="51"/>
  <c r="CU75" i="51"/>
  <c r="CT75" i="51"/>
  <c r="CS75" i="51"/>
  <c r="CR75" i="51"/>
  <c r="CQ75" i="51"/>
  <c r="CP75" i="51"/>
  <c r="CO75" i="51"/>
  <c r="CN75" i="51"/>
  <c r="CM75" i="51"/>
  <c r="CL75" i="51"/>
  <c r="CK75" i="51"/>
  <c r="CJ75" i="51"/>
  <c r="CI75" i="51"/>
  <c r="CH75" i="51"/>
  <c r="CG75" i="51"/>
  <c r="CF75" i="51"/>
  <c r="CE75" i="51"/>
  <c r="CD75" i="51"/>
  <c r="CC75" i="51"/>
  <c r="CB75" i="51"/>
  <c r="CA75" i="51"/>
  <c r="BZ75" i="51"/>
  <c r="BY75" i="51"/>
  <c r="BX75" i="51"/>
  <c r="BW75" i="51"/>
  <c r="BV75" i="51"/>
  <c r="BU75" i="51"/>
  <c r="BT75" i="51"/>
  <c r="BS75" i="51"/>
  <c r="BR75" i="51"/>
  <c r="BQ75" i="51"/>
  <c r="BP75" i="51"/>
  <c r="BO75" i="51"/>
  <c r="BN75" i="51"/>
  <c r="BM75" i="51"/>
  <c r="BL75" i="51"/>
  <c r="BK75" i="51"/>
  <c r="BJ75" i="51"/>
  <c r="BI75" i="51"/>
  <c r="BH75" i="51"/>
  <c r="BG75" i="51"/>
  <c r="BF75" i="51"/>
  <c r="BE75" i="51"/>
  <c r="BD75" i="51"/>
  <c r="BC75" i="51"/>
  <c r="BB75" i="51"/>
  <c r="BA75" i="51"/>
  <c r="AZ75" i="51"/>
  <c r="AY75" i="51"/>
  <c r="AX75" i="51"/>
  <c r="AW75" i="51"/>
  <c r="AV75" i="51"/>
  <c r="AU75" i="51"/>
  <c r="AT75" i="51"/>
  <c r="AS75" i="51"/>
  <c r="AR75" i="51"/>
  <c r="AQ75" i="51"/>
  <c r="AP75" i="51"/>
  <c r="AO75" i="51"/>
  <c r="AN75" i="51"/>
  <c r="AM75" i="51"/>
  <c r="AL75" i="51"/>
  <c r="AK75" i="51"/>
  <c r="AJ75" i="51"/>
  <c r="AI75" i="51"/>
  <c r="AH75" i="51"/>
  <c r="AG75" i="51"/>
  <c r="AF75" i="51"/>
  <c r="AE75" i="51"/>
  <c r="AD75" i="51"/>
  <c r="AC75" i="51"/>
  <c r="AB75" i="51"/>
  <c r="AA75" i="51"/>
  <c r="Z75" i="51"/>
  <c r="Y75" i="51"/>
  <c r="X75" i="51"/>
  <c r="W75" i="51"/>
  <c r="V75" i="51"/>
  <c r="U75" i="51"/>
  <c r="T75" i="51"/>
  <c r="S75" i="51"/>
  <c r="R75" i="51"/>
  <c r="Q75" i="51"/>
  <c r="P75" i="51"/>
  <c r="O75" i="51"/>
  <c r="N75" i="51"/>
  <c r="M75" i="51"/>
  <c r="L75" i="51"/>
  <c r="K75" i="51"/>
  <c r="J75" i="51"/>
  <c r="I75" i="51"/>
  <c r="H75" i="51"/>
  <c r="G75" i="51"/>
  <c r="F75" i="51"/>
  <c r="IV74" i="51"/>
  <c r="IU74" i="51"/>
  <c r="IT74" i="51"/>
  <c r="IS74" i="51"/>
  <c r="IR74" i="51"/>
  <c r="IQ74" i="51"/>
  <c r="IP74" i="51"/>
  <c r="IO74" i="51"/>
  <c r="IN74" i="51"/>
  <c r="IM74" i="51"/>
  <c r="IL74" i="51"/>
  <c r="IK74" i="51"/>
  <c r="IJ74" i="51"/>
  <c r="II74" i="51"/>
  <c r="IH74" i="51"/>
  <c r="IG74" i="51"/>
  <c r="IF74" i="51"/>
  <c r="IE74" i="51"/>
  <c r="ID74" i="51"/>
  <c r="IC74" i="51"/>
  <c r="IB74" i="51"/>
  <c r="IA74" i="51"/>
  <c r="HZ74" i="51"/>
  <c r="HY74" i="51"/>
  <c r="HX74" i="51"/>
  <c r="HW74" i="51"/>
  <c r="HV74" i="51"/>
  <c r="HU74" i="51"/>
  <c r="HT74" i="51"/>
  <c r="HS74" i="51"/>
  <c r="HR74" i="51"/>
  <c r="HQ74" i="51"/>
  <c r="HP74" i="51"/>
  <c r="HO74" i="51"/>
  <c r="HN74" i="51"/>
  <c r="HM74" i="51"/>
  <c r="HL74" i="51"/>
  <c r="HK74" i="51"/>
  <c r="HJ74" i="51"/>
  <c r="HI74" i="51"/>
  <c r="HH74" i="51"/>
  <c r="HG74" i="51"/>
  <c r="HF74" i="51"/>
  <c r="HE74" i="51"/>
  <c r="HD74" i="51"/>
  <c r="HC74" i="51"/>
  <c r="HB74" i="51"/>
  <c r="HA74" i="51"/>
  <c r="GZ74" i="51"/>
  <c r="GY74" i="51"/>
  <c r="GX74" i="51"/>
  <c r="GW74" i="51"/>
  <c r="GV74" i="51"/>
  <c r="GU74" i="51"/>
  <c r="GT74" i="51"/>
  <c r="GS74" i="51"/>
  <c r="GR74" i="51"/>
  <c r="GQ74" i="51"/>
  <c r="GP74" i="51"/>
  <c r="GO74" i="51"/>
  <c r="GN74" i="51"/>
  <c r="GM74" i="51"/>
  <c r="GL74" i="51"/>
  <c r="GK74" i="51"/>
  <c r="GJ74" i="51"/>
  <c r="GI74" i="51"/>
  <c r="GH74" i="51"/>
  <c r="GG74" i="51"/>
  <c r="GF74" i="51"/>
  <c r="GE74" i="51"/>
  <c r="GD74" i="51"/>
  <c r="GC74" i="51"/>
  <c r="GB74" i="51"/>
  <c r="GA74" i="51"/>
  <c r="FZ74" i="51"/>
  <c r="FY74" i="51"/>
  <c r="FX74" i="51"/>
  <c r="FW74" i="51"/>
  <c r="FV74" i="51"/>
  <c r="FU74" i="51"/>
  <c r="FT74" i="51"/>
  <c r="FS74" i="51"/>
  <c r="FR74" i="51"/>
  <c r="FQ74" i="51"/>
  <c r="FP74" i="51"/>
  <c r="FO74" i="51"/>
  <c r="FN74" i="51"/>
  <c r="FM74" i="51"/>
  <c r="FL74" i="51"/>
  <c r="FK74" i="51"/>
  <c r="FJ74" i="51"/>
  <c r="FI74" i="51"/>
  <c r="FH74" i="51"/>
  <c r="FG74" i="51"/>
  <c r="FF74" i="51"/>
  <c r="FE74" i="51"/>
  <c r="FD74" i="51"/>
  <c r="FC74" i="51"/>
  <c r="FB74" i="51"/>
  <c r="FA74" i="51"/>
  <c r="EZ74" i="51"/>
  <c r="EY74" i="51"/>
  <c r="EX74" i="51"/>
  <c r="EW74" i="51"/>
  <c r="EV74" i="51"/>
  <c r="EU74" i="51"/>
  <c r="ET74" i="51"/>
  <c r="ES74" i="51"/>
  <c r="ER74" i="51"/>
  <c r="EQ74" i="51"/>
  <c r="EP74" i="51"/>
  <c r="EO74" i="51"/>
  <c r="EN74" i="51"/>
  <c r="EM74" i="51"/>
  <c r="EL74" i="51"/>
  <c r="EK74" i="51"/>
  <c r="EJ74" i="51"/>
  <c r="EI74" i="51"/>
  <c r="EH74" i="51"/>
  <c r="EG74" i="51"/>
  <c r="EF74" i="51"/>
  <c r="EE74" i="51"/>
  <c r="ED74" i="51"/>
  <c r="EC74" i="51"/>
  <c r="EB74" i="51"/>
  <c r="EA74" i="51"/>
  <c r="DZ74" i="51"/>
  <c r="DY74" i="51"/>
  <c r="DX74" i="51"/>
  <c r="DW74" i="51"/>
  <c r="DV74" i="51"/>
  <c r="DU74" i="51"/>
  <c r="DT74" i="51"/>
  <c r="DS74" i="51"/>
  <c r="DR74" i="51"/>
  <c r="DQ74" i="51"/>
  <c r="DP74" i="51"/>
  <c r="DO74" i="51"/>
  <c r="DN74" i="51"/>
  <c r="DM74" i="51"/>
  <c r="DL74" i="51"/>
  <c r="DK74" i="51"/>
  <c r="DJ74" i="51"/>
  <c r="DI74" i="51"/>
  <c r="DH74" i="51"/>
  <c r="DG74" i="51"/>
  <c r="DF74" i="51"/>
  <c r="DE74" i="51"/>
  <c r="DD74" i="51"/>
  <c r="DC74" i="51"/>
  <c r="DB74" i="51"/>
  <c r="DA74" i="51"/>
  <c r="CZ74" i="51"/>
  <c r="CY74" i="51"/>
  <c r="CX74" i="51"/>
  <c r="CW74" i="51"/>
  <c r="CV74" i="51"/>
  <c r="CU74" i="51"/>
  <c r="CT74" i="51"/>
  <c r="CS74" i="51"/>
  <c r="CR74" i="51"/>
  <c r="CQ74" i="51"/>
  <c r="CP74" i="51"/>
  <c r="CO74" i="51"/>
  <c r="CN74" i="51"/>
  <c r="CM74" i="51"/>
  <c r="CL74" i="51"/>
  <c r="CK74" i="51"/>
  <c r="CJ74" i="51"/>
  <c r="CI74" i="51"/>
  <c r="CH74" i="51"/>
  <c r="CG74" i="51"/>
  <c r="CF74" i="51"/>
  <c r="CE74" i="51"/>
  <c r="CD74" i="51"/>
  <c r="CC74" i="51"/>
  <c r="CB74" i="51"/>
  <c r="CA74" i="51"/>
  <c r="BZ74" i="51"/>
  <c r="BY74" i="51"/>
  <c r="BX74" i="51"/>
  <c r="BW74" i="51"/>
  <c r="BV74" i="51"/>
  <c r="BU74" i="51"/>
  <c r="BT74" i="51"/>
  <c r="BS74" i="51"/>
  <c r="BR74" i="51"/>
  <c r="BQ74" i="51"/>
  <c r="BP74" i="51"/>
  <c r="BO74" i="51"/>
  <c r="BN74" i="51"/>
  <c r="BM74" i="51"/>
  <c r="BL74" i="51"/>
  <c r="BK74" i="51"/>
  <c r="BJ74" i="51"/>
  <c r="BI74" i="51"/>
  <c r="BH74" i="51"/>
  <c r="BG74" i="51"/>
  <c r="BF74" i="51"/>
  <c r="BE74" i="51"/>
  <c r="BD74" i="51"/>
  <c r="BC74" i="51"/>
  <c r="BB74" i="51"/>
  <c r="BA74" i="51"/>
  <c r="AZ74" i="51"/>
  <c r="AY74" i="51"/>
  <c r="AX74" i="51"/>
  <c r="AW74" i="51"/>
  <c r="AV74" i="51"/>
  <c r="AU74" i="51"/>
  <c r="AT74" i="51"/>
  <c r="AS74" i="51"/>
  <c r="AR74" i="51"/>
  <c r="AQ74" i="51"/>
  <c r="AP74" i="51"/>
  <c r="AO74" i="51"/>
  <c r="AN74" i="51"/>
  <c r="AM74" i="51"/>
  <c r="AL74" i="51"/>
  <c r="AK74" i="51"/>
  <c r="AJ74" i="51"/>
  <c r="AI74" i="51"/>
  <c r="AH74" i="51"/>
  <c r="AG74" i="51"/>
  <c r="AF74" i="51"/>
  <c r="AE74" i="51"/>
  <c r="AD74" i="51"/>
  <c r="AC74" i="51"/>
  <c r="AB74" i="51"/>
  <c r="AA74" i="51"/>
  <c r="Z74" i="51"/>
  <c r="Y74" i="51"/>
  <c r="X74" i="51"/>
  <c r="W74" i="51"/>
  <c r="V74" i="51"/>
  <c r="U74" i="51"/>
  <c r="T74" i="51"/>
  <c r="S74" i="51"/>
  <c r="R74" i="51"/>
  <c r="Q74" i="51"/>
  <c r="P74" i="51"/>
  <c r="O74" i="51"/>
  <c r="N74" i="51"/>
  <c r="M74" i="51"/>
  <c r="L74" i="51"/>
  <c r="K74" i="51"/>
  <c r="J74" i="51"/>
  <c r="I74" i="51"/>
  <c r="H74" i="51"/>
  <c r="G74" i="51"/>
  <c r="F74" i="51"/>
  <c r="IV73" i="51"/>
  <c r="IU73" i="51"/>
  <c r="IT73" i="51"/>
  <c r="IS73" i="51"/>
  <c r="IR73" i="51"/>
  <c r="IQ73" i="51"/>
  <c r="IP73" i="51"/>
  <c r="IO73" i="51"/>
  <c r="IN73" i="51"/>
  <c r="IM73" i="51"/>
  <c r="IL73" i="51"/>
  <c r="IK73" i="51"/>
  <c r="IJ73" i="51"/>
  <c r="II73" i="51"/>
  <c r="IH73" i="51"/>
  <c r="IG73" i="51"/>
  <c r="IF73" i="51"/>
  <c r="IE73" i="51"/>
  <c r="ID73" i="51"/>
  <c r="IC73" i="51"/>
  <c r="IB73" i="51"/>
  <c r="IA73" i="51"/>
  <c r="HZ73" i="51"/>
  <c r="HY73" i="51"/>
  <c r="HX73" i="51"/>
  <c r="HW73" i="51"/>
  <c r="HV73" i="51"/>
  <c r="HU73" i="51"/>
  <c r="HT73" i="51"/>
  <c r="HS73" i="51"/>
  <c r="HR73" i="51"/>
  <c r="HQ73" i="51"/>
  <c r="HP73" i="51"/>
  <c r="HO73" i="51"/>
  <c r="HN73" i="51"/>
  <c r="HM73" i="51"/>
  <c r="HL73" i="51"/>
  <c r="HK73" i="51"/>
  <c r="HJ73" i="51"/>
  <c r="HI73" i="51"/>
  <c r="HH73" i="51"/>
  <c r="HG73" i="51"/>
  <c r="HF73" i="51"/>
  <c r="HE73" i="51"/>
  <c r="HD73" i="51"/>
  <c r="HC73" i="51"/>
  <c r="HB73" i="51"/>
  <c r="HA73" i="51"/>
  <c r="GZ73" i="51"/>
  <c r="GY73" i="51"/>
  <c r="GX73" i="51"/>
  <c r="GW73" i="51"/>
  <c r="GV73" i="51"/>
  <c r="GU73" i="51"/>
  <c r="GT73" i="51"/>
  <c r="GS73" i="51"/>
  <c r="GR73" i="51"/>
  <c r="GQ73" i="51"/>
  <c r="GP73" i="51"/>
  <c r="GO73" i="51"/>
  <c r="GN73" i="51"/>
  <c r="GM73" i="51"/>
  <c r="GL73" i="51"/>
  <c r="GK73" i="51"/>
  <c r="GJ73" i="51"/>
  <c r="GI73" i="51"/>
  <c r="GH73" i="51"/>
  <c r="GG73" i="51"/>
  <c r="GF73" i="51"/>
  <c r="GE73" i="51"/>
  <c r="GD73" i="51"/>
  <c r="GC73" i="51"/>
  <c r="GB73" i="51"/>
  <c r="GA73" i="51"/>
  <c r="FZ73" i="51"/>
  <c r="FY73" i="51"/>
  <c r="FX73" i="51"/>
  <c r="FW73" i="51"/>
  <c r="FV73" i="51"/>
  <c r="FU73" i="51"/>
  <c r="FT73" i="51"/>
  <c r="FS73" i="51"/>
  <c r="FR73" i="51"/>
  <c r="FQ73" i="51"/>
  <c r="FP73" i="51"/>
  <c r="FO73" i="51"/>
  <c r="FN73" i="51"/>
  <c r="FM73" i="51"/>
  <c r="FL73" i="51"/>
  <c r="FK73" i="51"/>
  <c r="FJ73" i="51"/>
  <c r="FI73" i="51"/>
  <c r="FH73" i="51"/>
  <c r="FG73" i="51"/>
  <c r="FF73" i="51"/>
  <c r="FE73" i="51"/>
  <c r="FD73" i="51"/>
  <c r="FC73" i="51"/>
  <c r="FB73" i="51"/>
  <c r="FA73" i="51"/>
  <c r="EZ73" i="51"/>
  <c r="EY73" i="51"/>
  <c r="EX73" i="51"/>
  <c r="EW73" i="51"/>
  <c r="EV73" i="51"/>
  <c r="EU73" i="51"/>
  <c r="ET73" i="51"/>
  <c r="ES73" i="51"/>
  <c r="ER73" i="51"/>
  <c r="EQ73" i="51"/>
  <c r="EP73" i="51"/>
  <c r="EO73" i="51"/>
  <c r="EN73" i="51"/>
  <c r="EM73" i="51"/>
  <c r="EL73" i="51"/>
  <c r="EK73" i="51"/>
  <c r="EJ73" i="51"/>
  <c r="EI73" i="51"/>
  <c r="EH73" i="51"/>
  <c r="EG73" i="51"/>
  <c r="EF73" i="51"/>
  <c r="EE73" i="51"/>
  <c r="ED73" i="51"/>
  <c r="EC73" i="51"/>
  <c r="EB73" i="51"/>
  <c r="EA73" i="51"/>
  <c r="DZ73" i="51"/>
  <c r="DY73" i="51"/>
  <c r="DX73" i="51"/>
  <c r="DW73" i="51"/>
  <c r="DV73" i="51"/>
  <c r="DU73" i="51"/>
  <c r="DT73" i="51"/>
  <c r="DS73" i="51"/>
  <c r="DR73" i="51"/>
  <c r="DQ73" i="51"/>
  <c r="DP73" i="51"/>
  <c r="DO73" i="51"/>
  <c r="DN73" i="51"/>
  <c r="DM73" i="51"/>
  <c r="DL73" i="51"/>
  <c r="DK73" i="51"/>
  <c r="DJ73" i="51"/>
  <c r="DI73" i="51"/>
  <c r="DH73" i="51"/>
  <c r="DG73" i="51"/>
  <c r="DF73" i="51"/>
  <c r="DE73" i="51"/>
  <c r="DD73" i="51"/>
  <c r="DC73" i="51"/>
  <c r="DB73" i="51"/>
  <c r="DA73" i="51"/>
  <c r="CZ73" i="51"/>
  <c r="CY73" i="51"/>
  <c r="CX73" i="51"/>
  <c r="CW73" i="51"/>
  <c r="CV73" i="51"/>
  <c r="CU73" i="51"/>
  <c r="CT73" i="51"/>
  <c r="CS73" i="51"/>
  <c r="CR73" i="51"/>
  <c r="CQ73" i="51"/>
  <c r="CP73" i="51"/>
  <c r="CO73" i="51"/>
  <c r="CN73" i="51"/>
  <c r="CM73" i="51"/>
  <c r="CL73" i="51"/>
  <c r="CK73" i="51"/>
  <c r="CJ73" i="51"/>
  <c r="CI73" i="51"/>
  <c r="CH73" i="51"/>
  <c r="CG73" i="51"/>
  <c r="CF73" i="51"/>
  <c r="CE73" i="51"/>
  <c r="CD73" i="51"/>
  <c r="CC73" i="51"/>
  <c r="CB73" i="51"/>
  <c r="CA73" i="51"/>
  <c r="BZ73" i="51"/>
  <c r="BY73" i="51"/>
  <c r="BX73" i="51"/>
  <c r="BW73" i="51"/>
  <c r="BV73" i="51"/>
  <c r="BU73" i="51"/>
  <c r="BT73" i="51"/>
  <c r="BS73" i="51"/>
  <c r="BR73" i="51"/>
  <c r="BQ73" i="51"/>
  <c r="BP73" i="51"/>
  <c r="BO73" i="51"/>
  <c r="BN73" i="51"/>
  <c r="BM73" i="51"/>
  <c r="BL73" i="51"/>
  <c r="BK73" i="51"/>
  <c r="BJ73" i="51"/>
  <c r="BI73" i="51"/>
  <c r="BH73" i="51"/>
  <c r="BG73" i="51"/>
  <c r="BF73" i="51"/>
  <c r="BE73" i="51"/>
  <c r="BD73" i="51"/>
  <c r="BC73" i="51"/>
  <c r="BB73" i="51"/>
  <c r="BA73" i="51"/>
  <c r="AZ73" i="51"/>
  <c r="AY73" i="51"/>
  <c r="AX73" i="51"/>
  <c r="AW73" i="51"/>
  <c r="AV73" i="51"/>
  <c r="AU73" i="51"/>
  <c r="AT73" i="51"/>
  <c r="AS73" i="51"/>
  <c r="AR73" i="51"/>
  <c r="AQ73" i="51"/>
  <c r="AP73" i="51"/>
  <c r="AO73" i="51"/>
  <c r="AN73" i="51"/>
  <c r="AM73" i="51"/>
  <c r="AL73" i="51"/>
  <c r="AK73" i="51"/>
  <c r="AJ73" i="51"/>
  <c r="AI73" i="51"/>
  <c r="AH73" i="51"/>
  <c r="AG73" i="51"/>
  <c r="AF73" i="51"/>
  <c r="AE73" i="51"/>
  <c r="AD73" i="51"/>
  <c r="AC73" i="51"/>
  <c r="AB73" i="51"/>
  <c r="AA73" i="51"/>
  <c r="Z73" i="51"/>
  <c r="Y73" i="51"/>
  <c r="X73" i="51"/>
  <c r="W73" i="51"/>
  <c r="V73" i="51"/>
  <c r="U73" i="51"/>
  <c r="T73" i="51"/>
  <c r="S73" i="51"/>
  <c r="R73" i="51"/>
  <c r="Q73" i="51"/>
  <c r="P73" i="51"/>
  <c r="O73" i="51"/>
  <c r="N73" i="51"/>
  <c r="M73" i="51"/>
  <c r="L73" i="51"/>
  <c r="K73" i="51"/>
  <c r="J73" i="51"/>
  <c r="I73" i="51"/>
  <c r="H73" i="51"/>
  <c r="G73" i="51"/>
  <c r="F73" i="51"/>
  <c r="IV72" i="51"/>
  <c r="IU72" i="51"/>
  <c r="IT72" i="51"/>
  <c r="IS72" i="51"/>
  <c r="IR72" i="51"/>
  <c r="IQ72" i="51"/>
  <c r="IP72" i="51"/>
  <c r="IO72" i="51"/>
  <c r="IN72" i="51"/>
  <c r="IM72" i="51"/>
  <c r="IL72" i="51"/>
  <c r="IK72" i="51"/>
  <c r="IJ72" i="51"/>
  <c r="II72" i="51"/>
  <c r="IH72" i="51"/>
  <c r="IG72" i="51"/>
  <c r="IF72" i="51"/>
  <c r="IE72" i="51"/>
  <c r="ID72" i="51"/>
  <c r="IC72" i="51"/>
  <c r="IB72" i="51"/>
  <c r="IA72" i="51"/>
  <c r="HZ72" i="51"/>
  <c r="HY72" i="51"/>
  <c r="HX72" i="51"/>
  <c r="HW72" i="51"/>
  <c r="HV72" i="51"/>
  <c r="HU72" i="51"/>
  <c r="HT72" i="51"/>
  <c r="HS72" i="51"/>
  <c r="HR72" i="51"/>
  <c r="HQ72" i="51"/>
  <c r="HP72" i="51"/>
  <c r="HO72" i="51"/>
  <c r="HN72" i="51"/>
  <c r="HM72" i="51"/>
  <c r="HL72" i="51"/>
  <c r="HK72" i="51"/>
  <c r="HJ72" i="51"/>
  <c r="HI72" i="51"/>
  <c r="HH72" i="51"/>
  <c r="HG72" i="51"/>
  <c r="HF72" i="51"/>
  <c r="HE72" i="51"/>
  <c r="HD72" i="51"/>
  <c r="HC72" i="51"/>
  <c r="HB72" i="51"/>
  <c r="HA72" i="51"/>
  <c r="GZ72" i="51"/>
  <c r="GY72" i="51"/>
  <c r="GX72" i="51"/>
  <c r="GW72" i="51"/>
  <c r="GV72" i="51"/>
  <c r="GU72" i="51"/>
  <c r="GT72" i="51"/>
  <c r="GS72" i="51"/>
  <c r="GR72" i="51"/>
  <c r="GQ72" i="51"/>
  <c r="GP72" i="51"/>
  <c r="GO72" i="51"/>
  <c r="GN72" i="51"/>
  <c r="GM72" i="51"/>
  <c r="GL72" i="51"/>
  <c r="GK72" i="51"/>
  <c r="GJ72" i="51"/>
  <c r="GI72" i="51"/>
  <c r="GH72" i="51"/>
  <c r="GG72" i="51"/>
  <c r="GF72" i="51"/>
  <c r="GE72" i="51"/>
  <c r="GD72" i="51"/>
  <c r="GC72" i="51"/>
  <c r="GB72" i="51"/>
  <c r="GA72" i="51"/>
  <c r="FZ72" i="51"/>
  <c r="FY72" i="51"/>
  <c r="FX72" i="51"/>
  <c r="FW72" i="51"/>
  <c r="FV72" i="51"/>
  <c r="FU72" i="51"/>
  <c r="FT72" i="51"/>
  <c r="FS72" i="51"/>
  <c r="FR72" i="51"/>
  <c r="FQ72" i="51"/>
  <c r="FP72" i="51"/>
  <c r="FO72" i="51"/>
  <c r="FN72" i="51"/>
  <c r="FM72" i="51"/>
  <c r="FL72" i="51"/>
  <c r="FK72" i="51"/>
  <c r="FJ72" i="51"/>
  <c r="FI72" i="51"/>
  <c r="FH72" i="51"/>
  <c r="FG72" i="51"/>
  <c r="FF72" i="51"/>
  <c r="FE72" i="51"/>
  <c r="FD72" i="51"/>
  <c r="FC72" i="51"/>
  <c r="FB72" i="51"/>
  <c r="FA72" i="51"/>
  <c r="EZ72" i="51"/>
  <c r="EY72" i="51"/>
  <c r="EX72" i="51"/>
  <c r="EW72" i="51"/>
  <c r="EV72" i="51"/>
  <c r="EU72" i="51"/>
  <c r="ET72" i="51"/>
  <c r="ES72" i="51"/>
  <c r="ER72" i="51"/>
  <c r="EQ72" i="51"/>
  <c r="EP72" i="51"/>
  <c r="EO72" i="51"/>
  <c r="EN72" i="51"/>
  <c r="EM72" i="51"/>
  <c r="EL72" i="51"/>
  <c r="EK72" i="51"/>
  <c r="EJ72" i="51"/>
  <c r="EI72" i="51"/>
  <c r="EH72" i="51"/>
  <c r="EG72" i="51"/>
  <c r="EF72" i="51"/>
  <c r="EE72" i="51"/>
  <c r="ED72" i="51"/>
  <c r="EC72" i="51"/>
  <c r="EB72" i="51"/>
  <c r="EA72" i="51"/>
  <c r="DZ72" i="51"/>
  <c r="DY72" i="51"/>
  <c r="DX72" i="51"/>
  <c r="DW72" i="51"/>
  <c r="DV72" i="51"/>
  <c r="DU72" i="51"/>
  <c r="DT72" i="51"/>
  <c r="DS72" i="51"/>
  <c r="DR72" i="51"/>
  <c r="DQ72" i="51"/>
  <c r="DP72" i="51"/>
  <c r="DO72" i="51"/>
  <c r="DN72" i="51"/>
  <c r="DM72" i="51"/>
  <c r="DL72" i="51"/>
  <c r="DK72" i="51"/>
  <c r="DJ72" i="51"/>
  <c r="DI72" i="51"/>
  <c r="DH72" i="51"/>
  <c r="DG72" i="51"/>
  <c r="DF72" i="51"/>
  <c r="DE72" i="51"/>
  <c r="DD72" i="51"/>
  <c r="DC72" i="51"/>
  <c r="DB72" i="51"/>
  <c r="DA72" i="51"/>
  <c r="CZ72" i="51"/>
  <c r="CY72" i="51"/>
  <c r="CX72" i="51"/>
  <c r="CW72" i="51"/>
  <c r="CV72" i="51"/>
  <c r="CU72" i="51"/>
  <c r="CT72" i="51"/>
  <c r="CS72" i="51"/>
  <c r="CR72" i="51"/>
  <c r="CQ72" i="51"/>
  <c r="CP72" i="51"/>
  <c r="CO72" i="51"/>
  <c r="CN72" i="51"/>
  <c r="CM72" i="51"/>
  <c r="CL72" i="51"/>
  <c r="CK72" i="51"/>
  <c r="CJ72" i="51"/>
  <c r="CI72" i="51"/>
  <c r="CH72" i="51"/>
  <c r="CG72" i="51"/>
  <c r="CF72" i="51"/>
  <c r="CE72" i="51"/>
  <c r="CD72" i="51"/>
  <c r="CC72" i="51"/>
  <c r="CB72" i="51"/>
  <c r="CA72" i="51"/>
  <c r="BZ72" i="51"/>
  <c r="BY72" i="51"/>
  <c r="BX72" i="51"/>
  <c r="BW72" i="51"/>
  <c r="BV72" i="51"/>
  <c r="BU72" i="51"/>
  <c r="BT72" i="51"/>
  <c r="BS72" i="51"/>
  <c r="BR72" i="51"/>
  <c r="BQ72" i="51"/>
  <c r="BP72" i="51"/>
  <c r="BO72" i="51"/>
  <c r="BN72" i="51"/>
  <c r="BM72" i="51"/>
  <c r="BL72" i="51"/>
  <c r="BK72" i="51"/>
  <c r="BJ72" i="51"/>
  <c r="BI72" i="51"/>
  <c r="BH72" i="51"/>
  <c r="BG72" i="51"/>
  <c r="BF72" i="51"/>
  <c r="BE72" i="51"/>
  <c r="BD72" i="51"/>
  <c r="BC72" i="51"/>
  <c r="BB72" i="51"/>
  <c r="BA72" i="51"/>
  <c r="AZ72" i="51"/>
  <c r="AY72" i="51"/>
  <c r="AX72" i="51"/>
  <c r="AW72" i="51"/>
  <c r="AV72" i="51"/>
  <c r="AU72" i="51"/>
  <c r="AT72" i="51"/>
  <c r="AS72" i="51"/>
  <c r="AR72" i="51"/>
  <c r="AQ72" i="51"/>
  <c r="AP72" i="51"/>
  <c r="AO72" i="51"/>
  <c r="AN72" i="51"/>
  <c r="AM72" i="51"/>
  <c r="AL72" i="51"/>
  <c r="AK72" i="51"/>
  <c r="AJ72" i="51"/>
  <c r="AI72" i="51"/>
  <c r="AH72" i="51"/>
  <c r="AG72" i="51"/>
  <c r="AF72" i="51"/>
  <c r="AE72" i="51"/>
  <c r="AD72" i="51"/>
  <c r="AC72" i="51"/>
  <c r="AB72" i="51"/>
  <c r="AA72" i="51"/>
  <c r="Z72" i="51"/>
  <c r="Y72" i="51"/>
  <c r="X72" i="51"/>
  <c r="W72" i="51"/>
  <c r="V72" i="51"/>
  <c r="U72" i="51"/>
  <c r="T72" i="51"/>
  <c r="S72" i="51"/>
  <c r="R72" i="51"/>
  <c r="Q72" i="51"/>
  <c r="P72" i="51"/>
  <c r="O72" i="51"/>
  <c r="N72" i="51"/>
  <c r="M72" i="51"/>
  <c r="L72" i="51"/>
  <c r="K72" i="51"/>
  <c r="J72" i="51"/>
  <c r="I72" i="51"/>
  <c r="H72" i="51"/>
  <c r="G72" i="51"/>
  <c r="F72" i="51"/>
  <c r="IV71" i="51"/>
  <c r="IU71" i="51"/>
  <c r="IT71" i="51"/>
  <c r="IS71" i="51"/>
  <c r="IR71" i="51"/>
  <c r="IQ71" i="51"/>
  <c r="IP71" i="51"/>
  <c r="IO71" i="51"/>
  <c r="IN71" i="51"/>
  <c r="IM71" i="51"/>
  <c r="IL71" i="51"/>
  <c r="IK71" i="51"/>
  <c r="IJ71" i="51"/>
  <c r="II71" i="51"/>
  <c r="IH71" i="51"/>
  <c r="IG71" i="51"/>
  <c r="IF71" i="51"/>
  <c r="IE71" i="51"/>
  <c r="ID71" i="51"/>
  <c r="IC71" i="51"/>
  <c r="IB71" i="51"/>
  <c r="IA71" i="51"/>
  <c r="HZ71" i="51"/>
  <c r="HY71" i="51"/>
  <c r="HX71" i="51"/>
  <c r="HW71" i="51"/>
  <c r="HV71" i="51"/>
  <c r="HU71" i="51"/>
  <c r="HT71" i="51"/>
  <c r="HS71" i="51"/>
  <c r="HR71" i="51"/>
  <c r="HQ71" i="51"/>
  <c r="HP71" i="51"/>
  <c r="HO71" i="51"/>
  <c r="HN71" i="51"/>
  <c r="HM71" i="51"/>
  <c r="HL71" i="51"/>
  <c r="HK71" i="51"/>
  <c r="HJ71" i="51"/>
  <c r="HI71" i="51"/>
  <c r="HH71" i="51"/>
  <c r="HG71" i="51"/>
  <c r="HF71" i="51"/>
  <c r="HE71" i="51"/>
  <c r="HD71" i="51"/>
  <c r="HC71" i="51"/>
  <c r="HB71" i="51"/>
  <c r="HA71" i="51"/>
  <c r="GZ71" i="51"/>
  <c r="GY71" i="51"/>
  <c r="GX71" i="51"/>
  <c r="GW71" i="51"/>
  <c r="GV71" i="51"/>
  <c r="GU71" i="51"/>
  <c r="GT71" i="51"/>
  <c r="GS71" i="51"/>
  <c r="GR71" i="51"/>
  <c r="GQ71" i="51"/>
  <c r="GP71" i="51"/>
  <c r="GO71" i="51"/>
  <c r="GN71" i="51"/>
  <c r="GM71" i="51"/>
  <c r="GL71" i="51"/>
  <c r="GK71" i="51"/>
  <c r="GJ71" i="51"/>
  <c r="GI71" i="51"/>
  <c r="GH71" i="51"/>
  <c r="GG71" i="51"/>
  <c r="GF71" i="51"/>
  <c r="GE71" i="51"/>
  <c r="GD71" i="51"/>
  <c r="GC71" i="51"/>
  <c r="GB71" i="51"/>
  <c r="GA71" i="51"/>
  <c r="FZ71" i="51"/>
  <c r="FY71" i="51"/>
  <c r="FX71" i="51"/>
  <c r="FW71" i="51"/>
  <c r="FV71" i="51"/>
  <c r="FU71" i="51"/>
  <c r="FT71" i="51"/>
  <c r="FS71" i="51"/>
  <c r="FR71" i="51"/>
  <c r="FQ71" i="51"/>
  <c r="FP71" i="51"/>
  <c r="FO71" i="51"/>
  <c r="FN71" i="51"/>
  <c r="FM71" i="51"/>
  <c r="FL71" i="51"/>
  <c r="FK71" i="51"/>
  <c r="FJ71" i="51"/>
  <c r="FI71" i="51"/>
  <c r="FH71" i="51"/>
  <c r="FG71" i="51"/>
  <c r="FF71" i="51"/>
  <c r="FE71" i="51"/>
  <c r="FD71" i="51"/>
  <c r="FC71" i="51"/>
  <c r="FB71" i="51"/>
  <c r="FA71" i="51"/>
  <c r="EZ71" i="51"/>
  <c r="EY71" i="51"/>
  <c r="EX71" i="51"/>
  <c r="EW71" i="51"/>
  <c r="EV71" i="51"/>
  <c r="EU71" i="51"/>
  <c r="ET71" i="51"/>
  <c r="ES71" i="51"/>
  <c r="ER71" i="51"/>
  <c r="EQ71" i="51"/>
  <c r="EP71" i="51"/>
  <c r="EO71" i="51"/>
  <c r="EN71" i="51"/>
  <c r="EM71" i="51"/>
  <c r="EL71" i="51"/>
  <c r="EK71" i="51"/>
  <c r="EJ71" i="51"/>
  <c r="EI71" i="51"/>
  <c r="EH71" i="51"/>
  <c r="EG71" i="51"/>
  <c r="EF71" i="51"/>
  <c r="EE71" i="51"/>
  <c r="ED71" i="51"/>
  <c r="EC71" i="51"/>
  <c r="EB71" i="51"/>
  <c r="EA71" i="51"/>
  <c r="DZ71" i="51"/>
  <c r="DY71" i="51"/>
  <c r="DX71" i="51"/>
  <c r="DW71" i="51"/>
  <c r="DV71" i="51"/>
  <c r="DU71" i="51"/>
  <c r="DT71" i="51"/>
  <c r="DS71" i="51"/>
  <c r="DR71" i="51"/>
  <c r="DQ71" i="51"/>
  <c r="DP71" i="51"/>
  <c r="DO71" i="51"/>
  <c r="DN71" i="51"/>
  <c r="DM71" i="51"/>
  <c r="DL71" i="51"/>
  <c r="DK71" i="51"/>
  <c r="DJ71" i="51"/>
  <c r="DI71" i="51"/>
  <c r="DH71" i="51"/>
  <c r="DG71" i="51"/>
  <c r="DF71" i="51"/>
  <c r="DE71" i="51"/>
  <c r="DD71" i="51"/>
  <c r="DC71" i="51"/>
  <c r="DB71" i="51"/>
  <c r="DA71" i="51"/>
  <c r="CZ71" i="51"/>
  <c r="CY71" i="51"/>
  <c r="CX71" i="51"/>
  <c r="CW71" i="51"/>
  <c r="CV71" i="51"/>
  <c r="CU71" i="51"/>
  <c r="CT71" i="51"/>
  <c r="CS71" i="51"/>
  <c r="CR71" i="51"/>
  <c r="CQ71" i="51"/>
  <c r="CP71" i="51"/>
  <c r="CO71" i="51"/>
  <c r="CN71" i="51"/>
  <c r="CM71" i="51"/>
  <c r="CL71" i="51"/>
  <c r="CK71" i="51"/>
  <c r="CJ71" i="51"/>
  <c r="CI71" i="51"/>
  <c r="CH71" i="51"/>
  <c r="CG71" i="51"/>
  <c r="CF71" i="51"/>
  <c r="CE71" i="51"/>
  <c r="CD71" i="51"/>
  <c r="CC71" i="51"/>
  <c r="CB71" i="51"/>
  <c r="CA71" i="51"/>
  <c r="BZ71" i="51"/>
  <c r="BY71" i="51"/>
  <c r="BX71" i="51"/>
  <c r="BW71" i="51"/>
  <c r="BV71" i="51"/>
  <c r="BU71" i="51"/>
  <c r="BT71" i="51"/>
  <c r="BS71" i="51"/>
  <c r="BR71" i="51"/>
  <c r="BQ71" i="51"/>
  <c r="BP71" i="51"/>
  <c r="BO71" i="51"/>
  <c r="BN71" i="51"/>
  <c r="BM71" i="51"/>
  <c r="BL71" i="51"/>
  <c r="BK71" i="51"/>
  <c r="BJ71" i="51"/>
  <c r="BI71" i="51"/>
  <c r="BH71" i="51"/>
  <c r="BG71" i="51"/>
  <c r="BF71" i="51"/>
  <c r="BE71" i="51"/>
  <c r="BD71" i="51"/>
  <c r="BC71" i="51"/>
  <c r="BB71" i="51"/>
  <c r="BA71" i="51"/>
  <c r="AZ71" i="51"/>
  <c r="AY71" i="51"/>
  <c r="AX71" i="51"/>
  <c r="AW71" i="51"/>
  <c r="AV71" i="51"/>
  <c r="AU71" i="51"/>
  <c r="AT71" i="51"/>
  <c r="AS71" i="51"/>
  <c r="AR71" i="51"/>
  <c r="AQ71" i="51"/>
  <c r="AP71" i="51"/>
  <c r="AO71" i="51"/>
  <c r="AN71" i="51"/>
  <c r="AM71" i="51"/>
  <c r="AL71" i="51"/>
  <c r="AK71" i="51"/>
  <c r="AJ71" i="51"/>
  <c r="AI71" i="51"/>
  <c r="AH71" i="51"/>
  <c r="AG71" i="51"/>
  <c r="AF71" i="51"/>
  <c r="AE71" i="51"/>
  <c r="AD71" i="51"/>
  <c r="AC71" i="51"/>
  <c r="AB71" i="51"/>
  <c r="AA71" i="51"/>
  <c r="Z71" i="51"/>
  <c r="Y71" i="51"/>
  <c r="X71" i="51"/>
  <c r="W71" i="51"/>
  <c r="V71" i="51"/>
  <c r="U71" i="51"/>
  <c r="T71" i="51"/>
  <c r="S71" i="51"/>
  <c r="R71" i="51"/>
  <c r="Q71" i="51"/>
  <c r="P71" i="51"/>
  <c r="O71" i="51"/>
  <c r="N71" i="51"/>
  <c r="M71" i="51"/>
  <c r="L71" i="51"/>
  <c r="K71" i="51"/>
  <c r="J71" i="51"/>
  <c r="I71" i="51"/>
  <c r="H71" i="51"/>
  <c r="G71" i="51"/>
  <c r="F71" i="51"/>
  <c r="IV70" i="51"/>
  <c r="IU70" i="51"/>
  <c r="IT70" i="51"/>
  <c r="IS70" i="51"/>
  <c r="IR70" i="51"/>
  <c r="IQ70" i="51"/>
  <c r="IP70" i="51"/>
  <c r="IO70" i="51"/>
  <c r="IN70" i="51"/>
  <c r="IM70" i="51"/>
  <c r="IL70" i="51"/>
  <c r="IK70" i="51"/>
  <c r="IJ70" i="51"/>
  <c r="II70" i="51"/>
  <c r="IH70" i="51"/>
  <c r="IG70" i="51"/>
  <c r="IF70" i="51"/>
  <c r="IE70" i="51"/>
  <c r="ID70" i="51"/>
  <c r="IC70" i="51"/>
  <c r="IB70" i="51"/>
  <c r="IA70" i="51"/>
  <c r="HZ70" i="51"/>
  <c r="HY70" i="51"/>
  <c r="HX70" i="51"/>
  <c r="HW70" i="51"/>
  <c r="HV70" i="51"/>
  <c r="HU70" i="51"/>
  <c r="HT70" i="51"/>
  <c r="HS70" i="51"/>
  <c r="HR70" i="51"/>
  <c r="HQ70" i="51"/>
  <c r="HP70" i="51"/>
  <c r="HO70" i="51"/>
  <c r="HN70" i="51"/>
  <c r="HM70" i="51"/>
  <c r="HL70" i="51"/>
  <c r="HK70" i="51"/>
  <c r="HJ70" i="51"/>
  <c r="HI70" i="51"/>
  <c r="HH70" i="51"/>
  <c r="HG70" i="51"/>
  <c r="HF70" i="51"/>
  <c r="HE70" i="51"/>
  <c r="HD70" i="51"/>
  <c r="HC70" i="51"/>
  <c r="HB70" i="51"/>
  <c r="HA70" i="51"/>
  <c r="GZ70" i="51"/>
  <c r="GY70" i="51"/>
  <c r="GX70" i="51"/>
  <c r="GW70" i="51"/>
  <c r="GV70" i="51"/>
  <c r="GU70" i="51"/>
  <c r="GT70" i="51"/>
  <c r="GS70" i="51"/>
  <c r="GR70" i="51"/>
  <c r="GQ70" i="51"/>
  <c r="GP70" i="51"/>
  <c r="GO70" i="51"/>
  <c r="GN70" i="51"/>
  <c r="GM70" i="51"/>
  <c r="GL70" i="51"/>
  <c r="GK70" i="51"/>
  <c r="GJ70" i="51"/>
  <c r="GI70" i="51"/>
  <c r="GH70" i="51"/>
  <c r="GG70" i="51"/>
  <c r="GF70" i="51"/>
  <c r="GE70" i="51"/>
  <c r="GD70" i="51"/>
  <c r="GC70" i="51"/>
  <c r="GB70" i="51"/>
  <c r="GA70" i="51"/>
  <c r="FZ70" i="51"/>
  <c r="FY70" i="51"/>
  <c r="FX70" i="51"/>
  <c r="FW70" i="51"/>
  <c r="FV70" i="51"/>
  <c r="FU70" i="51"/>
  <c r="FT70" i="51"/>
  <c r="FS70" i="51"/>
  <c r="FR70" i="51"/>
  <c r="FQ70" i="51"/>
  <c r="FP70" i="51"/>
  <c r="FO70" i="51"/>
  <c r="FN70" i="51"/>
  <c r="FM70" i="51"/>
  <c r="FL70" i="51"/>
  <c r="FK70" i="51"/>
  <c r="FJ70" i="51"/>
  <c r="FI70" i="51"/>
  <c r="FH70" i="51"/>
  <c r="FG70" i="51"/>
  <c r="FF70" i="51"/>
  <c r="FE70" i="51"/>
  <c r="FD70" i="51"/>
  <c r="FC70" i="51"/>
  <c r="FB70" i="51"/>
  <c r="FA70" i="51"/>
  <c r="EZ70" i="51"/>
  <c r="EY70" i="51"/>
  <c r="EX70" i="51"/>
  <c r="EW70" i="51"/>
  <c r="EV70" i="51"/>
  <c r="EU70" i="51"/>
  <c r="ET70" i="51"/>
  <c r="ES70" i="51"/>
  <c r="ER70" i="51"/>
  <c r="EQ70" i="51"/>
  <c r="EP70" i="51"/>
  <c r="EO70" i="51"/>
  <c r="EN70" i="51"/>
  <c r="EM70" i="51"/>
  <c r="EL70" i="51"/>
  <c r="EK70" i="51"/>
  <c r="EJ70" i="51"/>
  <c r="EI70" i="51"/>
  <c r="EH70" i="51"/>
  <c r="EG70" i="51"/>
  <c r="EF70" i="51"/>
  <c r="EE70" i="51"/>
  <c r="ED70" i="51"/>
  <c r="EC70" i="51"/>
  <c r="EB70" i="51"/>
  <c r="EA70" i="51"/>
  <c r="DZ70" i="51"/>
  <c r="DY70" i="51"/>
  <c r="DX70" i="51"/>
  <c r="DW70" i="51"/>
  <c r="DV70" i="51"/>
  <c r="DU70" i="51"/>
  <c r="DT70" i="51"/>
  <c r="DS70" i="51"/>
  <c r="DR70" i="51"/>
  <c r="DQ70" i="51"/>
  <c r="DP70" i="51"/>
  <c r="DO70" i="51"/>
  <c r="DN70" i="51"/>
  <c r="DM70" i="51"/>
  <c r="DL70" i="51"/>
  <c r="DK70" i="51"/>
  <c r="DJ70" i="51"/>
  <c r="DI70" i="51"/>
  <c r="DH70" i="51"/>
  <c r="DG70" i="51"/>
  <c r="DF70" i="51"/>
  <c r="DE70" i="51"/>
  <c r="DD70" i="51"/>
  <c r="DC70" i="51"/>
  <c r="DB70" i="51"/>
  <c r="DA70" i="51"/>
  <c r="CZ70" i="51"/>
  <c r="CY70" i="51"/>
  <c r="CX70" i="51"/>
  <c r="CW70" i="51"/>
  <c r="CV70" i="51"/>
  <c r="CU70" i="51"/>
  <c r="CT70" i="51"/>
  <c r="CS70" i="51"/>
  <c r="CR70" i="51"/>
  <c r="CQ70" i="51"/>
  <c r="CP70" i="51"/>
  <c r="CO70" i="51"/>
  <c r="CN70" i="51"/>
  <c r="CM70" i="51"/>
  <c r="CL70" i="51"/>
  <c r="CK70" i="51"/>
  <c r="CJ70" i="51"/>
  <c r="CI70" i="51"/>
  <c r="CH70" i="51"/>
  <c r="CG70" i="51"/>
  <c r="CF70" i="51"/>
  <c r="CE70" i="51"/>
  <c r="CD70" i="51"/>
  <c r="CC70" i="51"/>
  <c r="CB70" i="51"/>
  <c r="CA70" i="51"/>
  <c r="BZ70" i="51"/>
  <c r="BY70" i="51"/>
  <c r="BX70" i="51"/>
  <c r="BW70" i="51"/>
  <c r="BV70" i="51"/>
  <c r="BU70" i="51"/>
  <c r="BT70" i="51"/>
  <c r="BS70" i="51"/>
  <c r="BR70" i="51"/>
  <c r="BQ70" i="51"/>
  <c r="BP70" i="51"/>
  <c r="BO70" i="51"/>
  <c r="BN70" i="51"/>
  <c r="BM70" i="51"/>
  <c r="BL70" i="51"/>
  <c r="BK70" i="51"/>
  <c r="BJ70" i="51"/>
  <c r="BI70" i="51"/>
  <c r="BH70" i="51"/>
  <c r="BG70" i="51"/>
  <c r="BF70" i="51"/>
  <c r="BE70" i="51"/>
  <c r="BD70" i="51"/>
  <c r="BC70" i="51"/>
  <c r="BB70" i="51"/>
  <c r="BA70" i="51"/>
  <c r="AZ70" i="51"/>
  <c r="AY70" i="51"/>
  <c r="AX70" i="51"/>
  <c r="AW70" i="51"/>
  <c r="AV70" i="51"/>
  <c r="AU70" i="51"/>
  <c r="AT70" i="51"/>
  <c r="AS70" i="51"/>
  <c r="AR70" i="51"/>
  <c r="AQ70" i="51"/>
  <c r="AP70" i="51"/>
  <c r="AO70" i="51"/>
  <c r="AN70" i="51"/>
  <c r="AM70" i="51"/>
  <c r="AL70" i="51"/>
  <c r="AK70" i="51"/>
  <c r="AJ70" i="51"/>
  <c r="AI70" i="51"/>
  <c r="AH70" i="51"/>
  <c r="AG70" i="51"/>
  <c r="AF70" i="51"/>
  <c r="AE70" i="51"/>
  <c r="AD70" i="51"/>
  <c r="AC70" i="51"/>
  <c r="AB70" i="51"/>
  <c r="AA70" i="51"/>
  <c r="Z70" i="51"/>
  <c r="Y70" i="51"/>
  <c r="X70" i="51"/>
  <c r="W70" i="51"/>
  <c r="V70" i="51"/>
  <c r="U70" i="51"/>
  <c r="T70" i="51"/>
  <c r="S70" i="51"/>
  <c r="R70" i="51"/>
  <c r="Q70" i="51"/>
  <c r="P70" i="51"/>
  <c r="O70" i="51"/>
  <c r="N70" i="51"/>
  <c r="M70" i="51"/>
  <c r="L70" i="51"/>
  <c r="K70" i="51"/>
  <c r="J70" i="51"/>
  <c r="I70" i="51"/>
  <c r="H70" i="51"/>
  <c r="G70" i="51"/>
  <c r="F70" i="51"/>
  <c r="IV69" i="51"/>
  <c r="IU69" i="51"/>
  <c r="IT69" i="51"/>
  <c r="IS69" i="51"/>
  <c r="IR69" i="51"/>
  <c r="IQ69" i="51"/>
  <c r="IP69" i="51"/>
  <c r="IO69" i="51"/>
  <c r="IN69" i="51"/>
  <c r="IM69" i="51"/>
  <c r="IL69" i="51"/>
  <c r="IK69" i="51"/>
  <c r="IJ69" i="51"/>
  <c r="II69" i="51"/>
  <c r="IH69" i="51"/>
  <c r="IG69" i="51"/>
  <c r="IF69" i="51"/>
  <c r="IE69" i="51"/>
  <c r="ID69" i="51"/>
  <c r="IC69" i="51"/>
  <c r="IB69" i="51"/>
  <c r="IA69" i="51"/>
  <c r="HZ69" i="51"/>
  <c r="HY69" i="51"/>
  <c r="HX69" i="51"/>
  <c r="HW69" i="51"/>
  <c r="HV69" i="51"/>
  <c r="HU69" i="51"/>
  <c r="HT69" i="51"/>
  <c r="HS69" i="51"/>
  <c r="HR69" i="51"/>
  <c r="HQ69" i="51"/>
  <c r="HP69" i="51"/>
  <c r="HO69" i="51"/>
  <c r="HN69" i="51"/>
  <c r="HM69" i="51"/>
  <c r="HL69" i="51"/>
  <c r="HK69" i="51"/>
  <c r="HJ69" i="51"/>
  <c r="HI69" i="51"/>
  <c r="HH69" i="51"/>
  <c r="HG69" i="51"/>
  <c r="HF69" i="51"/>
  <c r="HE69" i="51"/>
  <c r="HD69" i="51"/>
  <c r="HC69" i="51"/>
  <c r="HB69" i="51"/>
  <c r="HA69" i="51"/>
  <c r="GZ69" i="51"/>
  <c r="GY69" i="51"/>
  <c r="GX69" i="51"/>
  <c r="GW69" i="51"/>
  <c r="GV69" i="51"/>
  <c r="GU69" i="51"/>
  <c r="GT69" i="51"/>
  <c r="GS69" i="51"/>
  <c r="GR69" i="51"/>
  <c r="GQ69" i="51"/>
  <c r="GP69" i="51"/>
  <c r="GO69" i="51"/>
  <c r="GN69" i="51"/>
  <c r="GM69" i="51"/>
  <c r="GL69" i="51"/>
  <c r="GK69" i="51"/>
  <c r="GJ69" i="51"/>
  <c r="GI69" i="51"/>
  <c r="GH69" i="51"/>
  <c r="GG69" i="51"/>
  <c r="GF69" i="51"/>
  <c r="GE69" i="51"/>
  <c r="GD69" i="51"/>
  <c r="GC69" i="51"/>
  <c r="GB69" i="51"/>
  <c r="GA69" i="51"/>
  <c r="FZ69" i="51"/>
  <c r="FY69" i="51"/>
  <c r="FX69" i="51"/>
  <c r="FW69" i="51"/>
  <c r="FV69" i="51"/>
  <c r="FU69" i="51"/>
  <c r="FT69" i="51"/>
  <c r="FS69" i="51"/>
  <c r="FR69" i="51"/>
  <c r="FQ69" i="51"/>
  <c r="FP69" i="51"/>
  <c r="FO69" i="51"/>
  <c r="FN69" i="51"/>
  <c r="FM69" i="51"/>
  <c r="FL69" i="51"/>
  <c r="FK69" i="51"/>
  <c r="FJ69" i="51"/>
  <c r="FI69" i="51"/>
  <c r="FH69" i="51"/>
  <c r="FG69" i="51"/>
  <c r="FF69" i="51"/>
  <c r="FE69" i="51"/>
  <c r="FD69" i="51"/>
  <c r="FC69" i="51"/>
  <c r="FB69" i="51"/>
  <c r="FA69" i="51"/>
  <c r="EZ69" i="51"/>
  <c r="EY69" i="51"/>
  <c r="EX69" i="51"/>
  <c r="EW69" i="51"/>
  <c r="EV69" i="51"/>
  <c r="EU69" i="51"/>
  <c r="ET69" i="51"/>
  <c r="ES69" i="51"/>
  <c r="ER69" i="51"/>
  <c r="EQ69" i="51"/>
  <c r="EP69" i="51"/>
  <c r="EO69" i="51"/>
  <c r="EN69" i="51"/>
  <c r="EM69" i="51"/>
  <c r="EL69" i="51"/>
  <c r="EK69" i="51"/>
  <c r="EJ69" i="51"/>
  <c r="EI69" i="51"/>
  <c r="EH69" i="51"/>
  <c r="EG69" i="51"/>
  <c r="EF69" i="51"/>
  <c r="EE69" i="51"/>
  <c r="ED69" i="51"/>
  <c r="EC69" i="51"/>
  <c r="EB69" i="51"/>
  <c r="EA69" i="51"/>
  <c r="DZ69" i="51"/>
  <c r="DY69" i="51"/>
  <c r="DX69" i="51"/>
  <c r="DW69" i="51"/>
  <c r="DV69" i="51"/>
  <c r="DU69" i="51"/>
  <c r="DT69" i="51"/>
  <c r="DS69" i="51"/>
  <c r="DR69" i="51"/>
  <c r="DQ69" i="51"/>
  <c r="DP69" i="51"/>
  <c r="DO69" i="51"/>
  <c r="DN69" i="51"/>
  <c r="DM69" i="51"/>
  <c r="DL69" i="51"/>
  <c r="DK69" i="51"/>
  <c r="DJ69" i="51"/>
  <c r="DI69" i="51"/>
  <c r="DH69" i="51"/>
  <c r="DG69" i="51"/>
  <c r="DF69" i="51"/>
  <c r="DE69" i="51"/>
  <c r="DD69" i="51"/>
  <c r="DC69" i="51"/>
  <c r="DB69" i="51"/>
  <c r="DA69" i="51"/>
  <c r="CZ69" i="51"/>
  <c r="CY69" i="51"/>
  <c r="CX69" i="51"/>
  <c r="CW69" i="51"/>
  <c r="CV69" i="51"/>
  <c r="CU69" i="51"/>
  <c r="CT69" i="51"/>
  <c r="CS69" i="51"/>
  <c r="CR69" i="51"/>
  <c r="CQ69" i="51"/>
  <c r="CP69" i="51"/>
  <c r="CO69" i="51"/>
  <c r="CN69" i="51"/>
  <c r="CM69" i="51"/>
  <c r="CL69" i="51"/>
  <c r="CK69" i="51"/>
  <c r="CJ69" i="51"/>
  <c r="CI69" i="51"/>
  <c r="CH69" i="51"/>
  <c r="CG69" i="51"/>
  <c r="CF69" i="51"/>
  <c r="CE69" i="51"/>
  <c r="CD69" i="51"/>
  <c r="CC69" i="51"/>
  <c r="CB69" i="51"/>
  <c r="CA69" i="51"/>
  <c r="BZ69" i="51"/>
  <c r="BY69" i="51"/>
  <c r="BX69" i="51"/>
  <c r="BW69" i="51"/>
  <c r="BV69" i="51"/>
  <c r="BU69" i="51"/>
  <c r="BT69" i="51"/>
  <c r="BS69" i="51"/>
  <c r="BR69" i="51"/>
  <c r="BQ69" i="51"/>
  <c r="BP69" i="51"/>
  <c r="BO69" i="51"/>
  <c r="BN69" i="51"/>
  <c r="BM69" i="51"/>
  <c r="BL69" i="51"/>
  <c r="BK69" i="51"/>
  <c r="BJ69" i="51"/>
  <c r="BI69" i="51"/>
  <c r="BH69" i="51"/>
  <c r="BG69" i="51"/>
  <c r="BF69" i="51"/>
  <c r="BE69" i="51"/>
  <c r="BD69" i="51"/>
  <c r="BC69" i="51"/>
  <c r="BB69" i="51"/>
  <c r="BA69" i="51"/>
  <c r="AZ69" i="51"/>
  <c r="AY69" i="51"/>
  <c r="AX69" i="51"/>
  <c r="AW69" i="51"/>
  <c r="AV69" i="51"/>
  <c r="AU69" i="51"/>
  <c r="AT69" i="51"/>
  <c r="AS69" i="51"/>
  <c r="AR69" i="51"/>
  <c r="AQ69" i="51"/>
  <c r="AP69" i="51"/>
  <c r="AO69" i="51"/>
  <c r="AN69" i="51"/>
  <c r="AM69" i="51"/>
  <c r="AL69" i="51"/>
  <c r="AK69" i="51"/>
  <c r="AJ69" i="51"/>
  <c r="AI69" i="51"/>
  <c r="AH69" i="51"/>
  <c r="AG69" i="51"/>
  <c r="AF69" i="51"/>
  <c r="AE69" i="51"/>
  <c r="AD69" i="51"/>
  <c r="AC69" i="51"/>
  <c r="AB69" i="51"/>
  <c r="AA69" i="51"/>
  <c r="Z69" i="51"/>
  <c r="Y69" i="51"/>
  <c r="X69" i="51"/>
  <c r="W69" i="51"/>
  <c r="V69" i="51"/>
  <c r="U69" i="51"/>
  <c r="T69" i="51"/>
  <c r="S69" i="51"/>
  <c r="R69" i="51"/>
  <c r="Q69" i="51"/>
  <c r="P69" i="51"/>
  <c r="O69" i="51"/>
  <c r="N69" i="51"/>
  <c r="M69" i="51"/>
  <c r="L69" i="51"/>
  <c r="K69" i="51"/>
  <c r="J69" i="51"/>
  <c r="I69" i="51"/>
  <c r="H69" i="51"/>
  <c r="G69" i="51"/>
  <c r="F69" i="51"/>
  <c r="IV68" i="51"/>
  <c r="IU68" i="51"/>
  <c r="IT68" i="51"/>
  <c r="IS68" i="51"/>
  <c r="IR68" i="51"/>
  <c r="IQ68" i="51"/>
  <c r="IP68" i="51"/>
  <c r="IO68" i="51"/>
  <c r="IN68" i="51"/>
  <c r="IM68" i="51"/>
  <c r="IL68" i="51"/>
  <c r="IK68" i="51"/>
  <c r="IJ68" i="51"/>
  <c r="II68" i="51"/>
  <c r="IH68" i="51"/>
  <c r="IG68" i="51"/>
  <c r="IF68" i="51"/>
  <c r="IE68" i="51"/>
  <c r="ID68" i="51"/>
  <c r="IC68" i="51"/>
  <c r="IB68" i="51"/>
  <c r="IA68" i="51"/>
  <c r="HZ68" i="51"/>
  <c r="HY68" i="51"/>
  <c r="HX68" i="51"/>
  <c r="HW68" i="51"/>
  <c r="HV68" i="51"/>
  <c r="HU68" i="51"/>
  <c r="HT68" i="51"/>
  <c r="HS68" i="51"/>
  <c r="HR68" i="51"/>
  <c r="HQ68" i="51"/>
  <c r="HP68" i="51"/>
  <c r="HO68" i="51"/>
  <c r="HN68" i="51"/>
  <c r="HM68" i="51"/>
  <c r="HL68" i="51"/>
  <c r="HK68" i="51"/>
  <c r="HJ68" i="51"/>
  <c r="HI68" i="51"/>
  <c r="HH68" i="51"/>
  <c r="HG68" i="51"/>
  <c r="HF68" i="51"/>
  <c r="HE68" i="51"/>
  <c r="HD68" i="51"/>
  <c r="HC68" i="51"/>
  <c r="HB68" i="51"/>
  <c r="HA68" i="51"/>
  <c r="GZ68" i="51"/>
  <c r="GY68" i="51"/>
  <c r="GX68" i="51"/>
  <c r="GW68" i="51"/>
  <c r="GV68" i="51"/>
  <c r="GU68" i="51"/>
  <c r="GT68" i="51"/>
  <c r="GS68" i="51"/>
  <c r="GR68" i="51"/>
  <c r="GQ68" i="51"/>
  <c r="GP68" i="51"/>
  <c r="GO68" i="51"/>
  <c r="GN68" i="51"/>
  <c r="GM68" i="51"/>
  <c r="GL68" i="51"/>
  <c r="GK68" i="51"/>
  <c r="GJ68" i="51"/>
  <c r="GI68" i="51"/>
  <c r="GH68" i="51"/>
  <c r="GG68" i="51"/>
  <c r="GF68" i="51"/>
  <c r="GE68" i="51"/>
  <c r="GD68" i="51"/>
  <c r="GC68" i="51"/>
  <c r="GB68" i="51"/>
  <c r="GA68" i="51"/>
  <c r="FZ68" i="51"/>
  <c r="FY68" i="51"/>
  <c r="FX68" i="51"/>
  <c r="FW68" i="51"/>
  <c r="FV68" i="51"/>
  <c r="FU68" i="51"/>
  <c r="FT68" i="51"/>
  <c r="FS68" i="51"/>
  <c r="FR68" i="51"/>
  <c r="FQ68" i="51"/>
  <c r="FP68" i="51"/>
  <c r="FO68" i="51"/>
  <c r="FN68" i="51"/>
  <c r="FM68" i="51"/>
  <c r="FL68" i="51"/>
  <c r="FK68" i="51"/>
  <c r="FJ68" i="51"/>
  <c r="FI68" i="51"/>
  <c r="FH68" i="51"/>
  <c r="FG68" i="51"/>
  <c r="FF68" i="51"/>
  <c r="FE68" i="51"/>
  <c r="FD68" i="51"/>
  <c r="FC68" i="51"/>
  <c r="FB68" i="51"/>
  <c r="FA68" i="51"/>
  <c r="EZ68" i="51"/>
  <c r="EY68" i="51"/>
  <c r="EX68" i="51"/>
  <c r="EW68" i="51"/>
  <c r="EV68" i="51"/>
  <c r="EU68" i="51"/>
  <c r="ET68" i="51"/>
  <c r="ES68" i="51"/>
  <c r="ER68" i="51"/>
  <c r="EQ68" i="51"/>
  <c r="EP68" i="51"/>
  <c r="EO68" i="51"/>
  <c r="EN68" i="51"/>
  <c r="EM68" i="51"/>
  <c r="EL68" i="51"/>
  <c r="EK68" i="51"/>
  <c r="EJ68" i="51"/>
  <c r="EI68" i="51"/>
  <c r="EH68" i="51"/>
  <c r="EG68" i="51"/>
  <c r="EF68" i="51"/>
  <c r="EE68" i="51"/>
  <c r="ED68" i="51"/>
  <c r="EC68" i="51"/>
  <c r="EB68" i="51"/>
  <c r="EA68" i="51"/>
  <c r="DZ68" i="51"/>
  <c r="DY68" i="51"/>
  <c r="DX68" i="51"/>
  <c r="DW68" i="51"/>
  <c r="DV68" i="51"/>
  <c r="DU68" i="51"/>
  <c r="DT68" i="51"/>
  <c r="DS68" i="51"/>
  <c r="DR68" i="51"/>
  <c r="DQ68" i="51"/>
  <c r="DP68" i="51"/>
  <c r="DO68" i="51"/>
  <c r="DN68" i="51"/>
  <c r="DM68" i="51"/>
  <c r="DL68" i="51"/>
  <c r="DK68" i="51"/>
  <c r="DJ68" i="51"/>
  <c r="DI68" i="51"/>
  <c r="DH68" i="51"/>
  <c r="DG68" i="51"/>
  <c r="DF68" i="51"/>
  <c r="DE68" i="51"/>
  <c r="DD68" i="51"/>
  <c r="DC68" i="51"/>
  <c r="DB68" i="51"/>
  <c r="DA68" i="51"/>
  <c r="CZ68" i="51"/>
  <c r="CY68" i="51"/>
  <c r="CX68" i="51"/>
  <c r="CW68" i="51"/>
  <c r="CV68" i="51"/>
  <c r="CU68" i="51"/>
  <c r="CT68" i="51"/>
  <c r="CS68" i="51"/>
  <c r="CR68" i="51"/>
  <c r="CQ68" i="51"/>
  <c r="CP68" i="51"/>
  <c r="CO68" i="51"/>
  <c r="CN68" i="51"/>
  <c r="CM68" i="51"/>
  <c r="CL68" i="51"/>
  <c r="CK68" i="51"/>
  <c r="CJ68" i="51"/>
  <c r="CI68" i="51"/>
  <c r="CH68" i="51"/>
  <c r="CG68" i="51"/>
  <c r="CF68" i="51"/>
  <c r="CE68" i="51"/>
  <c r="CD68" i="51"/>
  <c r="CC68" i="51"/>
  <c r="CB68" i="51"/>
  <c r="CA68" i="51"/>
  <c r="BZ68" i="51"/>
  <c r="BY68" i="51"/>
  <c r="BX68" i="51"/>
  <c r="BW68" i="51"/>
  <c r="BV68" i="51"/>
  <c r="BU68" i="51"/>
  <c r="BT68" i="51"/>
  <c r="BS68" i="51"/>
  <c r="BR68" i="51"/>
  <c r="BQ68" i="51"/>
  <c r="BP68" i="51"/>
  <c r="BO68" i="51"/>
  <c r="BN68" i="51"/>
  <c r="BM68" i="51"/>
  <c r="BL68" i="51"/>
  <c r="BK68" i="51"/>
  <c r="BJ68" i="51"/>
  <c r="BI68" i="51"/>
  <c r="BH68" i="51"/>
  <c r="BG68" i="51"/>
  <c r="BF68" i="51"/>
  <c r="BE68" i="51"/>
  <c r="BD68" i="51"/>
  <c r="BC68" i="51"/>
  <c r="BB68" i="51"/>
  <c r="BA68" i="51"/>
  <c r="AZ68" i="51"/>
  <c r="AY68" i="51"/>
  <c r="AX68" i="51"/>
  <c r="AW68" i="51"/>
  <c r="AV68" i="51"/>
  <c r="AU68" i="51"/>
  <c r="AT68" i="51"/>
  <c r="AS68" i="51"/>
  <c r="AR68" i="51"/>
  <c r="AQ68" i="51"/>
  <c r="AP68" i="51"/>
  <c r="AO68" i="51"/>
  <c r="AN68" i="51"/>
  <c r="AM68" i="51"/>
  <c r="AL68" i="51"/>
  <c r="AK68" i="51"/>
  <c r="AJ68" i="51"/>
  <c r="AI68" i="51"/>
  <c r="AH68" i="51"/>
  <c r="AG68" i="51"/>
  <c r="AF68" i="51"/>
  <c r="AE68" i="51"/>
  <c r="AD68" i="51"/>
  <c r="AC68" i="51"/>
  <c r="AB68" i="51"/>
  <c r="AA68" i="51"/>
  <c r="Z68" i="51"/>
  <c r="Y68" i="51"/>
  <c r="X68" i="51"/>
  <c r="W68" i="51"/>
  <c r="V68" i="51"/>
  <c r="U68" i="51"/>
  <c r="T68" i="51"/>
  <c r="S68" i="51"/>
  <c r="R68" i="51"/>
  <c r="Q68" i="51"/>
  <c r="P68" i="51"/>
  <c r="O68" i="51"/>
  <c r="N68" i="51"/>
  <c r="M68" i="51"/>
  <c r="L68" i="51"/>
  <c r="K68" i="51"/>
  <c r="J68" i="51"/>
  <c r="I68" i="51"/>
  <c r="H68" i="51"/>
  <c r="G68" i="51"/>
  <c r="F68" i="51"/>
  <c r="IV67" i="51"/>
  <c r="IU67" i="51"/>
  <c r="IT67" i="51"/>
  <c r="IS67" i="51"/>
  <c r="IR67" i="51"/>
  <c r="IQ67" i="51"/>
  <c r="IP67" i="51"/>
  <c r="IO67" i="51"/>
  <c r="IN67" i="51"/>
  <c r="IM67" i="51"/>
  <c r="IL67" i="51"/>
  <c r="IK67" i="51"/>
  <c r="IJ67" i="51"/>
  <c r="II67" i="51"/>
  <c r="IH67" i="51"/>
  <c r="IG67" i="51"/>
  <c r="IF67" i="51"/>
  <c r="IE67" i="51"/>
  <c r="ID67" i="51"/>
  <c r="IC67" i="51"/>
  <c r="IB67" i="51"/>
  <c r="IA67" i="51"/>
  <c r="HZ67" i="51"/>
  <c r="HY67" i="51"/>
  <c r="HX67" i="51"/>
  <c r="HW67" i="51"/>
  <c r="HV67" i="51"/>
  <c r="HU67" i="51"/>
  <c r="HT67" i="51"/>
  <c r="HS67" i="51"/>
  <c r="HR67" i="51"/>
  <c r="HQ67" i="51"/>
  <c r="HP67" i="51"/>
  <c r="HO67" i="51"/>
  <c r="HN67" i="51"/>
  <c r="HM67" i="51"/>
  <c r="HL67" i="51"/>
  <c r="HK67" i="51"/>
  <c r="HJ67" i="51"/>
  <c r="HI67" i="51"/>
  <c r="HH67" i="51"/>
  <c r="HG67" i="51"/>
  <c r="HF67" i="51"/>
  <c r="HE67" i="51"/>
  <c r="HD67" i="51"/>
  <c r="HC67" i="51"/>
  <c r="HB67" i="51"/>
  <c r="HA67" i="51"/>
  <c r="GZ67" i="51"/>
  <c r="GY67" i="51"/>
  <c r="GX67" i="51"/>
  <c r="GW67" i="51"/>
  <c r="GV67" i="51"/>
  <c r="GU67" i="51"/>
  <c r="GT67" i="51"/>
  <c r="GS67" i="51"/>
  <c r="GR67" i="51"/>
  <c r="GQ67" i="51"/>
  <c r="GP67" i="51"/>
  <c r="GO67" i="51"/>
  <c r="GN67" i="51"/>
  <c r="GM67" i="51"/>
  <c r="GL67" i="51"/>
  <c r="GK67" i="51"/>
  <c r="GJ67" i="51"/>
  <c r="GI67" i="51"/>
  <c r="GH67" i="51"/>
  <c r="GG67" i="51"/>
  <c r="GF67" i="51"/>
  <c r="GE67" i="51"/>
  <c r="GD67" i="51"/>
  <c r="GC67" i="51"/>
  <c r="GB67" i="51"/>
  <c r="GA67" i="51"/>
  <c r="FZ67" i="51"/>
  <c r="FY67" i="51"/>
  <c r="FX67" i="51"/>
  <c r="FW67" i="51"/>
  <c r="FV67" i="51"/>
  <c r="FU67" i="51"/>
  <c r="FT67" i="51"/>
  <c r="FS67" i="51"/>
  <c r="FR67" i="51"/>
  <c r="FQ67" i="51"/>
  <c r="FP67" i="51"/>
  <c r="FO67" i="51"/>
  <c r="FN67" i="51"/>
  <c r="FM67" i="51"/>
  <c r="FL67" i="51"/>
  <c r="FK67" i="51"/>
  <c r="FJ67" i="51"/>
  <c r="FI67" i="51"/>
  <c r="FH67" i="51"/>
  <c r="FG67" i="51"/>
  <c r="FF67" i="51"/>
  <c r="FE67" i="51"/>
  <c r="FD67" i="51"/>
  <c r="FC67" i="51"/>
  <c r="FB67" i="51"/>
  <c r="FA67" i="51"/>
  <c r="EZ67" i="51"/>
  <c r="EY67" i="51"/>
  <c r="EX67" i="51"/>
  <c r="EW67" i="51"/>
  <c r="EV67" i="51"/>
  <c r="EU67" i="51"/>
  <c r="ET67" i="51"/>
  <c r="ES67" i="51"/>
  <c r="ER67" i="51"/>
  <c r="EQ67" i="51"/>
  <c r="EP67" i="51"/>
  <c r="EO67" i="51"/>
  <c r="EN67" i="51"/>
  <c r="EM67" i="51"/>
  <c r="EL67" i="51"/>
  <c r="EK67" i="51"/>
  <c r="EJ67" i="51"/>
  <c r="EI67" i="51"/>
  <c r="EH67" i="51"/>
  <c r="EG67" i="51"/>
  <c r="EF67" i="51"/>
  <c r="EE67" i="51"/>
  <c r="ED67" i="51"/>
  <c r="EC67" i="51"/>
  <c r="EB67" i="51"/>
  <c r="EA67" i="51"/>
  <c r="DZ67" i="51"/>
  <c r="DY67" i="51"/>
  <c r="DX67" i="51"/>
  <c r="DW67" i="51"/>
  <c r="DV67" i="51"/>
  <c r="DU67" i="51"/>
  <c r="DT67" i="51"/>
  <c r="DS67" i="51"/>
  <c r="DR67" i="51"/>
  <c r="DQ67" i="51"/>
  <c r="DP67" i="51"/>
  <c r="DO67" i="51"/>
  <c r="DN67" i="51"/>
  <c r="DM67" i="51"/>
  <c r="DL67" i="51"/>
  <c r="DK67" i="51"/>
  <c r="DJ67" i="51"/>
  <c r="DI67" i="51"/>
  <c r="DH67" i="51"/>
  <c r="DG67" i="51"/>
  <c r="DF67" i="51"/>
  <c r="DE67" i="51"/>
  <c r="DD67" i="51"/>
  <c r="DC67" i="51"/>
  <c r="DB67" i="51"/>
  <c r="DA67" i="51"/>
  <c r="CZ67" i="51"/>
  <c r="CY67" i="51"/>
  <c r="CX67" i="51"/>
  <c r="CW67" i="51"/>
  <c r="CV67" i="51"/>
  <c r="CU67" i="51"/>
  <c r="CT67" i="51"/>
  <c r="CS67" i="51"/>
  <c r="CR67" i="51"/>
  <c r="CQ67" i="51"/>
  <c r="CP67" i="51"/>
  <c r="CO67" i="51"/>
  <c r="CN67" i="51"/>
  <c r="CM67" i="51"/>
  <c r="CL67" i="51"/>
  <c r="CK67" i="51"/>
  <c r="CJ67" i="51"/>
  <c r="CI67" i="51"/>
  <c r="CH67" i="51"/>
  <c r="CG67" i="51"/>
  <c r="CF67" i="51"/>
  <c r="CE67" i="51"/>
  <c r="CD67" i="51"/>
  <c r="CC67" i="51"/>
  <c r="CB67" i="51"/>
  <c r="CA67" i="51"/>
  <c r="BZ67" i="51"/>
  <c r="BY67" i="51"/>
  <c r="BX67" i="51"/>
  <c r="BW67" i="51"/>
  <c r="BV67" i="51"/>
  <c r="BU67" i="51"/>
  <c r="BT67" i="51"/>
  <c r="BS67" i="51"/>
  <c r="BR67" i="51"/>
  <c r="BQ67" i="51"/>
  <c r="BP67" i="51"/>
  <c r="BO67" i="51"/>
  <c r="BN67" i="51"/>
  <c r="BM67" i="51"/>
  <c r="BL67" i="51"/>
  <c r="BK67" i="51"/>
  <c r="BJ67" i="51"/>
  <c r="BI67" i="51"/>
  <c r="BH67" i="51"/>
  <c r="BG67" i="51"/>
  <c r="BF67" i="51"/>
  <c r="BE67" i="51"/>
  <c r="BD67" i="51"/>
  <c r="BC67" i="51"/>
  <c r="BB67" i="51"/>
  <c r="BA67" i="51"/>
  <c r="AZ67" i="51"/>
  <c r="AY67" i="51"/>
  <c r="AX67" i="51"/>
  <c r="AW67" i="51"/>
  <c r="AV67" i="51"/>
  <c r="AU67" i="51"/>
  <c r="AT67" i="51"/>
  <c r="AS67" i="51"/>
  <c r="AR67" i="51"/>
  <c r="AQ67" i="51"/>
  <c r="AP67" i="51"/>
  <c r="AO67" i="51"/>
  <c r="AN67" i="51"/>
  <c r="AM67" i="51"/>
  <c r="AL67" i="51"/>
  <c r="AK67" i="51"/>
  <c r="AJ67" i="51"/>
  <c r="AI67" i="51"/>
  <c r="AH67" i="51"/>
  <c r="AG67" i="51"/>
  <c r="AF67" i="51"/>
  <c r="AE67" i="51"/>
  <c r="AD67" i="51"/>
  <c r="AC67" i="51"/>
  <c r="AB67" i="51"/>
  <c r="AA67" i="51"/>
  <c r="Z67" i="51"/>
  <c r="Y67" i="51"/>
  <c r="X67" i="51"/>
  <c r="W67" i="51"/>
  <c r="V67" i="51"/>
  <c r="U67" i="51"/>
  <c r="T67" i="51"/>
  <c r="S67" i="51"/>
  <c r="R67" i="51"/>
  <c r="Q67" i="51"/>
  <c r="P67" i="51"/>
  <c r="O67" i="51"/>
  <c r="N67" i="51"/>
  <c r="M67" i="51"/>
  <c r="L67" i="51"/>
  <c r="K67" i="51"/>
  <c r="J67" i="51"/>
  <c r="I67" i="51"/>
  <c r="H67" i="51"/>
  <c r="G67" i="51"/>
  <c r="F67" i="51"/>
  <c r="IV66" i="51"/>
  <c r="IU66" i="51"/>
  <c r="IT66" i="51"/>
  <c r="IS66" i="51"/>
  <c r="IR66" i="51"/>
  <c r="IQ66" i="51"/>
  <c r="IP66" i="51"/>
  <c r="IO66" i="51"/>
  <c r="IN66" i="51"/>
  <c r="IM66" i="51"/>
  <c r="IL66" i="51"/>
  <c r="IK66" i="51"/>
  <c r="IJ66" i="51"/>
  <c r="II66" i="51"/>
  <c r="IH66" i="51"/>
  <c r="IG66" i="51"/>
  <c r="IF66" i="51"/>
  <c r="IE66" i="51"/>
  <c r="ID66" i="51"/>
  <c r="IC66" i="51"/>
  <c r="IB66" i="51"/>
  <c r="IA66" i="51"/>
  <c r="HZ66" i="51"/>
  <c r="HY66" i="51"/>
  <c r="HX66" i="51"/>
  <c r="HW66" i="51"/>
  <c r="HV66" i="51"/>
  <c r="HU66" i="51"/>
  <c r="HT66" i="51"/>
  <c r="HS66" i="51"/>
  <c r="HR66" i="51"/>
  <c r="HQ66" i="51"/>
  <c r="HP66" i="51"/>
  <c r="HO66" i="51"/>
  <c r="HN66" i="51"/>
  <c r="HM66" i="51"/>
  <c r="HL66" i="51"/>
  <c r="HK66" i="51"/>
  <c r="HJ66" i="51"/>
  <c r="HI66" i="51"/>
  <c r="HH66" i="51"/>
  <c r="HG66" i="51"/>
  <c r="HF66" i="51"/>
  <c r="HE66" i="51"/>
  <c r="HD66" i="51"/>
  <c r="HC66" i="51"/>
  <c r="HB66" i="51"/>
  <c r="HA66" i="51"/>
  <c r="GZ66" i="51"/>
  <c r="GY66" i="51"/>
  <c r="GX66" i="51"/>
  <c r="GW66" i="51"/>
  <c r="GV66" i="51"/>
  <c r="GU66" i="51"/>
  <c r="GT66" i="51"/>
  <c r="GS66" i="51"/>
  <c r="GR66" i="51"/>
  <c r="GQ66" i="51"/>
  <c r="GP66" i="51"/>
  <c r="GO66" i="51"/>
  <c r="GN66" i="51"/>
  <c r="GM66" i="51"/>
  <c r="GL66" i="51"/>
  <c r="GK66" i="51"/>
  <c r="GJ66" i="51"/>
  <c r="GI66" i="51"/>
  <c r="GH66" i="51"/>
  <c r="GG66" i="51"/>
  <c r="GF66" i="51"/>
  <c r="GE66" i="51"/>
  <c r="GD66" i="51"/>
  <c r="GC66" i="51"/>
  <c r="GB66" i="51"/>
  <c r="GA66" i="51"/>
  <c r="FZ66" i="51"/>
  <c r="FY66" i="51"/>
  <c r="FX66" i="51"/>
  <c r="FW66" i="51"/>
  <c r="FV66" i="51"/>
  <c r="FU66" i="51"/>
  <c r="FT66" i="51"/>
  <c r="FS66" i="51"/>
  <c r="FR66" i="51"/>
  <c r="FQ66" i="51"/>
  <c r="FP66" i="51"/>
  <c r="FO66" i="51"/>
  <c r="FN66" i="51"/>
  <c r="FM66" i="51"/>
  <c r="FL66" i="51"/>
  <c r="FK66" i="51"/>
  <c r="FJ66" i="51"/>
  <c r="FI66" i="51"/>
  <c r="FH66" i="51"/>
  <c r="FG66" i="51"/>
  <c r="FF66" i="51"/>
  <c r="FE66" i="51"/>
  <c r="FD66" i="51"/>
  <c r="FC66" i="51"/>
  <c r="FB66" i="51"/>
  <c r="FA66" i="51"/>
  <c r="EZ66" i="51"/>
  <c r="EY66" i="51"/>
  <c r="EX66" i="51"/>
  <c r="EW66" i="51"/>
  <c r="EV66" i="51"/>
  <c r="EU66" i="51"/>
  <c r="ET66" i="51"/>
  <c r="ES66" i="51"/>
  <c r="ER66" i="51"/>
  <c r="EQ66" i="51"/>
  <c r="EP66" i="51"/>
  <c r="EO66" i="51"/>
  <c r="EN66" i="51"/>
  <c r="EM66" i="51"/>
  <c r="EL66" i="51"/>
  <c r="EK66" i="51"/>
  <c r="EJ66" i="51"/>
  <c r="EI66" i="51"/>
  <c r="EH66" i="51"/>
  <c r="EG66" i="51"/>
  <c r="EF66" i="51"/>
  <c r="EE66" i="51"/>
  <c r="ED66" i="51"/>
  <c r="EC66" i="51"/>
  <c r="EB66" i="51"/>
  <c r="EA66" i="51"/>
  <c r="DZ66" i="51"/>
  <c r="DY66" i="51"/>
  <c r="DX66" i="51"/>
  <c r="DW66" i="51"/>
  <c r="DV66" i="51"/>
  <c r="DU66" i="51"/>
  <c r="DT66" i="51"/>
  <c r="DS66" i="51"/>
  <c r="DR66" i="51"/>
  <c r="DQ66" i="51"/>
  <c r="DP66" i="51"/>
  <c r="DO66" i="51"/>
  <c r="DN66" i="51"/>
  <c r="DM66" i="51"/>
  <c r="DL66" i="51"/>
  <c r="DK66" i="51"/>
  <c r="DJ66" i="51"/>
  <c r="DI66" i="51"/>
  <c r="DH66" i="51"/>
  <c r="DG66" i="51"/>
  <c r="DF66" i="51"/>
  <c r="DE66" i="51"/>
  <c r="DD66" i="51"/>
  <c r="DC66" i="51"/>
  <c r="DB66" i="51"/>
  <c r="DA66" i="51"/>
  <c r="CZ66" i="51"/>
  <c r="CY66" i="51"/>
  <c r="CX66" i="51"/>
  <c r="CW66" i="51"/>
  <c r="CV66" i="51"/>
  <c r="CU66" i="51"/>
  <c r="CT66" i="51"/>
  <c r="CS66" i="51"/>
  <c r="CR66" i="51"/>
  <c r="CQ66" i="51"/>
  <c r="CP66" i="51"/>
  <c r="CO66" i="51"/>
  <c r="CN66" i="51"/>
  <c r="CM66" i="51"/>
  <c r="CL66" i="51"/>
  <c r="CK66" i="51"/>
  <c r="CJ66" i="51"/>
  <c r="CI66" i="51"/>
  <c r="CH66" i="51"/>
  <c r="CG66" i="51"/>
  <c r="CF66" i="51"/>
  <c r="CE66" i="51"/>
  <c r="CD66" i="51"/>
  <c r="CC66" i="51"/>
  <c r="CB66" i="51"/>
  <c r="CA66" i="51"/>
  <c r="BZ66" i="51"/>
  <c r="BY66" i="51"/>
  <c r="BX66" i="51"/>
  <c r="BW66" i="51"/>
  <c r="BV66" i="51"/>
  <c r="BU66" i="51"/>
  <c r="BT66" i="51"/>
  <c r="BS66" i="51"/>
  <c r="BR66" i="51"/>
  <c r="BQ66" i="51"/>
  <c r="BP66" i="51"/>
  <c r="BO66" i="51"/>
  <c r="BN66" i="51"/>
  <c r="BM66" i="51"/>
  <c r="BL66" i="51"/>
  <c r="BK66" i="51"/>
  <c r="BJ66" i="51"/>
  <c r="BI66" i="51"/>
  <c r="BH66" i="51"/>
  <c r="BG66" i="51"/>
  <c r="BF66" i="51"/>
  <c r="BE66" i="51"/>
  <c r="BD66" i="51"/>
  <c r="BC66" i="51"/>
  <c r="BB66" i="51"/>
  <c r="BA66" i="51"/>
  <c r="AZ66" i="51"/>
  <c r="AY66" i="51"/>
  <c r="AX66" i="51"/>
  <c r="AW66" i="51"/>
  <c r="AV66" i="51"/>
  <c r="AU66" i="51"/>
  <c r="AT66" i="51"/>
  <c r="AS66" i="51"/>
  <c r="AR66" i="51"/>
  <c r="AQ66" i="51"/>
  <c r="AP66" i="51"/>
  <c r="AO66" i="51"/>
  <c r="AN66" i="51"/>
  <c r="AM66" i="51"/>
  <c r="AL66" i="51"/>
  <c r="AK66" i="51"/>
  <c r="AJ66" i="51"/>
  <c r="AI66" i="51"/>
  <c r="AH66" i="51"/>
  <c r="AG66" i="51"/>
  <c r="AF66" i="51"/>
  <c r="AE66" i="51"/>
  <c r="AD66" i="51"/>
  <c r="AC66" i="51"/>
  <c r="AB66" i="51"/>
  <c r="AA66" i="51"/>
  <c r="Z66" i="51"/>
  <c r="Y66" i="51"/>
  <c r="X66" i="51"/>
  <c r="W66" i="51"/>
  <c r="V66" i="51"/>
  <c r="U66" i="51"/>
  <c r="T66" i="51"/>
  <c r="S66" i="51"/>
  <c r="R66" i="51"/>
  <c r="Q66" i="51"/>
  <c r="P66" i="51"/>
  <c r="O66" i="51"/>
  <c r="N66" i="51"/>
  <c r="M66" i="51"/>
  <c r="L66" i="51"/>
  <c r="K66" i="51"/>
  <c r="J66" i="51"/>
  <c r="I66" i="51"/>
  <c r="H66" i="51"/>
  <c r="G66" i="51"/>
  <c r="F66" i="51"/>
  <c r="IV65" i="51"/>
  <c r="IU65" i="51"/>
  <c r="IT65" i="51"/>
  <c r="IS65" i="51"/>
  <c r="IR65" i="51"/>
  <c r="IQ65" i="51"/>
  <c r="IP65" i="51"/>
  <c r="IO65" i="51"/>
  <c r="IN65" i="51"/>
  <c r="IM65" i="51"/>
  <c r="IL65" i="51"/>
  <c r="IK65" i="51"/>
  <c r="IJ65" i="51"/>
  <c r="II65" i="51"/>
  <c r="IH65" i="51"/>
  <c r="IG65" i="51"/>
  <c r="IF65" i="51"/>
  <c r="IE65" i="51"/>
  <c r="ID65" i="51"/>
  <c r="IC65" i="51"/>
  <c r="IB65" i="51"/>
  <c r="IA65" i="51"/>
  <c r="HZ65" i="51"/>
  <c r="HY65" i="51"/>
  <c r="HX65" i="51"/>
  <c r="HW65" i="51"/>
  <c r="HV65" i="51"/>
  <c r="HU65" i="51"/>
  <c r="HT65" i="51"/>
  <c r="HS65" i="51"/>
  <c r="HR65" i="51"/>
  <c r="HQ65" i="51"/>
  <c r="HP65" i="51"/>
  <c r="HO65" i="51"/>
  <c r="HN65" i="51"/>
  <c r="HM65" i="51"/>
  <c r="HL65" i="51"/>
  <c r="HK65" i="51"/>
  <c r="HJ65" i="51"/>
  <c r="HI65" i="51"/>
  <c r="HH65" i="51"/>
  <c r="HG65" i="51"/>
  <c r="HF65" i="51"/>
  <c r="HE65" i="51"/>
  <c r="HD65" i="51"/>
  <c r="HC65" i="51"/>
  <c r="HB65" i="51"/>
  <c r="HA65" i="51"/>
  <c r="GZ65" i="51"/>
  <c r="GY65" i="51"/>
  <c r="GX65" i="51"/>
  <c r="GW65" i="51"/>
  <c r="GV65" i="51"/>
  <c r="GU65" i="51"/>
  <c r="GT65" i="51"/>
  <c r="GS65" i="51"/>
  <c r="GR65" i="51"/>
  <c r="GQ65" i="51"/>
  <c r="GP65" i="51"/>
  <c r="GO65" i="51"/>
  <c r="GN65" i="51"/>
  <c r="GM65" i="51"/>
  <c r="GL65" i="51"/>
  <c r="GK65" i="51"/>
  <c r="GJ65" i="51"/>
  <c r="GI65" i="51"/>
  <c r="GH65" i="51"/>
  <c r="GG65" i="51"/>
  <c r="GF65" i="51"/>
  <c r="GE65" i="51"/>
  <c r="GD65" i="51"/>
  <c r="GC65" i="51"/>
  <c r="GB65" i="51"/>
  <c r="GA65" i="51"/>
  <c r="FZ65" i="51"/>
  <c r="FY65" i="51"/>
  <c r="FX65" i="51"/>
  <c r="FW65" i="51"/>
  <c r="FV65" i="51"/>
  <c r="FU65" i="51"/>
  <c r="FT65" i="51"/>
  <c r="FS65" i="51"/>
  <c r="FR65" i="51"/>
  <c r="FQ65" i="51"/>
  <c r="FP65" i="51"/>
  <c r="FO65" i="51"/>
  <c r="FN65" i="51"/>
  <c r="FM65" i="51"/>
  <c r="FL65" i="51"/>
  <c r="FK65" i="51"/>
  <c r="FJ65" i="51"/>
  <c r="FI65" i="51"/>
  <c r="FH65" i="51"/>
  <c r="FG65" i="51"/>
  <c r="FF65" i="51"/>
  <c r="FE65" i="51"/>
  <c r="FD65" i="51"/>
  <c r="FC65" i="51"/>
  <c r="FB65" i="51"/>
  <c r="FA65" i="51"/>
  <c r="EZ65" i="51"/>
  <c r="EY65" i="51"/>
  <c r="EX65" i="51"/>
  <c r="EW65" i="51"/>
  <c r="EV65" i="51"/>
  <c r="EU65" i="51"/>
  <c r="ET65" i="51"/>
  <c r="ES65" i="51"/>
  <c r="ER65" i="51"/>
  <c r="EQ65" i="51"/>
  <c r="EP65" i="51"/>
  <c r="EO65" i="51"/>
  <c r="EN65" i="51"/>
  <c r="EM65" i="51"/>
  <c r="EL65" i="51"/>
  <c r="EK65" i="51"/>
  <c r="EJ65" i="51"/>
  <c r="EI65" i="51"/>
  <c r="EH65" i="51"/>
  <c r="EG65" i="51"/>
  <c r="EF65" i="51"/>
  <c r="EE65" i="51"/>
  <c r="ED65" i="51"/>
  <c r="EC65" i="51"/>
  <c r="EB65" i="51"/>
  <c r="EA65" i="51"/>
  <c r="DZ65" i="51"/>
  <c r="DY65" i="51"/>
  <c r="DX65" i="51"/>
  <c r="DW65" i="51"/>
  <c r="DV65" i="51"/>
  <c r="DU65" i="51"/>
  <c r="DT65" i="51"/>
  <c r="DS65" i="51"/>
  <c r="DR65" i="51"/>
  <c r="DQ65" i="51"/>
  <c r="DP65" i="51"/>
  <c r="DO65" i="51"/>
  <c r="DN65" i="51"/>
  <c r="DM65" i="51"/>
  <c r="DL65" i="51"/>
  <c r="DK65" i="51"/>
  <c r="DJ65" i="51"/>
  <c r="DI65" i="51"/>
  <c r="DH65" i="51"/>
  <c r="DG65" i="51"/>
  <c r="DF65" i="51"/>
  <c r="DE65" i="51"/>
  <c r="DD65" i="51"/>
  <c r="DC65" i="51"/>
  <c r="DB65" i="51"/>
  <c r="DA65" i="51"/>
  <c r="CZ65" i="51"/>
  <c r="CY65" i="51"/>
  <c r="CX65" i="51"/>
  <c r="CW65" i="51"/>
  <c r="CV65" i="51"/>
  <c r="CU65" i="51"/>
  <c r="CT65" i="51"/>
  <c r="CS65" i="51"/>
  <c r="CR65" i="51"/>
  <c r="CQ65" i="51"/>
  <c r="CP65" i="51"/>
  <c r="CO65" i="51"/>
  <c r="CN65" i="51"/>
  <c r="CM65" i="51"/>
  <c r="CL65" i="51"/>
  <c r="CK65" i="51"/>
  <c r="CJ65" i="51"/>
  <c r="CI65" i="51"/>
  <c r="CH65" i="51"/>
  <c r="CG65" i="51"/>
  <c r="CF65" i="51"/>
  <c r="CE65" i="51"/>
  <c r="CD65" i="51"/>
  <c r="CC65" i="51"/>
  <c r="CB65" i="51"/>
  <c r="CA65" i="51"/>
  <c r="BZ65" i="51"/>
  <c r="BY65" i="51"/>
  <c r="BX65" i="51"/>
  <c r="BW65" i="51"/>
  <c r="BV65" i="51"/>
  <c r="BU65" i="51"/>
  <c r="BT65" i="51"/>
  <c r="BS65" i="51"/>
  <c r="BR65" i="51"/>
  <c r="BQ65" i="51"/>
  <c r="BP65" i="51"/>
  <c r="BO65" i="51"/>
  <c r="BN65" i="51"/>
  <c r="BM65" i="51"/>
  <c r="BL65" i="51"/>
  <c r="BK65" i="51"/>
  <c r="BJ65" i="51"/>
  <c r="BI65" i="51"/>
  <c r="BH65" i="51"/>
  <c r="BG65" i="51"/>
  <c r="BF65" i="51"/>
  <c r="BE65" i="51"/>
  <c r="BD65" i="51"/>
  <c r="BC65" i="51"/>
  <c r="BB65" i="51"/>
  <c r="BA65" i="51"/>
  <c r="AZ65" i="51"/>
  <c r="AY65" i="51"/>
  <c r="AX65" i="51"/>
  <c r="AW65" i="51"/>
  <c r="AV65" i="51"/>
  <c r="AU65" i="51"/>
  <c r="AT65" i="51"/>
  <c r="AS65" i="51"/>
  <c r="AR65" i="51"/>
  <c r="AQ65" i="51"/>
  <c r="AP65" i="51"/>
  <c r="AO65" i="51"/>
  <c r="AN65" i="51"/>
  <c r="AM65" i="51"/>
  <c r="AL65" i="51"/>
  <c r="AK65" i="51"/>
  <c r="AJ65" i="51"/>
  <c r="AI65" i="51"/>
  <c r="AH65" i="51"/>
  <c r="AG65" i="51"/>
  <c r="AF65" i="51"/>
  <c r="AE65" i="51"/>
  <c r="AD65" i="51"/>
  <c r="AC65" i="51"/>
  <c r="AB65" i="51"/>
  <c r="AA65" i="51"/>
  <c r="Z65" i="51"/>
  <c r="Y65" i="51"/>
  <c r="X65" i="51"/>
  <c r="W65" i="51"/>
  <c r="V65" i="51"/>
  <c r="U65" i="51"/>
  <c r="T65" i="51"/>
  <c r="S65" i="51"/>
  <c r="R65" i="51"/>
  <c r="Q65" i="51"/>
  <c r="P65" i="51"/>
  <c r="O65" i="51"/>
  <c r="N65" i="51"/>
  <c r="M65" i="51"/>
  <c r="L65" i="51"/>
  <c r="K65" i="51"/>
  <c r="J65" i="51"/>
  <c r="I65" i="51"/>
  <c r="H65" i="51"/>
  <c r="G65" i="51"/>
  <c r="F65" i="51"/>
  <c r="IV64" i="51"/>
  <c r="IU64" i="51"/>
  <c r="IT64" i="51"/>
  <c r="IS64" i="51"/>
  <c r="IR64" i="51"/>
  <c r="IQ64" i="51"/>
  <c r="IP64" i="51"/>
  <c r="IO64" i="51"/>
  <c r="IN64" i="51"/>
  <c r="IM64" i="51"/>
  <c r="IL64" i="51"/>
  <c r="IK64" i="51"/>
  <c r="IJ64" i="51"/>
  <c r="II64" i="51"/>
  <c r="IH64" i="51"/>
  <c r="IG64" i="51"/>
  <c r="IF64" i="51"/>
  <c r="IE64" i="51"/>
  <c r="ID64" i="51"/>
  <c r="IC64" i="51"/>
  <c r="IB64" i="51"/>
  <c r="IA64" i="51"/>
  <c r="HZ64" i="51"/>
  <c r="HY64" i="51"/>
  <c r="HX64" i="51"/>
  <c r="HW64" i="51"/>
  <c r="HV64" i="51"/>
  <c r="HU64" i="51"/>
  <c r="HT64" i="51"/>
  <c r="HS64" i="51"/>
  <c r="HR64" i="51"/>
  <c r="HQ64" i="51"/>
  <c r="HP64" i="51"/>
  <c r="HO64" i="51"/>
  <c r="HN64" i="51"/>
  <c r="HM64" i="51"/>
  <c r="HL64" i="51"/>
  <c r="HK64" i="51"/>
  <c r="HJ64" i="51"/>
  <c r="HI64" i="51"/>
  <c r="HH64" i="51"/>
  <c r="HG64" i="51"/>
  <c r="HF64" i="51"/>
  <c r="HE64" i="51"/>
  <c r="HD64" i="51"/>
  <c r="HC64" i="51"/>
  <c r="HB64" i="51"/>
  <c r="HA64" i="51"/>
  <c r="GZ64" i="51"/>
  <c r="GY64" i="51"/>
  <c r="GX64" i="51"/>
  <c r="GW64" i="51"/>
  <c r="GV64" i="51"/>
  <c r="GU64" i="51"/>
  <c r="GT64" i="51"/>
  <c r="GS64" i="51"/>
  <c r="GR64" i="51"/>
  <c r="GQ64" i="51"/>
  <c r="GP64" i="51"/>
  <c r="GO64" i="51"/>
  <c r="GN64" i="51"/>
  <c r="GM64" i="51"/>
  <c r="GL64" i="51"/>
  <c r="GK64" i="51"/>
  <c r="GJ64" i="51"/>
  <c r="GI64" i="51"/>
  <c r="GH64" i="51"/>
  <c r="GG64" i="51"/>
  <c r="GF64" i="51"/>
  <c r="GE64" i="51"/>
  <c r="GD64" i="51"/>
  <c r="GC64" i="51"/>
  <c r="GB64" i="51"/>
  <c r="GA64" i="51"/>
  <c r="FZ64" i="51"/>
  <c r="FY64" i="51"/>
  <c r="FX64" i="51"/>
  <c r="FW64" i="51"/>
  <c r="FV64" i="51"/>
  <c r="FU64" i="51"/>
  <c r="FT64" i="51"/>
  <c r="FS64" i="51"/>
  <c r="FR64" i="51"/>
  <c r="FQ64" i="51"/>
  <c r="FP64" i="51"/>
  <c r="FO64" i="51"/>
  <c r="FN64" i="51"/>
  <c r="FM64" i="51"/>
  <c r="FL64" i="51"/>
  <c r="FK64" i="51"/>
  <c r="FJ64" i="51"/>
  <c r="FI64" i="51"/>
  <c r="FH64" i="51"/>
  <c r="FG64" i="51"/>
  <c r="FF64" i="51"/>
  <c r="FE64" i="51"/>
  <c r="FD64" i="51"/>
  <c r="FC64" i="51"/>
  <c r="FB64" i="51"/>
  <c r="FA64" i="51"/>
  <c r="EZ64" i="51"/>
  <c r="EY64" i="51"/>
  <c r="EX64" i="51"/>
  <c r="EW64" i="51"/>
  <c r="EV64" i="51"/>
  <c r="EU64" i="51"/>
  <c r="ET64" i="51"/>
  <c r="ES64" i="51"/>
  <c r="ER64" i="51"/>
  <c r="EQ64" i="51"/>
  <c r="EP64" i="51"/>
  <c r="EO64" i="51"/>
  <c r="EN64" i="51"/>
  <c r="EM64" i="51"/>
  <c r="EL64" i="51"/>
  <c r="EK64" i="51"/>
  <c r="EJ64" i="51"/>
  <c r="EI64" i="51"/>
  <c r="EH64" i="51"/>
  <c r="EG64" i="51"/>
  <c r="EF64" i="51"/>
  <c r="EE64" i="51"/>
  <c r="ED64" i="51"/>
  <c r="EC64" i="51"/>
  <c r="EB64" i="51"/>
  <c r="EA64" i="51"/>
  <c r="DZ64" i="51"/>
  <c r="DY64" i="51"/>
  <c r="DX64" i="51"/>
  <c r="DW64" i="51"/>
  <c r="DV64" i="51"/>
  <c r="DU64" i="51"/>
  <c r="DT64" i="51"/>
  <c r="DS64" i="51"/>
  <c r="DR64" i="51"/>
  <c r="DQ64" i="51"/>
  <c r="DP64" i="51"/>
  <c r="DO64" i="51"/>
  <c r="DN64" i="51"/>
  <c r="DM64" i="51"/>
  <c r="DL64" i="51"/>
  <c r="DK64" i="51"/>
  <c r="DJ64" i="51"/>
  <c r="DI64" i="51"/>
  <c r="DH64" i="51"/>
  <c r="DG64" i="51"/>
  <c r="DF64" i="51"/>
  <c r="DE64" i="51"/>
  <c r="DD64" i="51"/>
  <c r="DC64" i="51"/>
  <c r="DB64" i="51"/>
  <c r="DA64" i="51"/>
  <c r="CZ64" i="51"/>
  <c r="CY64" i="51"/>
  <c r="CX64" i="51"/>
  <c r="CW64" i="51"/>
  <c r="CV64" i="51"/>
  <c r="CU64" i="51"/>
  <c r="CT64" i="51"/>
  <c r="CS64" i="51"/>
  <c r="CR64" i="51"/>
  <c r="CQ64" i="51"/>
  <c r="CP64" i="51"/>
  <c r="CO64" i="51"/>
  <c r="CN64" i="51"/>
  <c r="CM64" i="51"/>
  <c r="CL64" i="51"/>
  <c r="CK64" i="51"/>
  <c r="CJ64" i="51"/>
  <c r="CI64" i="51"/>
  <c r="CH64" i="51"/>
  <c r="CG64" i="51"/>
  <c r="CF64" i="51"/>
  <c r="CE64" i="51"/>
  <c r="CD64" i="51"/>
  <c r="CC64" i="51"/>
  <c r="CB64" i="51"/>
  <c r="CA64" i="51"/>
  <c r="BZ64" i="51"/>
  <c r="BY64" i="51"/>
  <c r="BX64" i="51"/>
  <c r="BW64" i="51"/>
  <c r="BV64" i="51"/>
  <c r="BU64" i="51"/>
  <c r="BT64" i="51"/>
  <c r="BS64" i="51"/>
  <c r="BR64" i="51"/>
  <c r="BQ64" i="51"/>
  <c r="BP64" i="51"/>
  <c r="BO64" i="51"/>
  <c r="BN64" i="51"/>
  <c r="BM64" i="51"/>
  <c r="BL64" i="51"/>
  <c r="BK64" i="51"/>
  <c r="BJ64" i="51"/>
  <c r="BI64" i="51"/>
  <c r="BH64" i="51"/>
  <c r="BG64" i="51"/>
  <c r="BF64" i="51"/>
  <c r="BE64" i="51"/>
  <c r="BD64" i="51"/>
  <c r="BC64" i="51"/>
  <c r="BB64" i="51"/>
  <c r="BA64" i="51"/>
  <c r="AZ64" i="51"/>
  <c r="AY64" i="51"/>
  <c r="AX64" i="51"/>
  <c r="AW64" i="51"/>
  <c r="AV64" i="51"/>
  <c r="AU64" i="51"/>
  <c r="AT64" i="51"/>
  <c r="AS64" i="51"/>
  <c r="AR64" i="51"/>
  <c r="AQ64" i="51"/>
  <c r="AP64" i="51"/>
  <c r="AO64" i="51"/>
  <c r="AN64" i="51"/>
  <c r="AM64" i="51"/>
  <c r="AL64" i="51"/>
  <c r="AK64" i="51"/>
  <c r="AJ64" i="51"/>
  <c r="AI64" i="51"/>
  <c r="AH64" i="51"/>
  <c r="AG64" i="51"/>
  <c r="AF64" i="51"/>
  <c r="AE64" i="51"/>
  <c r="AD64" i="51"/>
  <c r="AC64" i="51"/>
  <c r="AB64" i="51"/>
  <c r="AA64" i="51"/>
  <c r="Z64" i="51"/>
  <c r="Y64" i="51"/>
  <c r="X64" i="51"/>
  <c r="W64" i="51"/>
  <c r="V64" i="51"/>
  <c r="U64" i="51"/>
  <c r="T64" i="51"/>
  <c r="S64" i="51"/>
  <c r="R64" i="51"/>
  <c r="Q64" i="51"/>
  <c r="P64" i="51"/>
  <c r="O64" i="51"/>
  <c r="N64" i="51"/>
  <c r="M64" i="51"/>
  <c r="L64" i="51"/>
  <c r="K64" i="51"/>
  <c r="J64" i="51"/>
  <c r="I64" i="51"/>
  <c r="H64" i="51"/>
  <c r="G64" i="51"/>
  <c r="F64" i="51"/>
  <c r="IV63" i="51"/>
  <c r="IU63" i="51"/>
  <c r="IT63" i="51"/>
  <c r="IS63" i="51"/>
  <c r="IR63" i="51"/>
  <c r="IQ63" i="51"/>
  <c r="IP63" i="51"/>
  <c r="IO63" i="51"/>
  <c r="IN63" i="51"/>
  <c r="IM63" i="51"/>
  <c r="IL63" i="51"/>
  <c r="IK63" i="51"/>
  <c r="IJ63" i="51"/>
  <c r="II63" i="51"/>
  <c r="IH63" i="51"/>
  <c r="IG63" i="51"/>
  <c r="IF63" i="51"/>
  <c r="IE63" i="51"/>
  <c r="ID63" i="51"/>
  <c r="IC63" i="51"/>
  <c r="IB63" i="51"/>
  <c r="IA63" i="51"/>
  <c r="HZ63" i="51"/>
  <c r="HY63" i="51"/>
  <c r="HX63" i="51"/>
  <c r="HW63" i="51"/>
  <c r="HV63" i="51"/>
  <c r="HU63" i="51"/>
  <c r="HT63" i="51"/>
  <c r="HS63" i="51"/>
  <c r="HR63" i="51"/>
  <c r="HQ63" i="51"/>
  <c r="HP63" i="51"/>
  <c r="HO63" i="51"/>
  <c r="HN63" i="51"/>
  <c r="HM63" i="51"/>
  <c r="HL63" i="51"/>
  <c r="HK63" i="51"/>
  <c r="HJ63" i="51"/>
  <c r="HI63" i="51"/>
  <c r="HH63" i="51"/>
  <c r="HG63" i="51"/>
  <c r="HF63" i="51"/>
  <c r="HE63" i="51"/>
  <c r="HD63" i="51"/>
  <c r="HC63" i="51"/>
  <c r="HB63" i="51"/>
  <c r="HA63" i="51"/>
  <c r="GZ63" i="51"/>
  <c r="GY63" i="51"/>
  <c r="GX63" i="51"/>
  <c r="GW63" i="51"/>
  <c r="GV63" i="51"/>
  <c r="GU63" i="51"/>
  <c r="GT63" i="51"/>
  <c r="GS63" i="51"/>
  <c r="GR63" i="51"/>
  <c r="GQ63" i="51"/>
  <c r="GP63" i="51"/>
  <c r="GO63" i="51"/>
  <c r="GN63" i="51"/>
  <c r="GM63" i="51"/>
  <c r="GL63" i="51"/>
  <c r="GK63" i="51"/>
  <c r="GJ63" i="51"/>
  <c r="GI63" i="51"/>
  <c r="GH63" i="51"/>
  <c r="GG63" i="51"/>
  <c r="GF63" i="51"/>
  <c r="GE63" i="51"/>
  <c r="GD63" i="51"/>
  <c r="GC63" i="51"/>
  <c r="GB63" i="51"/>
  <c r="GA63" i="51"/>
  <c r="FZ63" i="51"/>
  <c r="FY63" i="51"/>
  <c r="FX63" i="51"/>
  <c r="FW63" i="51"/>
  <c r="FV63" i="51"/>
  <c r="FU63" i="51"/>
  <c r="FT63" i="51"/>
  <c r="FS63" i="51"/>
  <c r="FR63" i="51"/>
  <c r="FQ63" i="51"/>
  <c r="FP63" i="51"/>
  <c r="FO63" i="51"/>
  <c r="FN63" i="51"/>
  <c r="FM63" i="51"/>
  <c r="FL63" i="51"/>
  <c r="FK63" i="51"/>
  <c r="FJ63" i="51"/>
  <c r="FI63" i="51"/>
  <c r="FH63" i="51"/>
  <c r="FG63" i="51"/>
  <c r="FF63" i="51"/>
  <c r="FE63" i="51"/>
  <c r="FD63" i="51"/>
  <c r="FC63" i="51"/>
  <c r="FB63" i="51"/>
  <c r="FA63" i="51"/>
  <c r="EZ63" i="51"/>
  <c r="EY63" i="51"/>
  <c r="EX63" i="51"/>
  <c r="EW63" i="51"/>
  <c r="EV63" i="51"/>
  <c r="EU63" i="51"/>
  <c r="ET63" i="51"/>
  <c r="ES63" i="51"/>
  <c r="ER63" i="51"/>
  <c r="EQ63" i="51"/>
  <c r="EP63" i="51"/>
  <c r="EO63" i="51"/>
  <c r="EN63" i="51"/>
  <c r="EM63" i="51"/>
  <c r="EL63" i="51"/>
  <c r="EK63" i="51"/>
  <c r="EJ63" i="51"/>
  <c r="EI63" i="51"/>
  <c r="EH63" i="51"/>
  <c r="EG63" i="51"/>
  <c r="EF63" i="51"/>
  <c r="EE63" i="51"/>
  <c r="ED63" i="51"/>
  <c r="EC63" i="51"/>
  <c r="EB63" i="51"/>
  <c r="EA63" i="51"/>
  <c r="DZ63" i="51"/>
  <c r="DY63" i="51"/>
  <c r="DX63" i="51"/>
  <c r="DW63" i="51"/>
  <c r="DV63" i="51"/>
  <c r="DU63" i="51"/>
  <c r="DT63" i="51"/>
  <c r="DS63" i="51"/>
  <c r="DR63" i="51"/>
  <c r="DQ63" i="51"/>
  <c r="DP63" i="51"/>
  <c r="DO63" i="51"/>
  <c r="DN63" i="51"/>
  <c r="DM63" i="51"/>
  <c r="DL63" i="51"/>
  <c r="DK63" i="51"/>
  <c r="DJ63" i="51"/>
  <c r="DI63" i="51"/>
  <c r="DH63" i="51"/>
  <c r="DG63" i="51"/>
  <c r="DF63" i="51"/>
  <c r="DE63" i="51"/>
  <c r="DD63" i="51"/>
  <c r="DC63" i="51"/>
  <c r="DB63" i="51"/>
  <c r="DA63" i="51"/>
  <c r="CZ63" i="51"/>
  <c r="CY63" i="51"/>
  <c r="CX63" i="51"/>
  <c r="CW63" i="51"/>
  <c r="CV63" i="51"/>
  <c r="CU63" i="51"/>
  <c r="CT63" i="51"/>
  <c r="CS63" i="51"/>
  <c r="CR63" i="51"/>
  <c r="CQ63" i="51"/>
  <c r="CP63" i="51"/>
  <c r="CO63" i="51"/>
  <c r="CN63" i="51"/>
  <c r="CM63" i="51"/>
  <c r="CL63" i="51"/>
  <c r="CK63" i="51"/>
  <c r="CJ63" i="51"/>
  <c r="CI63" i="51"/>
  <c r="CH63" i="51"/>
  <c r="CG63" i="51"/>
  <c r="CF63" i="51"/>
  <c r="CE63" i="51"/>
  <c r="CD63" i="51"/>
  <c r="CC63" i="51"/>
  <c r="CB63" i="51"/>
  <c r="CA63" i="51"/>
  <c r="BZ63" i="51"/>
  <c r="BY63" i="51"/>
  <c r="BX63" i="51"/>
  <c r="BW63" i="51"/>
  <c r="BV63" i="51"/>
  <c r="BU63" i="51"/>
  <c r="BT63" i="51"/>
  <c r="BS63" i="51"/>
  <c r="BR63" i="51"/>
  <c r="BQ63" i="51"/>
  <c r="BP63" i="51"/>
  <c r="BO63" i="51"/>
  <c r="BN63" i="51"/>
  <c r="BM63" i="51"/>
  <c r="BL63" i="51"/>
  <c r="BK63" i="51"/>
  <c r="BJ63" i="51"/>
  <c r="BI63" i="51"/>
  <c r="BH63" i="51"/>
  <c r="BG63" i="51"/>
  <c r="BF63" i="51"/>
  <c r="BE63" i="51"/>
  <c r="BD63" i="51"/>
  <c r="BC63" i="51"/>
  <c r="BB63" i="51"/>
  <c r="BA63" i="51"/>
  <c r="AZ63" i="51"/>
  <c r="AY63" i="51"/>
  <c r="AX63" i="51"/>
  <c r="AW63" i="51"/>
  <c r="AV63" i="51"/>
  <c r="AU63" i="51"/>
  <c r="AT63" i="51"/>
  <c r="AS63" i="51"/>
  <c r="AR63" i="51"/>
  <c r="AQ63" i="51"/>
  <c r="AP63" i="51"/>
  <c r="AO63" i="51"/>
  <c r="AN63" i="51"/>
  <c r="AM63" i="51"/>
  <c r="AL63" i="51"/>
  <c r="AK63" i="51"/>
  <c r="AJ63" i="51"/>
  <c r="AI63" i="51"/>
  <c r="AH63" i="51"/>
  <c r="AG63" i="51"/>
  <c r="AF63" i="51"/>
  <c r="AE63" i="51"/>
  <c r="AD63" i="51"/>
  <c r="AC63" i="51"/>
  <c r="AB63" i="51"/>
  <c r="AA63" i="51"/>
  <c r="Z63" i="51"/>
  <c r="Y63" i="51"/>
  <c r="X63" i="51"/>
  <c r="W63" i="51"/>
  <c r="V63" i="51"/>
  <c r="U63" i="51"/>
  <c r="T63" i="51"/>
  <c r="S63" i="51"/>
  <c r="R63" i="51"/>
  <c r="Q63" i="51"/>
  <c r="P63" i="51"/>
  <c r="O63" i="51"/>
  <c r="N63" i="51"/>
  <c r="M63" i="51"/>
  <c r="L63" i="51"/>
  <c r="K63" i="51"/>
  <c r="J63" i="51"/>
  <c r="I63" i="51"/>
  <c r="H63" i="51"/>
  <c r="G63" i="51"/>
  <c r="F63" i="51"/>
  <c r="IV62" i="51"/>
  <c r="IU62" i="51"/>
  <c r="IT62" i="51"/>
  <c r="IS62" i="51"/>
  <c r="IR62" i="51"/>
  <c r="IQ62" i="51"/>
  <c r="IP62" i="51"/>
  <c r="IO62" i="51"/>
  <c r="IN62" i="51"/>
  <c r="IM62" i="51"/>
  <c r="IL62" i="51"/>
  <c r="IK62" i="51"/>
  <c r="IJ62" i="51"/>
  <c r="II62" i="51"/>
  <c r="IH62" i="51"/>
  <c r="IG62" i="51"/>
  <c r="IF62" i="51"/>
  <c r="IE62" i="51"/>
  <c r="ID62" i="51"/>
  <c r="IC62" i="51"/>
  <c r="IB62" i="51"/>
  <c r="IA62" i="51"/>
  <c r="HZ62" i="51"/>
  <c r="HY62" i="51"/>
  <c r="HX62" i="51"/>
  <c r="HW62" i="51"/>
  <c r="HV62" i="51"/>
  <c r="HU62" i="51"/>
  <c r="HT62" i="51"/>
  <c r="HS62" i="51"/>
  <c r="HR62" i="51"/>
  <c r="HQ62" i="51"/>
  <c r="HP62" i="51"/>
  <c r="HO62" i="51"/>
  <c r="HN62" i="51"/>
  <c r="HM62" i="51"/>
  <c r="HL62" i="51"/>
  <c r="HK62" i="51"/>
  <c r="HJ62" i="51"/>
  <c r="HI62" i="51"/>
  <c r="HH62" i="51"/>
  <c r="HG62" i="51"/>
  <c r="HF62" i="51"/>
  <c r="HE62" i="51"/>
  <c r="HD62" i="51"/>
  <c r="HC62" i="51"/>
  <c r="HB62" i="51"/>
  <c r="HA62" i="51"/>
  <c r="GZ62" i="51"/>
  <c r="GY62" i="51"/>
  <c r="GX62" i="51"/>
  <c r="GW62" i="51"/>
  <c r="GV62" i="51"/>
  <c r="GU62" i="51"/>
  <c r="GT62" i="51"/>
  <c r="GS62" i="51"/>
  <c r="GR62" i="51"/>
  <c r="GQ62" i="51"/>
  <c r="GP62" i="51"/>
  <c r="GO62" i="51"/>
  <c r="GN62" i="51"/>
  <c r="GM62" i="51"/>
  <c r="GL62" i="51"/>
  <c r="GK62" i="51"/>
  <c r="GJ62" i="51"/>
  <c r="GI62" i="51"/>
  <c r="GH62" i="51"/>
  <c r="GG62" i="51"/>
  <c r="GF62" i="51"/>
  <c r="GE62" i="51"/>
  <c r="GD62" i="51"/>
  <c r="GC62" i="51"/>
  <c r="GB62" i="51"/>
  <c r="GA62" i="51"/>
  <c r="FZ62" i="51"/>
  <c r="FY62" i="51"/>
  <c r="FX62" i="51"/>
  <c r="FW62" i="51"/>
  <c r="FV62" i="51"/>
  <c r="FU62" i="51"/>
  <c r="FT62" i="51"/>
  <c r="FS62" i="51"/>
  <c r="FR62" i="51"/>
  <c r="FQ62" i="51"/>
  <c r="FP62" i="51"/>
  <c r="FO62" i="51"/>
  <c r="FN62" i="51"/>
  <c r="FM62" i="51"/>
  <c r="FL62" i="51"/>
  <c r="FK62" i="51"/>
  <c r="FJ62" i="51"/>
  <c r="FI62" i="51"/>
  <c r="FH62" i="51"/>
  <c r="FG62" i="51"/>
  <c r="FF62" i="51"/>
  <c r="FE62" i="51"/>
  <c r="FD62" i="51"/>
  <c r="FC62" i="51"/>
  <c r="FB62" i="51"/>
  <c r="FA62" i="51"/>
  <c r="EZ62" i="51"/>
  <c r="EY62" i="51"/>
  <c r="EX62" i="51"/>
  <c r="EW62" i="51"/>
  <c r="EV62" i="51"/>
  <c r="EU62" i="51"/>
  <c r="ET62" i="51"/>
  <c r="ES62" i="51"/>
  <c r="ER62" i="51"/>
  <c r="EQ62" i="51"/>
  <c r="EP62" i="51"/>
  <c r="EO62" i="51"/>
  <c r="EN62" i="51"/>
  <c r="EM62" i="51"/>
  <c r="EL62" i="51"/>
  <c r="EK62" i="51"/>
  <c r="EJ62" i="51"/>
  <c r="EI62" i="51"/>
  <c r="EH62" i="51"/>
  <c r="EG62" i="51"/>
  <c r="EF62" i="51"/>
  <c r="EE62" i="51"/>
  <c r="ED62" i="51"/>
  <c r="EC62" i="51"/>
  <c r="EB62" i="51"/>
  <c r="EA62" i="51"/>
  <c r="DZ62" i="51"/>
  <c r="DY62" i="51"/>
  <c r="DX62" i="51"/>
  <c r="DW62" i="51"/>
  <c r="DV62" i="51"/>
  <c r="DU62" i="51"/>
  <c r="DT62" i="51"/>
  <c r="DS62" i="51"/>
  <c r="DR62" i="51"/>
  <c r="DQ62" i="51"/>
  <c r="DP62" i="51"/>
  <c r="DO62" i="51"/>
  <c r="DN62" i="51"/>
  <c r="DM62" i="51"/>
  <c r="DL62" i="51"/>
  <c r="DK62" i="51"/>
  <c r="DJ62" i="51"/>
  <c r="DI62" i="51"/>
  <c r="DH62" i="51"/>
  <c r="DG62" i="51"/>
  <c r="DF62" i="51"/>
  <c r="DE62" i="51"/>
  <c r="DD62" i="51"/>
  <c r="DC62" i="51"/>
  <c r="DB62" i="51"/>
  <c r="DA62" i="51"/>
  <c r="CZ62" i="51"/>
  <c r="CY62" i="51"/>
  <c r="CX62" i="51"/>
  <c r="CW62" i="51"/>
  <c r="CV62" i="51"/>
  <c r="CU62" i="51"/>
  <c r="CT62" i="51"/>
  <c r="CS62" i="51"/>
  <c r="CR62" i="51"/>
  <c r="CQ62" i="51"/>
  <c r="CP62" i="51"/>
  <c r="CO62" i="51"/>
  <c r="CN62" i="51"/>
  <c r="CM62" i="51"/>
  <c r="CL62" i="51"/>
  <c r="CK62" i="51"/>
  <c r="CJ62" i="51"/>
  <c r="CI62" i="51"/>
  <c r="CH62" i="51"/>
  <c r="CG62" i="51"/>
  <c r="CF62" i="51"/>
  <c r="CE62" i="51"/>
  <c r="CD62" i="51"/>
  <c r="CC62" i="51"/>
  <c r="CB62" i="51"/>
  <c r="CA62" i="51"/>
  <c r="BZ62" i="51"/>
  <c r="BY62" i="51"/>
  <c r="BX62" i="51"/>
  <c r="BW62" i="51"/>
  <c r="BV62" i="51"/>
  <c r="BU62" i="51"/>
  <c r="BT62" i="51"/>
  <c r="BS62" i="51"/>
  <c r="BR62" i="51"/>
  <c r="BQ62" i="51"/>
  <c r="BP62" i="51"/>
  <c r="BO62" i="51"/>
  <c r="BN62" i="51"/>
  <c r="BM62" i="51"/>
  <c r="BL62" i="51"/>
  <c r="BK62" i="51"/>
  <c r="BJ62" i="51"/>
  <c r="BI62" i="51"/>
  <c r="BH62" i="51"/>
  <c r="BG62" i="51"/>
  <c r="BF62" i="51"/>
  <c r="BE62" i="51"/>
  <c r="BD62" i="51"/>
  <c r="BC62" i="51"/>
  <c r="BB62" i="51"/>
  <c r="BA62" i="51"/>
  <c r="AZ62" i="51"/>
  <c r="AY62" i="51"/>
  <c r="AX62" i="51"/>
  <c r="AW62" i="51"/>
  <c r="AV62" i="51"/>
  <c r="AU62" i="51"/>
  <c r="AT62" i="51"/>
  <c r="AS62" i="51"/>
  <c r="AR62" i="51"/>
  <c r="AQ62" i="51"/>
  <c r="AP62" i="51"/>
  <c r="AO62" i="51"/>
  <c r="AN62" i="51"/>
  <c r="AM62" i="51"/>
  <c r="AL62" i="51"/>
  <c r="AK62" i="51"/>
  <c r="AJ62" i="51"/>
  <c r="AI62" i="51"/>
  <c r="AH62" i="51"/>
  <c r="AG62" i="51"/>
  <c r="AF62" i="51"/>
  <c r="AE62" i="51"/>
  <c r="AD62" i="51"/>
  <c r="AC62" i="51"/>
  <c r="AB62" i="51"/>
  <c r="AA62" i="51"/>
  <c r="Z62" i="51"/>
  <c r="Y62" i="51"/>
  <c r="X62" i="51"/>
  <c r="W62" i="51"/>
  <c r="V62" i="51"/>
  <c r="U62" i="51"/>
  <c r="T62" i="51"/>
  <c r="S62" i="51"/>
  <c r="R62" i="51"/>
  <c r="Q62" i="51"/>
  <c r="P62" i="51"/>
  <c r="O62" i="51"/>
  <c r="N62" i="51"/>
  <c r="M62" i="51"/>
  <c r="L62" i="51"/>
  <c r="K62" i="51"/>
  <c r="J62" i="51"/>
  <c r="I62" i="51"/>
  <c r="H62" i="51"/>
  <c r="G62" i="51"/>
  <c r="F62" i="51"/>
  <c r="IV61" i="51"/>
  <c r="IU61" i="51"/>
  <c r="IT61" i="51"/>
  <c r="IS61" i="51"/>
  <c r="IR61" i="51"/>
  <c r="IQ61" i="51"/>
  <c r="IP61" i="51"/>
  <c r="IO61" i="51"/>
  <c r="IN61" i="51"/>
  <c r="IM61" i="51"/>
  <c r="IL61" i="51"/>
  <c r="IK61" i="51"/>
  <c r="IJ61" i="51"/>
  <c r="II61" i="51"/>
  <c r="IH61" i="51"/>
  <c r="IG61" i="51"/>
  <c r="IF61" i="51"/>
  <c r="IE61" i="51"/>
  <c r="ID61" i="51"/>
  <c r="IC61" i="51"/>
  <c r="IB61" i="51"/>
  <c r="IA61" i="51"/>
  <c r="HZ61" i="51"/>
  <c r="HY61" i="51"/>
  <c r="HX61" i="51"/>
  <c r="HW61" i="51"/>
  <c r="HV61" i="51"/>
  <c r="HU61" i="51"/>
  <c r="HT61" i="51"/>
  <c r="HS61" i="51"/>
  <c r="HR61" i="51"/>
  <c r="HQ61" i="51"/>
  <c r="HP61" i="51"/>
  <c r="HO61" i="51"/>
  <c r="HN61" i="51"/>
  <c r="HM61" i="51"/>
  <c r="HL61" i="51"/>
  <c r="HK61" i="51"/>
  <c r="HJ61" i="51"/>
  <c r="HI61" i="51"/>
  <c r="HH61" i="51"/>
  <c r="HG61" i="51"/>
  <c r="HF61" i="51"/>
  <c r="HE61" i="51"/>
  <c r="HD61" i="51"/>
  <c r="HC61" i="51"/>
  <c r="HB61" i="51"/>
  <c r="HA61" i="51"/>
  <c r="GZ61" i="51"/>
  <c r="GY61" i="51"/>
  <c r="GX61" i="51"/>
  <c r="GW61" i="51"/>
  <c r="GV61" i="51"/>
  <c r="GU61" i="51"/>
  <c r="GT61" i="51"/>
  <c r="GS61" i="51"/>
  <c r="GR61" i="51"/>
  <c r="GQ61" i="51"/>
  <c r="GP61" i="51"/>
  <c r="GO61" i="51"/>
  <c r="GN61" i="51"/>
  <c r="GM61" i="51"/>
  <c r="GL61" i="51"/>
  <c r="GK61" i="51"/>
  <c r="GJ61" i="51"/>
  <c r="GI61" i="51"/>
  <c r="GH61" i="51"/>
  <c r="GG61" i="51"/>
  <c r="GF61" i="51"/>
  <c r="GE61" i="51"/>
  <c r="GD61" i="51"/>
  <c r="GC61" i="51"/>
  <c r="GB61" i="51"/>
  <c r="GA61" i="51"/>
  <c r="FZ61" i="51"/>
  <c r="FY61" i="51"/>
  <c r="FX61" i="51"/>
  <c r="FW61" i="51"/>
  <c r="FV61" i="51"/>
  <c r="FU61" i="51"/>
  <c r="FT61" i="51"/>
  <c r="FS61" i="51"/>
  <c r="FR61" i="51"/>
  <c r="FQ61" i="51"/>
  <c r="FP61" i="51"/>
  <c r="FO61" i="51"/>
  <c r="FN61" i="51"/>
  <c r="FM61" i="51"/>
  <c r="FL61" i="51"/>
  <c r="FK61" i="51"/>
  <c r="FJ61" i="51"/>
  <c r="FI61" i="51"/>
  <c r="FH61" i="51"/>
  <c r="FG61" i="51"/>
  <c r="FF61" i="51"/>
  <c r="FE61" i="51"/>
  <c r="FD61" i="51"/>
  <c r="FC61" i="51"/>
  <c r="FB61" i="51"/>
  <c r="FA61" i="51"/>
  <c r="EZ61" i="51"/>
  <c r="EY61" i="51"/>
  <c r="EX61" i="51"/>
  <c r="EW61" i="51"/>
  <c r="EV61" i="51"/>
  <c r="EU61" i="51"/>
  <c r="ET61" i="51"/>
  <c r="ES61" i="51"/>
  <c r="ER61" i="51"/>
  <c r="EQ61" i="51"/>
  <c r="EP61" i="51"/>
  <c r="EO61" i="51"/>
  <c r="EN61" i="51"/>
  <c r="EM61" i="51"/>
  <c r="EL61" i="51"/>
  <c r="EK61" i="51"/>
  <c r="EJ61" i="51"/>
  <c r="EI61" i="51"/>
  <c r="EH61" i="51"/>
  <c r="EG61" i="51"/>
  <c r="EF61" i="51"/>
  <c r="EE61" i="51"/>
  <c r="ED61" i="51"/>
  <c r="EC61" i="51"/>
  <c r="EB61" i="51"/>
  <c r="EA61" i="51"/>
  <c r="DZ61" i="51"/>
  <c r="DY61" i="51"/>
  <c r="DX61" i="51"/>
  <c r="DW61" i="51"/>
  <c r="DV61" i="51"/>
  <c r="DU61" i="51"/>
  <c r="DT61" i="51"/>
  <c r="DS61" i="51"/>
  <c r="DR61" i="51"/>
  <c r="DQ61" i="51"/>
  <c r="DP61" i="51"/>
  <c r="DO61" i="51"/>
  <c r="DN61" i="51"/>
  <c r="DM61" i="51"/>
  <c r="DL61" i="51"/>
  <c r="DK61" i="51"/>
  <c r="DJ61" i="51"/>
  <c r="DI61" i="51"/>
  <c r="DH61" i="51"/>
  <c r="DG61" i="51"/>
  <c r="DF61" i="51"/>
  <c r="DE61" i="51"/>
  <c r="DD61" i="51"/>
  <c r="DC61" i="51"/>
  <c r="DB61" i="51"/>
  <c r="DA61" i="51"/>
  <c r="CZ61" i="51"/>
  <c r="CY61" i="51"/>
  <c r="CX61" i="51"/>
  <c r="CW61" i="51"/>
  <c r="CV61" i="51"/>
  <c r="CU61" i="51"/>
  <c r="CT61" i="51"/>
  <c r="CS61" i="51"/>
  <c r="CR61" i="51"/>
  <c r="CQ61" i="51"/>
  <c r="CP61" i="51"/>
  <c r="CO61" i="51"/>
  <c r="CN61" i="51"/>
  <c r="CM61" i="51"/>
  <c r="CL61" i="51"/>
  <c r="CK61" i="51"/>
  <c r="CJ61" i="51"/>
  <c r="CI61" i="51"/>
  <c r="CH61" i="51"/>
  <c r="CG61" i="51"/>
  <c r="CF61" i="51"/>
  <c r="CE61" i="51"/>
  <c r="CD61" i="51"/>
  <c r="CC61" i="51"/>
  <c r="CB61" i="51"/>
  <c r="CA61" i="51"/>
  <c r="BZ61" i="51"/>
  <c r="BY61" i="51"/>
  <c r="BX61" i="51"/>
  <c r="BW61" i="51"/>
  <c r="BV61" i="51"/>
  <c r="BU61" i="51"/>
  <c r="BT61" i="51"/>
  <c r="BS61" i="51"/>
  <c r="BR61" i="51"/>
  <c r="BQ61" i="51"/>
  <c r="BP61" i="51"/>
  <c r="BO61" i="51"/>
  <c r="BN61" i="51"/>
  <c r="BM61" i="51"/>
  <c r="BL61" i="51"/>
  <c r="BK61" i="51"/>
  <c r="BJ61" i="51"/>
  <c r="BI61" i="51"/>
  <c r="BH61" i="51"/>
  <c r="BG61" i="51"/>
  <c r="BF61" i="51"/>
  <c r="BE61" i="51"/>
  <c r="BD61" i="51"/>
  <c r="BC61" i="51"/>
  <c r="BB61" i="51"/>
  <c r="BA61" i="51"/>
  <c r="AZ61" i="51"/>
  <c r="AY61" i="51"/>
  <c r="AX61" i="51"/>
  <c r="AW61" i="51"/>
  <c r="AV61" i="51"/>
  <c r="AU61" i="51"/>
  <c r="AT61" i="51"/>
  <c r="AS61" i="51"/>
  <c r="AR61" i="51"/>
  <c r="AQ61" i="51"/>
  <c r="AP61" i="51"/>
  <c r="AO61" i="51"/>
  <c r="AN61" i="51"/>
  <c r="AM61" i="51"/>
  <c r="AL61" i="51"/>
  <c r="AK61" i="51"/>
  <c r="AJ61" i="51"/>
  <c r="AI61" i="51"/>
  <c r="AH61" i="51"/>
  <c r="AG61" i="51"/>
  <c r="AF61" i="51"/>
  <c r="AE61" i="51"/>
  <c r="AD61" i="51"/>
  <c r="AC61" i="51"/>
  <c r="AB61" i="51"/>
  <c r="AA61" i="51"/>
  <c r="Z61" i="51"/>
  <c r="Y61" i="51"/>
  <c r="X61" i="51"/>
  <c r="W61" i="51"/>
  <c r="V61" i="51"/>
  <c r="U61" i="51"/>
  <c r="T61" i="51"/>
  <c r="S61" i="51"/>
  <c r="R61" i="51"/>
  <c r="Q61" i="51"/>
  <c r="P61" i="51"/>
  <c r="O61" i="51"/>
  <c r="N61" i="51"/>
  <c r="M61" i="51"/>
  <c r="L61" i="51"/>
  <c r="K61" i="51"/>
  <c r="J61" i="51"/>
  <c r="I61" i="51"/>
  <c r="H61" i="51"/>
  <c r="G61" i="51"/>
  <c r="F61" i="51"/>
  <c r="IV60" i="51"/>
  <c r="IU60" i="51"/>
  <c r="IT60" i="51"/>
  <c r="IS60" i="51"/>
  <c r="IR60" i="51"/>
  <c r="IQ60" i="51"/>
  <c r="IP60" i="51"/>
  <c r="IO60" i="51"/>
  <c r="IN60" i="51"/>
  <c r="IM60" i="51"/>
  <c r="IL60" i="51"/>
  <c r="IK60" i="51"/>
  <c r="IJ60" i="51"/>
  <c r="II60" i="51"/>
  <c r="IH60" i="51"/>
  <c r="IG60" i="51"/>
  <c r="IF60" i="51"/>
  <c r="IE60" i="51"/>
  <c r="ID60" i="51"/>
  <c r="IC60" i="51"/>
  <c r="IB60" i="51"/>
  <c r="IA60" i="51"/>
  <c r="HZ60" i="51"/>
  <c r="HY60" i="51"/>
  <c r="HX60" i="51"/>
  <c r="HW60" i="51"/>
  <c r="HV60" i="51"/>
  <c r="HU60" i="51"/>
  <c r="HT60" i="51"/>
  <c r="HS60" i="51"/>
  <c r="HR60" i="51"/>
  <c r="HQ60" i="51"/>
  <c r="HP60" i="51"/>
  <c r="HO60" i="51"/>
  <c r="HN60" i="51"/>
  <c r="HM60" i="51"/>
  <c r="HL60" i="51"/>
  <c r="HK60" i="51"/>
  <c r="HJ60" i="51"/>
  <c r="HI60" i="51"/>
  <c r="HH60" i="51"/>
  <c r="HG60" i="51"/>
  <c r="HF60" i="51"/>
  <c r="HE60" i="51"/>
  <c r="HD60" i="51"/>
  <c r="HC60" i="51"/>
  <c r="HB60" i="51"/>
  <c r="HA60" i="51"/>
  <c r="GZ60" i="51"/>
  <c r="GY60" i="51"/>
  <c r="GX60" i="51"/>
  <c r="GW60" i="51"/>
  <c r="GV60" i="51"/>
  <c r="GU60" i="51"/>
  <c r="GT60" i="51"/>
  <c r="GS60" i="51"/>
  <c r="GR60" i="51"/>
  <c r="GQ60" i="51"/>
  <c r="GP60" i="51"/>
  <c r="GO60" i="51"/>
  <c r="GN60" i="51"/>
  <c r="GM60" i="51"/>
  <c r="GL60" i="51"/>
  <c r="GK60" i="51"/>
  <c r="GJ60" i="51"/>
  <c r="GI60" i="51"/>
  <c r="GH60" i="51"/>
  <c r="GG60" i="51"/>
  <c r="GF60" i="51"/>
  <c r="GE60" i="51"/>
  <c r="GD60" i="51"/>
  <c r="GC60" i="51"/>
  <c r="GB60" i="51"/>
  <c r="GA60" i="51"/>
  <c r="FZ60" i="51"/>
  <c r="FY60" i="51"/>
  <c r="FX60" i="51"/>
  <c r="FW60" i="51"/>
  <c r="FV60" i="51"/>
  <c r="FU60" i="51"/>
  <c r="FT60" i="51"/>
  <c r="FS60" i="51"/>
  <c r="FR60" i="51"/>
  <c r="FQ60" i="51"/>
  <c r="FP60" i="51"/>
  <c r="FO60" i="51"/>
  <c r="FN60" i="51"/>
  <c r="FM60" i="51"/>
  <c r="FL60" i="51"/>
  <c r="FK60" i="51"/>
  <c r="FJ60" i="51"/>
  <c r="FI60" i="51"/>
  <c r="FH60" i="51"/>
  <c r="FG60" i="51"/>
  <c r="FF60" i="51"/>
  <c r="FE60" i="51"/>
  <c r="FD60" i="51"/>
  <c r="FC60" i="51"/>
  <c r="FB60" i="51"/>
  <c r="FA60" i="51"/>
  <c r="EZ60" i="51"/>
  <c r="EY60" i="51"/>
  <c r="EX60" i="51"/>
  <c r="EW60" i="51"/>
  <c r="EV60" i="51"/>
  <c r="EU60" i="51"/>
  <c r="ET60" i="51"/>
  <c r="ES60" i="51"/>
  <c r="ER60" i="51"/>
  <c r="EQ60" i="51"/>
  <c r="EP60" i="51"/>
  <c r="EO60" i="51"/>
  <c r="EN60" i="51"/>
  <c r="EM60" i="51"/>
  <c r="EL60" i="51"/>
  <c r="EK60" i="51"/>
  <c r="EJ60" i="51"/>
  <c r="EI60" i="51"/>
  <c r="EH60" i="51"/>
  <c r="EG60" i="51"/>
  <c r="EF60" i="51"/>
  <c r="EE60" i="51"/>
  <c r="ED60" i="51"/>
  <c r="EC60" i="51"/>
  <c r="EB60" i="51"/>
  <c r="EA60" i="51"/>
  <c r="DZ60" i="51"/>
  <c r="DY60" i="51"/>
  <c r="DX60" i="51"/>
  <c r="DW60" i="51"/>
  <c r="DV60" i="51"/>
  <c r="DU60" i="51"/>
  <c r="DT60" i="51"/>
  <c r="DS60" i="51"/>
  <c r="DR60" i="51"/>
  <c r="DQ60" i="51"/>
  <c r="DP60" i="51"/>
  <c r="DO60" i="51"/>
  <c r="DN60" i="51"/>
  <c r="DM60" i="51"/>
  <c r="DL60" i="51"/>
  <c r="DK60" i="51"/>
  <c r="DJ60" i="51"/>
  <c r="DI60" i="51"/>
  <c r="DH60" i="51"/>
  <c r="DG60" i="51"/>
  <c r="DF60" i="51"/>
  <c r="DE60" i="51"/>
  <c r="DD60" i="51"/>
  <c r="DC60" i="51"/>
  <c r="DB60" i="51"/>
  <c r="DA60" i="51"/>
  <c r="CZ60" i="51"/>
  <c r="CY60" i="51"/>
  <c r="CX60" i="51"/>
  <c r="CW60" i="51"/>
  <c r="CV60" i="51"/>
  <c r="CU60" i="51"/>
  <c r="CT60" i="51"/>
  <c r="CS60" i="51"/>
  <c r="CR60" i="51"/>
  <c r="CQ60" i="51"/>
  <c r="CP60" i="51"/>
  <c r="CO60" i="51"/>
  <c r="CN60" i="51"/>
  <c r="CM60" i="51"/>
  <c r="CL60" i="51"/>
  <c r="CK60" i="51"/>
  <c r="CJ60" i="51"/>
  <c r="CI60" i="51"/>
  <c r="CH60" i="51"/>
  <c r="CG60" i="51"/>
  <c r="CF60" i="51"/>
  <c r="CE60" i="51"/>
  <c r="CD60" i="51"/>
  <c r="CC60" i="51"/>
  <c r="CB60" i="51"/>
  <c r="CA60" i="51"/>
  <c r="BZ60" i="51"/>
  <c r="BY60" i="51"/>
  <c r="BX60" i="51"/>
  <c r="BW60" i="51"/>
  <c r="BV60" i="51"/>
  <c r="BU60" i="51"/>
  <c r="BT60" i="51"/>
  <c r="BS60" i="51"/>
  <c r="BR60" i="51"/>
  <c r="BQ60" i="51"/>
  <c r="BP60" i="51"/>
  <c r="BO60" i="51"/>
  <c r="BN60" i="51"/>
  <c r="BM60" i="51"/>
  <c r="BL60" i="51"/>
  <c r="BK60" i="51"/>
  <c r="BJ60" i="51"/>
  <c r="BI60" i="51"/>
  <c r="BH60" i="51"/>
  <c r="BG60" i="51"/>
  <c r="BF60" i="51"/>
  <c r="BE60" i="51"/>
  <c r="BD60" i="51"/>
  <c r="BC60" i="51"/>
  <c r="BB60" i="51"/>
  <c r="BA60" i="51"/>
  <c r="AZ60" i="51"/>
  <c r="AY60" i="51"/>
  <c r="AX60" i="51"/>
  <c r="AW60" i="51"/>
  <c r="AV60" i="51"/>
  <c r="AU60" i="51"/>
  <c r="AT60" i="51"/>
  <c r="AS60" i="51"/>
  <c r="AR60" i="51"/>
  <c r="AQ60" i="51"/>
  <c r="AP60" i="51"/>
  <c r="AO60" i="51"/>
  <c r="AN60" i="51"/>
  <c r="AM60" i="51"/>
  <c r="AL60" i="51"/>
  <c r="AK60" i="51"/>
  <c r="AJ60" i="51"/>
  <c r="AI60" i="51"/>
  <c r="AH60" i="51"/>
  <c r="AG60" i="51"/>
  <c r="AF60" i="51"/>
  <c r="AE60" i="51"/>
  <c r="AD60" i="51"/>
  <c r="AC60" i="51"/>
  <c r="AB60" i="51"/>
  <c r="AA60" i="51"/>
  <c r="Z60" i="51"/>
  <c r="Y60" i="51"/>
  <c r="X60" i="51"/>
  <c r="W60" i="51"/>
  <c r="V60" i="51"/>
  <c r="U60" i="51"/>
  <c r="T60" i="51"/>
  <c r="S60" i="51"/>
  <c r="R60" i="51"/>
  <c r="Q60" i="51"/>
  <c r="P60" i="51"/>
  <c r="O60" i="51"/>
  <c r="N60" i="51"/>
  <c r="M60" i="51"/>
  <c r="L60" i="51"/>
  <c r="K60" i="51"/>
  <c r="J60" i="51"/>
  <c r="I60" i="51"/>
  <c r="H60" i="51"/>
  <c r="G60" i="51"/>
  <c r="F60" i="51"/>
  <c r="IV59" i="51"/>
  <c r="IU59" i="51"/>
  <c r="IT59" i="51"/>
  <c r="IS59" i="51"/>
  <c r="IR59" i="51"/>
  <c r="IQ59" i="51"/>
  <c r="IP59" i="51"/>
  <c r="IO59" i="51"/>
  <c r="IN59" i="51"/>
  <c r="IM59" i="51"/>
  <c r="IL59" i="51"/>
  <c r="IK59" i="51"/>
  <c r="IJ59" i="51"/>
  <c r="II59" i="51"/>
  <c r="IH59" i="51"/>
  <c r="IG59" i="51"/>
  <c r="IF59" i="51"/>
  <c r="IE59" i="51"/>
  <c r="ID59" i="51"/>
  <c r="IC59" i="51"/>
  <c r="IB59" i="51"/>
  <c r="IA59" i="51"/>
  <c r="HZ59" i="51"/>
  <c r="HY59" i="51"/>
  <c r="HX59" i="51"/>
  <c r="HW59" i="51"/>
  <c r="HV59" i="51"/>
  <c r="HU59" i="51"/>
  <c r="HT59" i="51"/>
  <c r="HS59" i="51"/>
  <c r="HR59" i="51"/>
  <c r="HQ59" i="51"/>
  <c r="HP59" i="51"/>
  <c r="HO59" i="51"/>
  <c r="HN59" i="51"/>
  <c r="HM59" i="51"/>
  <c r="HL59" i="51"/>
  <c r="HK59" i="51"/>
  <c r="HJ59" i="51"/>
  <c r="HI59" i="51"/>
  <c r="HH59" i="51"/>
  <c r="HG59" i="51"/>
  <c r="HF59" i="51"/>
  <c r="HE59" i="51"/>
  <c r="HD59" i="51"/>
  <c r="HC59" i="51"/>
  <c r="HB59" i="51"/>
  <c r="HA59" i="51"/>
  <c r="GZ59" i="51"/>
  <c r="GY59" i="51"/>
  <c r="GX59" i="51"/>
  <c r="GW59" i="51"/>
  <c r="GV59" i="51"/>
  <c r="GU59" i="51"/>
  <c r="GT59" i="51"/>
  <c r="GS59" i="51"/>
  <c r="GR59" i="51"/>
  <c r="GQ59" i="51"/>
  <c r="GP59" i="51"/>
  <c r="GO59" i="51"/>
  <c r="GN59" i="51"/>
  <c r="GM59" i="51"/>
  <c r="GL59" i="51"/>
  <c r="GK59" i="51"/>
  <c r="GJ59" i="51"/>
  <c r="GI59" i="51"/>
  <c r="GH59" i="51"/>
  <c r="GG59" i="51"/>
  <c r="GF59" i="51"/>
  <c r="GE59" i="51"/>
  <c r="GD59" i="51"/>
  <c r="GC59" i="51"/>
  <c r="GB59" i="51"/>
  <c r="GA59" i="51"/>
  <c r="FZ59" i="51"/>
  <c r="FY59" i="51"/>
  <c r="FX59" i="51"/>
  <c r="FW59" i="51"/>
  <c r="FV59" i="51"/>
  <c r="FU59" i="51"/>
  <c r="FT59" i="51"/>
  <c r="FS59" i="51"/>
  <c r="FR59" i="51"/>
  <c r="FQ59" i="51"/>
  <c r="FP59" i="51"/>
  <c r="FO59" i="51"/>
  <c r="FN59" i="51"/>
  <c r="FM59" i="51"/>
  <c r="FL59" i="51"/>
  <c r="FK59" i="51"/>
  <c r="FJ59" i="51"/>
  <c r="FI59" i="51"/>
  <c r="FH59" i="51"/>
  <c r="FG59" i="51"/>
  <c r="FF59" i="51"/>
  <c r="FE59" i="51"/>
  <c r="FD59" i="51"/>
  <c r="FC59" i="51"/>
  <c r="FB59" i="51"/>
  <c r="FA59" i="51"/>
  <c r="EZ59" i="51"/>
  <c r="EY59" i="51"/>
  <c r="EX59" i="51"/>
  <c r="EW59" i="51"/>
  <c r="EV59" i="51"/>
  <c r="EU59" i="51"/>
  <c r="ET59" i="51"/>
  <c r="ES59" i="51"/>
  <c r="ER59" i="51"/>
  <c r="EQ59" i="51"/>
  <c r="EP59" i="51"/>
  <c r="EO59" i="51"/>
  <c r="EN59" i="51"/>
  <c r="EM59" i="51"/>
  <c r="EL59" i="51"/>
  <c r="EK59" i="51"/>
  <c r="EJ59" i="51"/>
  <c r="EI59" i="51"/>
  <c r="EH59" i="51"/>
  <c r="EG59" i="51"/>
  <c r="EF59" i="51"/>
  <c r="EE59" i="51"/>
  <c r="ED59" i="51"/>
  <c r="EC59" i="51"/>
  <c r="EB59" i="51"/>
  <c r="EA59" i="51"/>
  <c r="DZ59" i="51"/>
  <c r="DY59" i="51"/>
  <c r="DX59" i="51"/>
  <c r="DW59" i="51"/>
  <c r="DV59" i="51"/>
  <c r="DU59" i="51"/>
  <c r="DT59" i="51"/>
  <c r="DS59" i="51"/>
  <c r="DR59" i="51"/>
  <c r="DQ59" i="51"/>
  <c r="DP59" i="51"/>
  <c r="DO59" i="51"/>
  <c r="DN59" i="51"/>
  <c r="DM59" i="51"/>
  <c r="DL59" i="51"/>
  <c r="DK59" i="51"/>
  <c r="DJ59" i="51"/>
  <c r="DI59" i="51"/>
  <c r="DH59" i="51"/>
  <c r="DG59" i="51"/>
  <c r="DF59" i="51"/>
  <c r="DE59" i="51"/>
  <c r="DD59" i="51"/>
  <c r="DC59" i="51"/>
  <c r="DB59" i="51"/>
  <c r="DA59" i="51"/>
  <c r="CZ59" i="51"/>
  <c r="CY59" i="51"/>
  <c r="CX59" i="51"/>
  <c r="CW59" i="51"/>
  <c r="CV59" i="51"/>
  <c r="CU59" i="51"/>
  <c r="CT59" i="51"/>
  <c r="CS59" i="51"/>
  <c r="CR59" i="51"/>
  <c r="CQ59" i="51"/>
  <c r="CP59" i="51"/>
  <c r="CO59" i="51"/>
  <c r="CN59" i="51"/>
  <c r="CM59" i="51"/>
  <c r="CL59" i="51"/>
  <c r="CK59" i="51"/>
  <c r="CJ59" i="51"/>
  <c r="CI59" i="51"/>
  <c r="CH59" i="51"/>
  <c r="CG59" i="51"/>
  <c r="CF59" i="51"/>
  <c r="CE59" i="51"/>
  <c r="CD59" i="51"/>
  <c r="CC59" i="51"/>
  <c r="CB59" i="51"/>
  <c r="CA59" i="51"/>
  <c r="BZ59" i="51"/>
  <c r="BY59" i="51"/>
  <c r="BX59" i="51"/>
  <c r="BW59" i="51"/>
  <c r="BV59" i="51"/>
  <c r="BU59" i="51"/>
  <c r="BT59" i="51"/>
  <c r="BS59" i="51"/>
  <c r="BR59" i="51"/>
  <c r="BQ59" i="51"/>
  <c r="BP59" i="51"/>
  <c r="BO59" i="51"/>
  <c r="BN59" i="51"/>
  <c r="BM59" i="51"/>
  <c r="BL59" i="51"/>
  <c r="BK59" i="51"/>
  <c r="BJ59" i="51"/>
  <c r="BI59" i="51"/>
  <c r="BH59" i="51"/>
  <c r="BG59" i="51"/>
  <c r="BF59" i="51"/>
  <c r="BE59" i="51"/>
  <c r="BD59" i="51"/>
  <c r="BC59" i="51"/>
  <c r="BB59" i="51"/>
  <c r="BA59" i="51"/>
  <c r="AZ59" i="51"/>
  <c r="AY59" i="51"/>
  <c r="AX59" i="51"/>
  <c r="AW59" i="51"/>
  <c r="AV59" i="51"/>
  <c r="AU59" i="51"/>
  <c r="AT59" i="51"/>
  <c r="AS59" i="51"/>
  <c r="AR59" i="51"/>
  <c r="AQ59" i="51"/>
  <c r="AP59" i="51"/>
  <c r="AO59" i="51"/>
  <c r="AN59" i="51"/>
  <c r="AM59" i="51"/>
  <c r="AL59" i="51"/>
  <c r="AK59" i="51"/>
  <c r="AJ59" i="51"/>
  <c r="AI59" i="51"/>
  <c r="AH59" i="51"/>
  <c r="AG59" i="51"/>
  <c r="AF59" i="51"/>
  <c r="AE59" i="51"/>
  <c r="AD59" i="51"/>
  <c r="AC59" i="51"/>
  <c r="AB59" i="51"/>
  <c r="AA59" i="51"/>
  <c r="Z59" i="51"/>
  <c r="Y59" i="51"/>
  <c r="X59" i="51"/>
  <c r="W59" i="51"/>
  <c r="V59" i="51"/>
  <c r="U59" i="51"/>
  <c r="T59" i="51"/>
  <c r="S59" i="51"/>
  <c r="R59" i="51"/>
  <c r="Q59" i="51"/>
  <c r="P59" i="51"/>
  <c r="O59" i="51"/>
  <c r="N59" i="51"/>
  <c r="M59" i="51"/>
  <c r="L59" i="51"/>
  <c r="K59" i="51"/>
  <c r="J59" i="51"/>
  <c r="I59" i="51"/>
  <c r="H59" i="51"/>
  <c r="G59" i="51"/>
  <c r="F59" i="51"/>
  <c r="IV58" i="51"/>
  <c r="IU58" i="51"/>
  <c r="IT58" i="51"/>
  <c r="IS58" i="51"/>
  <c r="IR58" i="51"/>
  <c r="IQ58" i="51"/>
  <c r="IP58" i="51"/>
  <c r="IO58" i="51"/>
  <c r="IN58" i="51"/>
  <c r="IM58" i="51"/>
  <c r="IL58" i="51"/>
  <c r="IK58" i="51"/>
  <c r="IJ58" i="51"/>
  <c r="II58" i="51"/>
  <c r="IH58" i="51"/>
  <c r="IG58" i="51"/>
  <c r="IF58" i="51"/>
  <c r="IE58" i="51"/>
  <c r="ID58" i="51"/>
  <c r="IC58" i="51"/>
  <c r="IB58" i="51"/>
  <c r="IA58" i="51"/>
  <c r="HZ58" i="51"/>
  <c r="HY58" i="51"/>
  <c r="HX58" i="51"/>
  <c r="HW58" i="51"/>
  <c r="HV58" i="51"/>
  <c r="HU58" i="51"/>
  <c r="HT58" i="51"/>
  <c r="HS58" i="51"/>
  <c r="HR58" i="51"/>
  <c r="HQ58" i="51"/>
  <c r="HP58" i="51"/>
  <c r="HO58" i="51"/>
  <c r="HN58" i="51"/>
  <c r="HM58" i="51"/>
  <c r="HL58" i="51"/>
  <c r="HK58" i="51"/>
  <c r="HJ58" i="51"/>
  <c r="HI58" i="51"/>
  <c r="HH58" i="51"/>
  <c r="HG58" i="51"/>
  <c r="HF58" i="51"/>
  <c r="HE58" i="51"/>
  <c r="HD58" i="51"/>
  <c r="HC58" i="51"/>
  <c r="HB58" i="51"/>
  <c r="HA58" i="51"/>
  <c r="GZ58" i="51"/>
  <c r="GY58" i="51"/>
  <c r="GX58" i="51"/>
  <c r="GW58" i="51"/>
  <c r="GV58" i="51"/>
  <c r="GU58" i="51"/>
  <c r="GT58" i="51"/>
  <c r="GS58" i="51"/>
  <c r="GR58" i="51"/>
  <c r="GQ58" i="51"/>
  <c r="GP58" i="51"/>
  <c r="GO58" i="51"/>
  <c r="GN58" i="51"/>
  <c r="GM58" i="51"/>
  <c r="GL58" i="51"/>
  <c r="GK58" i="51"/>
  <c r="GJ58" i="51"/>
  <c r="GI58" i="51"/>
  <c r="GH58" i="51"/>
  <c r="GG58" i="51"/>
  <c r="GF58" i="51"/>
  <c r="GE58" i="51"/>
  <c r="GD58" i="51"/>
  <c r="GC58" i="51"/>
  <c r="GB58" i="51"/>
  <c r="GA58" i="51"/>
  <c r="FZ58" i="51"/>
  <c r="FY58" i="51"/>
  <c r="FX58" i="51"/>
  <c r="FW58" i="51"/>
  <c r="FV58" i="51"/>
  <c r="FU58" i="51"/>
  <c r="FT58" i="51"/>
  <c r="FS58" i="51"/>
  <c r="FR58" i="51"/>
  <c r="FQ58" i="51"/>
  <c r="FP58" i="51"/>
  <c r="FO58" i="51"/>
  <c r="FN58" i="51"/>
  <c r="FM58" i="51"/>
  <c r="FL58" i="51"/>
  <c r="FK58" i="51"/>
  <c r="FJ58" i="51"/>
  <c r="FI58" i="51"/>
  <c r="FH58" i="51"/>
  <c r="FG58" i="51"/>
  <c r="FF58" i="51"/>
  <c r="FE58" i="51"/>
  <c r="FD58" i="51"/>
  <c r="FC58" i="51"/>
  <c r="FB58" i="51"/>
  <c r="FA58" i="51"/>
  <c r="EZ58" i="51"/>
  <c r="EY58" i="51"/>
  <c r="EX58" i="51"/>
  <c r="EW58" i="51"/>
  <c r="EV58" i="51"/>
  <c r="EU58" i="51"/>
  <c r="ET58" i="51"/>
  <c r="ES58" i="51"/>
  <c r="ER58" i="51"/>
  <c r="EQ58" i="51"/>
  <c r="EP58" i="51"/>
  <c r="EO58" i="51"/>
  <c r="EN58" i="51"/>
  <c r="EM58" i="51"/>
  <c r="EL58" i="51"/>
  <c r="EK58" i="51"/>
  <c r="EJ58" i="51"/>
  <c r="EI58" i="51"/>
  <c r="EH58" i="51"/>
  <c r="EG58" i="51"/>
  <c r="EF58" i="51"/>
  <c r="EE58" i="51"/>
  <c r="ED58" i="51"/>
  <c r="EC58" i="51"/>
  <c r="EB58" i="51"/>
  <c r="EA58" i="51"/>
  <c r="DZ58" i="51"/>
  <c r="DY58" i="51"/>
  <c r="DX58" i="51"/>
  <c r="DW58" i="51"/>
  <c r="DV58" i="51"/>
  <c r="DU58" i="51"/>
  <c r="DT58" i="51"/>
  <c r="DS58" i="51"/>
  <c r="DR58" i="51"/>
  <c r="DQ58" i="51"/>
  <c r="DP58" i="51"/>
  <c r="DO58" i="51"/>
  <c r="DN58" i="51"/>
  <c r="DM58" i="51"/>
  <c r="DL58" i="51"/>
  <c r="DK58" i="51"/>
  <c r="DJ58" i="51"/>
  <c r="DI58" i="51"/>
  <c r="DH58" i="51"/>
  <c r="DG58" i="51"/>
  <c r="DF58" i="51"/>
  <c r="DE58" i="51"/>
  <c r="DD58" i="51"/>
  <c r="DC58" i="51"/>
  <c r="DB58" i="51"/>
  <c r="DA58" i="51"/>
  <c r="CZ58" i="51"/>
  <c r="CY58" i="51"/>
  <c r="CX58" i="51"/>
  <c r="CW58" i="51"/>
  <c r="CV58" i="51"/>
  <c r="CU58" i="51"/>
  <c r="CT58" i="51"/>
  <c r="CS58" i="51"/>
  <c r="CR58" i="51"/>
  <c r="CQ58" i="51"/>
  <c r="CP58" i="51"/>
  <c r="CO58" i="51"/>
  <c r="CN58" i="51"/>
  <c r="CM58" i="51"/>
  <c r="CL58" i="51"/>
  <c r="CK58" i="51"/>
  <c r="CJ58" i="51"/>
  <c r="CI58" i="51"/>
  <c r="CH58" i="51"/>
  <c r="CG58" i="51"/>
  <c r="CF58" i="51"/>
  <c r="CE58" i="51"/>
  <c r="CD58" i="51"/>
  <c r="CC58" i="51"/>
  <c r="CB58" i="51"/>
  <c r="CA58" i="51"/>
  <c r="BZ58" i="51"/>
  <c r="BY58" i="51"/>
  <c r="BX58" i="51"/>
  <c r="BW58" i="51"/>
  <c r="BV58" i="51"/>
  <c r="BU58" i="51"/>
  <c r="BT58" i="51"/>
  <c r="BS58" i="51"/>
  <c r="BR58" i="51"/>
  <c r="BQ58" i="51"/>
  <c r="BP58" i="51"/>
  <c r="BO58" i="51"/>
  <c r="BN58" i="51"/>
  <c r="BM58" i="51"/>
  <c r="BL58" i="51"/>
  <c r="BK58" i="51"/>
  <c r="BJ58" i="51"/>
  <c r="BI58" i="51"/>
  <c r="BH58" i="51"/>
  <c r="BG58" i="51"/>
  <c r="BF58" i="51"/>
  <c r="BE58" i="51"/>
  <c r="BD58" i="51"/>
  <c r="BC58" i="51"/>
  <c r="BB58" i="51"/>
  <c r="BA58" i="51"/>
  <c r="AZ58" i="51"/>
  <c r="AY58" i="51"/>
  <c r="AX58" i="51"/>
  <c r="AW58" i="51"/>
  <c r="AV58" i="51"/>
  <c r="AU58" i="51"/>
  <c r="AT58" i="51"/>
  <c r="AS58" i="51"/>
  <c r="AR58" i="51"/>
  <c r="AQ58" i="51"/>
  <c r="AP58" i="51"/>
  <c r="AO58" i="51"/>
  <c r="AN58" i="51"/>
  <c r="AM58" i="51"/>
  <c r="AL58" i="51"/>
  <c r="AK58" i="51"/>
  <c r="AJ58" i="51"/>
  <c r="AI58" i="51"/>
  <c r="AH58" i="51"/>
  <c r="AG58" i="51"/>
  <c r="AF58" i="51"/>
  <c r="AE58" i="51"/>
  <c r="AD58" i="51"/>
  <c r="AC58" i="51"/>
  <c r="AB58" i="51"/>
  <c r="AA58" i="51"/>
  <c r="Z58" i="51"/>
  <c r="Y58" i="51"/>
  <c r="X58" i="51"/>
  <c r="W58" i="51"/>
  <c r="V58" i="51"/>
  <c r="U58" i="51"/>
  <c r="T58" i="51"/>
  <c r="S58" i="51"/>
  <c r="R58" i="51"/>
  <c r="Q58" i="51"/>
  <c r="P58" i="51"/>
  <c r="O58" i="51"/>
  <c r="N58" i="51"/>
  <c r="M58" i="51"/>
  <c r="L58" i="51"/>
  <c r="K58" i="51"/>
  <c r="J58" i="51"/>
  <c r="I58" i="51"/>
  <c r="H58" i="51"/>
  <c r="G58" i="51"/>
  <c r="F58" i="51"/>
  <c r="IV57" i="51"/>
  <c r="IU57" i="51"/>
  <c r="IT57" i="51"/>
  <c r="IS57" i="51"/>
  <c r="IR57" i="51"/>
  <c r="IQ57" i="51"/>
  <c r="IP57" i="51"/>
  <c r="IO57" i="51"/>
  <c r="IN57" i="51"/>
  <c r="IM57" i="51"/>
  <c r="IL57" i="51"/>
  <c r="IK57" i="51"/>
  <c r="IJ57" i="51"/>
  <c r="II57" i="51"/>
  <c r="IH57" i="51"/>
  <c r="IG57" i="51"/>
  <c r="IF57" i="51"/>
  <c r="IE57" i="51"/>
  <c r="ID57" i="51"/>
  <c r="IC57" i="51"/>
  <c r="IB57" i="51"/>
  <c r="IA57" i="51"/>
  <c r="HZ57" i="51"/>
  <c r="HY57" i="51"/>
  <c r="HX57" i="51"/>
  <c r="HW57" i="51"/>
  <c r="HV57" i="51"/>
  <c r="HU57" i="51"/>
  <c r="HT57" i="51"/>
  <c r="HS57" i="51"/>
  <c r="HR57" i="51"/>
  <c r="HQ57" i="51"/>
  <c r="HP57" i="51"/>
  <c r="HO57" i="51"/>
  <c r="HN57" i="51"/>
  <c r="HM57" i="51"/>
  <c r="HL57" i="51"/>
  <c r="HK57" i="51"/>
  <c r="HJ57" i="51"/>
  <c r="HI57" i="51"/>
  <c r="HH57" i="51"/>
  <c r="HG57" i="51"/>
  <c r="HF57" i="51"/>
  <c r="HE57" i="51"/>
  <c r="HD57" i="51"/>
  <c r="HC57" i="51"/>
  <c r="HB57" i="51"/>
  <c r="HA57" i="51"/>
  <c r="GZ57" i="51"/>
  <c r="GY57" i="51"/>
  <c r="GX57" i="51"/>
  <c r="GW57" i="51"/>
  <c r="GV57" i="51"/>
  <c r="GU57" i="51"/>
  <c r="GT57" i="51"/>
  <c r="GS57" i="51"/>
  <c r="GR57" i="51"/>
  <c r="GQ57" i="51"/>
  <c r="GP57" i="51"/>
  <c r="GO57" i="51"/>
  <c r="GN57" i="51"/>
  <c r="GM57" i="51"/>
  <c r="GL57" i="51"/>
  <c r="GK57" i="51"/>
  <c r="GJ57" i="51"/>
  <c r="GI57" i="51"/>
  <c r="GH57" i="51"/>
  <c r="GG57" i="51"/>
  <c r="GF57" i="51"/>
  <c r="GE57" i="51"/>
  <c r="GD57" i="51"/>
  <c r="GC57" i="51"/>
  <c r="GB57" i="51"/>
  <c r="GA57" i="51"/>
  <c r="FZ57" i="51"/>
  <c r="FY57" i="51"/>
  <c r="FX57" i="51"/>
  <c r="FW57" i="51"/>
  <c r="FV57" i="51"/>
  <c r="FU57" i="51"/>
  <c r="FT57" i="51"/>
  <c r="FS57" i="51"/>
  <c r="FR57" i="51"/>
  <c r="FQ57" i="51"/>
  <c r="FP57" i="51"/>
  <c r="FO57" i="51"/>
  <c r="FN57" i="51"/>
  <c r="FM57" i="51"/>
  <c r="FL57" i="51"/>
  <c r="FK57" i="51"/>
  <c r="FJ57" i="51"/>
  <c r="FI57" i="51"/>
  <c r="FH57" i="51"/>
  <c r="FG57" i="51"/>
  <c r="FF57" i="51"/>
  <c r="FE57" i="51"/>
  <c r="FD57" i="51"/>
  <c r="FC57" i="51"/>
  <c r="FB57" i="51"/>
  <c r="FA57" i="51"/>
  <c r="EZ57" i="51"/>
  <c r="EY57" i="51"/>
  <c r="EX57" i="51"/>
  <c r="EW57" i="51"/>
  <c r="EV57" i="51"/>
  <c r="EU57" i="51"/>
  <c r="ET57" i="51"/>
  <c r="ES57" i="51"/>
  <c r="ER57" i="51"/>
  <c r="EQ57" i="51"/>
  <c r="EP57" i="51"/>
  <c r="EO57" i="51"/>
  <c r="EN57" i="51"/>
  <c r="EM57" i="51"/>
  <c r="EL57" i="51"/>
  <c r="EK57" i="51"/>
  <c r="EJ57" i="51"/>
  <c r="EI57" i="51"/>
  <c r="EH57" i="51"/>
  <c r="EG57" i="51"/>
  <c r="EF57" i="51"/>
  <c r="EE57" i="51"/>
  <c r="ED57" i="51"/>
  <c r="EC57" i="51"/>
  <c r="EB57" i="51"/>
  <c r="EA57" i="51"/>
  <c r="DZ57" i="51"/>
  <c r="DY57" i="51"/>
  <c r="DX57" i="51"/>
  <c r="DW57" i="51"/>
  <c r="DV57" i="51"/>
  <c r="DU57" i="51"/>
  <c r="DT57" i="51"/>
  <c r="DS57" i="51"/>
  <c r="DR57" i="51"/>
  <c r="DQ57" i="51"/>
  <c r="DP57" i="51"/>
  <c r="DO57" i="51"/>
  <c r="DN57" i="51"/>
  <c r="DM57" i="51"/>
  <c r="DL57" i="51"/>
  <c r="DK57" i="51"/>
  <c r="DJ57" i="51"/>
  <c r="DI57" i="51"/>
  <c r="DH57" i="51"/>
  <c r="DG57" i="51"/>
  <c r="DF57" i="51"/>
  <c r="DE57" i="51"/>
  <c r="DD57" i="51"/>
  <c r="DC57" i="51"/>
  <c r="DB57" i="51"/>
  <c r="DA57" i="51"/>
  <c r="CZ57" i="51"/>
  <c r="CY57" i="51"/>
  <c r="CX57" i="51"/>
  <c r="CW57" i="51"/>
  <c r="CV57" i="51"/>
  <c r="CU57" i="51"/>
  <c r="CT57" i="51"/>
  <c r="CS57" i="51"/>
  <c r="CR57" i="51"/>
  <c r="CQ57" i="51"/>
  <c r="CP57" i="51"/>
  <c r="CO57" i="51"/>
  <c r="CN57" i="51"/>
  <c r="CM57" i="51"/>
  <c r="CL57" i="51"/>
  <c r="CK57" i="51"/>
  <c r="CJ57" i="51"/>
  <c r="CI57" i="51"/>
  <c r="CH57" i="51"/>
  <c r="CG57" i="51"/>
  <c r="CF57" i="51"/>
  <c r="CE57" i="51"/>
  <c r="CD57" i="51"/>
  <c r="CC57" i="51"/>
  <c r="CB57" i="51"/>
  <c r="CA57" i="51"/>
  <c r="BZ57" i="51"/>
  <c r="BY57" i="51"/>
  <c r="BX57" i="51"/>
  <c r="BW57" i="51"/>
  <c r="BV57" i="51"/>
  <c r="BU57" i="51"/>
  <c r="BT57" i="51"/>
  <c r="BS57" i="51"/>
  <c r="BR57" i="51"/>
  <c r="BQ57" i="51"/>
  <c r="BP57" i="51"/>
  <c r="BO57" i="51"/>
  <c r="BN57" i="51"/>
  <c r="BM57" i="51"/>
  <c r="BL57" i="51"/>
  <c r="BK57" i="51"/>
  <c r="BJ57" i="51"/>
  <c r="BI57" i="51"/>
  <c r="BH57" i="51"/>
  <c r="BG57" i="51"/>
  <c r="BF57" i="51"/>
  <c r="BE57" i="51"/>
  <c r="BD57" i="51"/>
  <c r="BC57" i="51"/>
  <c r="BB57" i="51"/>
  <c r="BA57" i="51"/>
  <c r="AZ57" i="51"/>
  <c r="AY57" i="51"/>
  <c r="AX57" i="51"/>
  <c r="AW57" i="51"/>
  <c r="AV57" i="51"/>
  <c r="AU57" i="51"/>
  <c r="AT57" i="51"/>
  <c r="AS57" i="51"/>
  <c r="AR57" i="51"/>
  <c r="AQ57" i="51"/>
  <c r="AP57" i="51"/>
  <c r="AO57" i="51"/>
  <c r="AN57" i="51"/>
  <c r="AM57" i="51"/>
  <c r="AL57" i="51"/>
  <c r="AK57" i="51"/>
  <c r="AJ57" i="51"/>
  <c r="AI57" i="51"/>
  <c r="AH57" i="51"/>
  <c r="AG57" i="51"/>
  <c r="AF57" i="51"/>
  <c r="AE57" i="51"/>
  <c r="AD57" i="51"/>
  <c r="AC57" i="51"/>
  <c r="AB57" i="51"/>
  <c r="AA57" i="51"/>
  <c r="Z57" i="51"/>
  <c r="Y57" i="51"/>
  <c r="X57" i="51"/>
  <c r="W57" i="51"/>
  <c r="V57" i="51"/>
  <c r="U57" i="51"/>
  <c r="T57" i="51"/>
  <c r="S57" i="51"/>
  <c r="R57" i="51"/>
  <c r="Q57" i="51"/>
  <c r="P57" i="51"/>
  <c r="O57" i="51"/>
  <c r="N57" i="51"/>
  <c r="M57" i="51"/>
  <c r="L57" i="51"/>
  <c r="K57" i="51"/>
  <c r="J57" i="51"/>
  <c r="I57" i="51"/>
  <c r="H57" i="51"/>
  <c r="G57" i="51"/>
  <c r="F57" i="51"/>
  <c r="IV56" i="51"/>
  <c r="IU56" i="51"/>
  <c r="IT56" i="51"/>
  <c r="IS56" i="51"/>
  <c r="IR56" i="51"/>
  <c r="IQ56" i="51"/>
  <c r="IP56" i="51"/>
  <c r="IO56" i="51"/>
  <c r="IN56" i="51"/>
  <c r="IM56" i="51"/>
  <c r="IL56" i="51"/>
  <c r="IK56" i="51"/>
  <c r="IJ56" i="51"/>
  <c r="II56" i="51"/>
  <c r="IH56" i="51"/>
  <c r="IG56" i="51"/>
  <c r="IF56" i="51"/>
  <c r="IE56" i="51"/>
  <c r="ID56" i="51"/>
  <c r="IC56" i="51"/>
  <c r="IB56" i="51"/>
  <c r="IA56" i="51"/>
  <c r="HZ56" i="51"/>
  <c r="HY56" i="51"/>
  <c r="HX56" i="51"/>
  <c r="HW56" i="51"/>
  <c r="HV56" i="51"/>
  <c r="HU56" i="51"/>
  <c r="HT56" i="51"/>
  <c r="HS56" i="51"/>
  <c r="HR56" i="51"/>
  <c r="HQ56" i="51"/>
  <c r="HP56" i="51"/>
  <c r="HO56" i="51"/>
  <c r="HN56" i="51"/>
  <c r="HM56" i="51"/>
  <c r="HL56" i="51"/>
  <c r="HK56" i="51"/>
  <c r="HJ56" i="51"/>
  <c r="HI56" i="51"/>
  <c r="HH56" i="51"/>
  <c r="HG56" i="51"/>
  <c r="HF56" i="51"/>
  <c r="HE56" i="51"/>
  <c r="HD56" i="51"/>
  <c r="HC56" i="51"/>
  <c r="HB56" i="51"/>
  <c r="HA56" i="51"/>
  <c r="GZ56" i="51"/>
  <c r="GY56" i="51"/>
  <c r="GX56" i="51"/>
  <c r="GW56" i="51"/>
  <c r="GV56" i="51"/>
  <c r="GU56" i="51"/>
  <c r="GT56" i="51"/>
  <c r="GS56" i="51"/>
  <c r="GR56" i="51"/>
  <c r="GQ56" i="51"/>
  <c r="GP56" i="51"/>
  <c r="GO56" i="51"/>
  <c r="GN56" i="51"/>
  <c r="GM56" i="51"/>
  <c r="GL56" i="51"/>
  <c r="GK56" i="51"/>
  <c r="GJ56" i="51"/>
  <c r="GI56" i="51"/>
  <c r="GH56" i="51"/>
  <c r="GG56" i="51"/>
  <c r="GF56" i="51"/>
  <c r="GE56" i="51"/>
  <c r="GD56" i="51"/>
  <c r="GC56" i="51"/>
  <c r="GB56" i="51"/>
  <c r="GA56" i="51"/>
  <c r="FZ56" i="51"/>
  <c r="FY56" i="51"/>
  <c r="FX56" i="51"/>
  <c r="FW56" i="51"/>
  <c r="FV56" i="51"/>
  <c r="FU56" i="51"/>
  <c r="FT56" i="51"/>
  <c r="FS56" i="51"/>
  <c r="FR56" i="51"/>
  <c r="FQ56" i="51"/>
  <c r="FP56" i="51"/>
  <c r="FO56" i="51"/>
  <c r="FN56" i="51"/>
  <c r="FM56" i="51"/>
  <c r="FL56" i="51"/>
  <c r="FK56" i="51"/>
  <c r="FJ56" i="51"/>
  <c r="FI56" i="51"/>
  <c r="FH56" i="51"/>
  <c r="FG56" i="51"/>
  <c r="FF56" i="51"/>
  <c r="FE56" i="51"/>
  <c r="FD56" i="51"/>
  <c r="FC56" i="51"/>
  <c r="FB56" i="51"/>
  <c r="FA56" i="51"/>
  <c r="EZ56" i="51"/>
  <c r="EY56" i="51"/>
  <c r="EX56" i="51"/>
  <c r="EW56" i="51"/>
  <c r="EV56" i="51"/>
  <c r="EU56" i="51"/>
  <c r="ET56" i="51"/>
  <c r="ES56" i="51"/>
  <c r="ER56" i="51"/>
  <c r="EQ56" i="51"/>
  <c r="EP56" i="51"/>
  <c r="EO56" i="51"/>
  <c r="EN56" i="51"/>
  <c r="EM56" i="51"/>
  <c r="EL56" i="51"/>
  <c r="EK56" i="51"/>
  <c r="EJ56" i="51"/>
  <c r="EI56" i="51"/>
  <c r="EH56" i="51"/>
  <c r="EG56" i="51"/>
  <c r="EF56" i="51"/>
  <c r="EE56" i="51"/>
  <c r="ED56" i="51"/>
  <c r="EC56" i="51"/>
  <c r="EB56" i="51"/>
  <c r="EA56" i="51"/>
  <c r="DZ56" i="51"/>
  <c r="DY56" i="51"/>
  <c r="DX56" i="51"/>
  <c r="DW56" i="51"/>
  <c r="DV56" i="51"/>
  <c r="DU56" i="51"/>
  <c r="DT56" i="51"/>
  <c r="DS56" i="51"/>
  <c r="DR56" i="51"/>
  <c r="DQ56" i="51"/>
  <c r="DP56" i="51"/>
  <c r="DO56" i="51"/>
  <c r="DN56" i="51"/>
  <c r="DM56" i="51"/>
  <c r="DL56" i="51"/>
  <c r="DK56" i="51"/>
  <c r="DJ56" i="51"/>
  <c r="DI56" i="51"/>
  <c r="DH56" i="51"/>
  <c r="DG56" i="51"/>
  <c r="DF56" i="51"/>
  <c r="DE56" i="51"/>
  <c r="DD56" i="51"/>
  <c r="DC56" i="51"/>
  <c r="DB56" i="51"/>
  <c r="DA56" i="51"/>
  <c r="CZ56" i="51"/>
  <c r="CY56" i="51"/>
  <c r="CX56" i="51"/>
  <c r="CW56" i="51"/>
  <c r="CV56" i="51"/>
  <c r="CU56" i="51"/>
  <c r="CT56" i="51"/>
  <c r="CS56" i="51"/>
  <c r="CR56" i="51"/>
  <c r="CQ56" i="51"/>
  <c r="CP56" i="51"/>
  <c r="CO56" i="51"/>
  <c r="CN56" i="51"/>
  <c r="CM56" i="51"/>
  <c r="CL56" i="51"/>
  <c r="CK56" i="51"/>
  <c r="CJ56" i="51"/>
  <c r="CI56" i="51"/>
  <c r="CH56" i="51"/>
  <c r="CG56" i="51"/>
  <c r="CF56" i="51"/>
  <c r="CE56" i="51"/>
  <c r="CD56" i="51"/>
  <c r="CC56" i="51"/>
  <c r="CB56" i="51"/>
  <c r="CA56" i="51"/>
  <c r="BZ56" i="51"/>
  <c r="BY56" i="51"/>
  <c r="BX56" i="51"/>
  <c r="BW56" i="51"/>
  <c r="BV56" i="51"/>
  <c r="BU56" i="51"/>
  <c r="BT56" i="51"/>
  <c r="BS56" i="51"/>
  <c r="BR56" i="51"/>
  <c r="BQ56" i="51"/>
  <c r="BP56" i="51"/>
  <c r="BO56" i="51"/>
  <c r="BN56" i="51"/>
  <c r="BM56" i="51"/>
  <c r="BL56" i="51"/>
  <c r="BK56" i="51"/>
  <c r="BJ56" i="51"/>
  <c r="BI56" i="51"/>
  <c r="BH56" i="51"/>
  <c r="BG56" i="51"/>
  <c r="BF56" i="51"/>
  <c r="BE56" i="51"/>
  <c r="BD56" i="51"/>
  <c r="BC56" i="51"/>
  <c r="BB56" i="51"/>
  <c r="BA56" i="51"/>
  <c r="AZ56" i="51"/>
  <c r="AY56" i="51"/>
  <c r="AX56" i="51"/>
  <c r="AW56" i="51"/>
  <c r="AV56" i="51"/>
  <c r="AU56" i="51"/>
  <c r="AT56" i="51"/>
  <c r="AS56" i="51"/>
  <c r="AR56" i="51"/>
  <c r="AQ56" i="51"/>
  <c r="AP56" i="51"/>
  <c r="AO56" i="51"/>
  <c r="AN56" i="51"/>
  <c r="AM56" i="51"/>
  <c r="AL56" i="51"/>
  <c r="AK56" i="51"/>
  <c r="AJ56" i="51"/>
  <c r="AI56" i="51"/>
  <c r="AH56" i="51"/>
  <c r="AG56" i="51"/>
  <c r="AF56" i="51"/>
  <c r="AE56" i="51"/>
  <c r="AD56" i="51"/>
  <c r="AC56" i="51"/>
  <c r="AB56" i="51"/>
  <c r="AA56" i="51"/>
  <c r="Z56" i="51"/>
  <c r="Y56" i="51"/>
  <c r="X56" i="51"/>
  <c r="W56" i="51"/>
  <c r="V56" i="51"/>
  <c r="U56" i="51"/>
  <c r="T56" i="51"/>
  <c r="S56" i="51"/>
  <c r="R56" i="51"/>
  <c r="Q56" i="51"/>
  <c r="P56" i="51"/>
  <c r="O56" i="51"/>
  <c r="N56" i="51"/>
  <c r="M56" i="51"/>
  <c r="L56" i="51"/>
  <c r="K56" i="51"/>
  <c r="J56" i="51"/>
  <c r="I56" i="51"/>
  <c r="H56" i="51"/>
  <c r="G56" i="51"/>
  <c r="F56" i="51"/>
  <c r="IV55" i="51"/>
  <c r="IU55" i="51"/>
  <c r="IT55" i="51"/>
  <c r="IS55" i="51"/>
  <c r="IR55" i="51"/>
  <c r="IQ55" i="51"/>
  <c r="IP55" i="51"/>
  <c r="IO55" i="51"/>
  <c r="IN55" i="51"/>
  <c r="IM55" i="51"/>
  <c r="IL55" i="51"/>
  <c r="IK55" i="51"/>
  <c r="IJ55" i="51"/>
  <c r="II55" i="51"/>
  <c r="IH55" i="51"/>
  <c r="IG55" i="51"/>
  <c r="IF55" i="51"/>
  <c r="IE55" i="51"/>
  <c r="ID55" i="51"/>
  <c r="IC55" i="51"/>
  <c r="IB55" i="51"/>
  <c r="IA55" i="51"/>
  <c r="HZ55" i="51"/>
  <c r="HY55" i="51"/>
  <c r="HX55" i="51"/>
  <c r="HW55" i="51"/>
  <c r="HV55" i="51"/>
  <c r="HU55" i="51"/>
  <c r="HT55" i="51"/>
  <c r="HS55" i="51"/>
  <c r="HR55" i="51"/>
  <c r="HQ55" i="51"/>
  <c r="HP55" i="51"/>
  <c r="HO55" i="51"/>
  <c r="HN55" i="51"/>
  <c r="HM55" i="51"/>
  <c r="HL55" i="51"/>
  <c r="HK55" i="51"/>
  <c r="HJ55" i="51"/>
  <c r="HI55" i="51"/>
  <c r="HH55" i="51"/>
  <c r="HG55" i="51"/>
  <c r="HF55" i="51"/>
  <c r="HE55" i="51"/>
  <c r="HD55" i="51"/>
  <c r="HC55" i="51"/>
  <c r="HB55" i="51"/>
  <c r="HA55" i="51"/>
  <c r="GZ55" i="51"/>
  <c r="GY55" i="51"/>
  <c r="GX55" i="51"/>
  <c r="GW55" i="51"/>
  <c r="GV55" i="51"/>
  <c r="GU55" i="51"/>
  <c r="GT55" i="51"/>
  <c r="GS55" i="51"/>
  <c r="GR55" i="51"/>
  <c r="GQ55" i="51"/>
  <c r="GP55" i="51"/>
  <c r="GO55" i="51"/>
  <c r="GN55" i="51"/>
  <c r="GM55" i="51"/>
  <c r="GL55" i="51"/>
  <c r="GK55" i="51"/>
  <c r="GJ55" i="51"/>
  <c r="GI55" i="51"/>
  <c r="GH55" i="51"/>
  <c r="GG55" i="51"/>
  <c r="GF55" i="51"/>
  <c r="GE55" i="51"/>
  <c r="GD55" i="51"/>
  <c r="GC55" i="51"/>
  <c r="GB55" i="51"/>
  <c r="GA55" i="51"/>
  <c r="FZ55" i="51"/>
  <c r="FY55" i="51"/>
  <c r="FX55" i="51"/>
  <c r="FW55" i="51"/>
  <c r="FV55" i="51"/>
  <c r="FU55" i="51"/>
  <c r="FT55" i="51"/>
  <c r="FS55" i="51"/>
  <c r="FR55" i="51"/>
  <c r="FQ55" i="51"/>
  <c r="FP55" i="51"/>
  <c r="FO55" i="51"/>
  <c r="FN55" i="51"/>
  <c r="FM55" i="51"/>
  <c r="FL55" i="51"/>
  <c r="FK55" i="51"/>
  <c r="FJ55" i="51"/>
  <c r="FI55" i="51"/>
  <c r="FH55" i="51"/>
  <c r="FG55" i="51"/>
  <c r="FF55" i="51"/>
  <c r="FE55" i="51"/>
  <c r="FD55" i="51"/>
  <c r="FC55" i="51"/>
  <c r="FB55" i="51"/>
  <c r="FA55" i="51"/>
  <c r="EZ55" i="51"/>
  <c r="EY55" i="51"/>
  <c r="EX55" i="51"/>
  <c r="EW55" i="51"/>
  <c r="EV55" i="51"/>
  <c r="EU55" i="51"/>
  <c r="ET55" i="51"/>
  <c r="ES55" i="51"/>
  <c r="ER55" i="51"/>
  <c r="EQ55" i="51"/>
  <c r="EP55" i="51"/>
  <c r="EO55" i="51"/>
  <c r="EN55" i="51"/>
  <c r="EM55" i="51"/>
  <c r="EL55" i="51"/>
  <c r="EK55" i="51"/>
  <c r="EJ55" i="51"/>
  <c r="EI55" i="51"/>
  <c r="EH55" i="51"/>
  <c r="EG55" i="51"/>
  <c r="EF55" i="51"/>
  <c r="EE55" i="51"/>
  <c r="ED55" i="51"/>
  <c r="EC55" i="51"/>
  <c r="EB55" i="51"/>
  <c r="EA55" i="51"/>
  <c r="DZ55" i="51"/>
  <c r="DY55" i="51"/>
  <c r="DX55" i="51"/>
  <c r="DW55" i="51"/>
  <c r="DV55" i="51"/>
  <c r="DU55" i="51"/>
  <c r="DT55" i="51"/>
  <c r="DS55" i="51"/>
  <c r="DR55" i="51"/>
  <c r="DQ55" i="51"/>
  <c r="DP55" i="51"/>
  <c r="DO55" i="51"/>
  <c r="DN55" i="51"/>
  <c r="DM55" i="51"/>
  <c r="DL55" i="51"/>
  <c r="DK55" i="51"/>
  <c r="DJ55" i="51"/>
  <c r="DI55" i="51"/>
  <c r="DH55" i="51"/>
  <c r="DG55" i="51"/>
  <c r="DF55" i="51"/>
  <c r="DE55" i="51"/>
  <c r="DD55" i="51"/>
  <c r="DC55" i="51"/>
  <c r="DB55" i="51"/>
  <c r="DA55" i="51"/>
  <c r="CZ55" i="51"/>
  <c r="CY55" i="51"/>
  <c r="CX55" i="51"/>
  <c r="CW55" i="51"/>
  <c r="CV55" i="51"/>
  <c r="CU55" i="51"/>
  <c r="CT55" i="51"/>
  <c r="CS55" i="51"/>
  <c r="CR55" i="51"/>
  <c r="CQ55" i="51"/>
  <c r="CP55" i="51"/>
  <c r="CO55" i="51"/>
  <c r="CN55" i="51"/>
  <c r="CM55" i="51"/>
  <c r="CL55" i="51"/>
  <c r="CK55" i="51"/>
  <c r="CJ55" i="51"/>
  <c r="CI55" i="51"/>
  <c r="CH55" i="51"/>
  <c r="CG55" i="51"/>
  <c r="CF55" i="51"/>
  <c r="CE55" i="51"/>
  <c r="CD55" i="51"/>
  <c r="CC55" i="51"/>
  <c r="CB55" i="51"/>
  <c r="CA55" i="51"/>
  <c r="BZ55" i="51"/>
  <c r="BY55" i="51"/>
  <c r="BX55" i="51"/>
  <c r="BW55" i="51"/>
  <c r="BV55" i="51"/>
  <c r="BU55" i="51"/>
  <c r="BT55" i="51"/>
  <c r="BS55" i="51"/>
  <c r="BR55" i="51"/>
  <c r="BQ55" i="51"/>
  <c r="BP55" i="51"/>
  <c r="BO55" i="51"/>
  <c r="BN55" i="51"/>
  <c r="BM55" i="51"/>
  <c r="BL55" i="51"/>
  <c r="BK55" i="51"/>
  <c r="BJ55" i="51"/>
  <c r="BI55" i="51"/>
  <c r="BH55" i="51"/>
  <c r="BG55" i="51"/>
  <c r="BF55" i="51"/>
  <c r="BE55" i="51"/>
  <c r="BD55" i="51"/>
  <c r="BC55" i="51"/>
  <c r="BB55" i="51"/>
  <c r="BA55" i="51"/>
  <c r="AZ55" i="51"/>
  <c r="AY55" i="51"/>
  <c r="AX55" i="51"/>
  <c r="AW55" i="51"/>
  <c r="AV55" i="51"/>
  <c r="AU55" i="51"/>
  <c r="AT55" i="51"/>
  <c r="AS55" i="51"/>
  <c r="AR55" i="51"/>
  <c r="AQ55" i="51"/>
  <c r="AP55" i="51"/>
  <c r="AO55" i="51"/>
  <c r="AN55" i="51"/>
  <c r="AM55" i="51"/>
  <c r="AL55" i="51"/>
  <c r="AK55" i="51"/>
  <c r="AJ55" i="51"/>
  <c r="AI55" i="51"/>
  <c r="AH55" i="51"/>
  <c r="AG55" i="51"/>
  <c r="AF55" i="51"/>
  <c r="AE55" i="51"/>
  <c r="AD55" i="51"/>
  <c r="AC55" i="51"/>
  <c r="AB55" i="51"/>
  <c r="AA55" i="51"/>
  <c r="Z55" i="51"/>
  <c r="Y55" i="51"/>
  <c r="X55" i="51"/>
  <c r="W55" i="51"/>
  <c r="V55" i="51"/>
  <c r="U55" i="51"/>
  <c r="T55" i="51"/>
  <c r="S55" i="51"/>
  <c r="R55" i="51"/>
  <c r="Q55" i="51"/>
  <c r="P55" i="51"/>
  <c r="O55" i="51"/>
  <c r="N55" i="51"/>
  <c r="M55" i="51"/>
  <c r="L55" i="51"/>
  <c r="K55" i="51"/>
  <c r="J55" i="51"/>
  <c r="I55" i="51"/>
  <c r="H55" i="51"/>
  <c r="G55" i="51"/>
  <c r="F55" i="51"/>
  <c r="IV54" i="51"/>
  <c r="IU54" i="51"/>
  <c r="IT54" i="51"/>
  <c r="IS54" i="51"/>
  <c r="IR54" i="51"/>
  <c r="IQ54" i="51"/>
  <c r="IP54" i="51"/>
  <c r="IO54" i="51"/>
  <c r="IN54" i="51"/>
  <c r="IM54" i="51"/>
  <c r="IL54" i="51"/>
  <c r="IK54" i="51"/>
  <c r="IJ54" i="51"/>
  <c r="II54" i="51"/>
  <c r="IH54" i="51"/>
  <c r="IG54" i="51"/>
  <c r="IF54" i="51"/>
  <c r="IE54" i="51"/>
  <c r="ID54" i="51"/>
  <c r="IC54" i="51"/>
  <c r="IB54" i="51"/>
  <c r="IA54" i="51"/>
  <c r="HZ54" i="51"/>
  <c r="HY54" i="51"/>
  <c r="HX54" i="51"/>
  <c r="HW54" i="51"/>
  <c r="HV54" i="51"/>
  <c r="HU54" i="51"/>
  <c r="HT54" i="51"/>
  <c r="HS54" i="51"/>
  <c r="HR54" i="51"/>
  <c r="HQ54" i="51"/>
  <c r="HP54" i="51"/>
  <c r="HO54" i="51"/>
  <c r="HN54" i="51"/>
  <c r="HM54" i="51"/>
  <c r="HL54" i="51"/>
  <c r="HK54" i="51"/>
  <c r="HJ54" i="51"/>
  <c r="HI54" i="51"/>
  <c r="HH54" i="51"/>
  <c r="HG54" i="51"/>
  <c r="HF54" i="51"/>
  <c r="HE54" i="51"/>
  <c r="HD54" i="51"/>
  <c r="HC54" i="51"/>
  <c r="HB54" i="51"/>
  <c r="HA54" i="51"/>
  <c r="GZ54" i="51"/>
  <c r="GY54" i="51"/>
  <c r="GX54" i="51"/>
  <c r="GW54" i="51"/>
  <c r="GV54" i="51"/>
  <c r="GU54" i="51"/>
  <c r="GT54" i="51"/>
  <c r="GS54" i="51"/>
  <c r="GR54" i="51"/>
  <c r="GQ54" i="51"/>
  <c r="GP54" i="51"/>
  <c r="GO54" i="51"/>
  <c r="GN54" i="51"/>
  <c r="GM54" i="51"/>
  <c r="GL54" i="51"/>
  <c r="GK54" i="51"/>
  <c r="GJ54" i="51"/>
  <c r="GI54" i="51"/>
  <c r="GH54" i="51"/>
  <c r="GG54" i="51"/>
  <c r="GF54" i="51"/>
  <c r="GE54" i="51"/>
  <c r="GD54" i="51"/>
  <c r="GC54" i="51"/>
  <c r="GB54" i="51"/>
  <c r="GA54" i="51"/>
  <c r="FZ54" i="51"/>
  <c r="FY54" i="51"/>
  <c r="FX54" i="51"/>
  <c r="FW54" i="51"/>
  <c r="FV54" i="51"/>
  <c r="FU54" i="51"/>
  <c r="FT54" i="51"/>
  <c r="FS54" i="51"/>
  <c r="FR54" i="51"/>
  <c r="FQ54" i="51"/>
  <c r="FP54" i="51"/>
  <c r="FO54" i="51"/>
  <c r="FN54" i="51"/>
  <c r="FM54" i="51"/>
  <c r="FL54" i="51"/>
  <c r="FK54" i="51"/>
  <c r="FJ54" i="51"/>
  <c r="FI54" i="51"/>
  <c r="FH54" i="51"/>
  <c r="FG54" i="51"/>
  <c r="FF54" i="51"/>
  <c r="FE54" i="51"/>
  <c r="FD54" i="51"/>
  <c r="FC54" i="51"/>
  <c r="FB54" i="51"/>
  <c r="FA54" i="51"/>
  <c r="EZ54" i="51"/>
  <c r="EY54" i="51"/>
  <c r="EX54" i="51"/>
  <c r="EW54" i="51"/>
  <c r="EV54" i="51"/>
  <c r="EU54" i="51"/>
  <c r="ET54" i="51"/>
  <c r="ES54" i="51"/>
  <c r="ER54" i="51"/>
  <c r="EQ54" i="51"/>
  <c r="EP54" i="51"/>
  <c r="EO54" i="51"/>
  <c r="EN54" i="51"/>
  <c r="EM54" i="51"/>
  <c r="EL54" i="51"/>
  <c r="EK54" i="51"/>
  <c r="EJ54" i="51"/>
  <c r="EI54" i="51"/>
  <c r="EH54" i="51"/>
  <c r="EG54" i="51"/>
  <c r="EF54" i="51"/>
  <c r="EE54" i="51"/>
  <c r="ED54" i="51"/>
  <c r="EC54" i="51"/>
  <c r="EB54" i="51"/>
  <c r="EA54" i="51"/>
  <c r="DZ54" i="51"/>
  <c r="DY54" i="51"/>
  <c r="DX54" i="51"/>
  <c r="DW54" i="51"/>
  <c r="DV54" i="51"/>
  <c r="DU54" i="51"/>
  <c r="DT54" i="51"/>
  <c r="DS54" i="51"/>
  <c r="DR54" i="51"/>
  <c r="DQ54" i="51"/>
  <c r="DP54" i="51"/>
  <c r="DO54" i="51"/>
  <c r="DN54" i="51"/>
  <c r="DM54" i="51"/>
  <c r="DL54" i="51"/>
  <c r="DK54" i="51"/>
  <c r="DJ54" i="51"/>
  <c r="DI54" i="51"/>
  <c r="DH54" i="51"/>
  <c r="DG54" i="51"/>
  <c r="DF54" i="51"/>
  <c r="DE54" i="51"/>
  <c r="DD54" i="51"/>
  <c r="DC54" i="51"/>
  <c r="DB54" i="51"/>
  <c r="DA54" i="51"/>
  <c r="CZ54" i="51"/>
  <c r="CY54" i="51"/>
  <c r="CX54" i="51"/>
  <c r="CW54" i="51"/>
  <c r="CV54" i="51"/>
  <c r="CU54" i="51"/>
  <c r="CT54" i="51"/>
  <c r="CS54" i="51"/>
  <c r="CR54" i="51"/>
  <c r="CQ54" i="51"/>
  <c r="CP54" i="51"/>
  <c r="CO54" i="51"/>
  <c r="CN54" i="51"/>
  <c r="CM54" i="51"/>
  <c r="CL54" i="51"/>
  <c r="CK54" i="51"/>
  <c r="CJ54" i="51"/>
  <c r="CI54" i="51"/>
  <c r="CH54" i="51"/>
  <c r="CG54" i="51"/>
  <c r="CF54" i="51"/>
  <c r="CE54" i="51"/>
  <c r="CD54" i="51"/>
  <c r="CC54" i="51"/>
  <c r="CB54" i="51"/>
  <c r="CA54" i="51"/>
  <c r="BZ54" i="51"/>
  <c r="BY54" i="51"/>
  <c r="BX54" i="51"/>
  <c r="BW54" i="51"/>
  <c r="BV54" i="51"/>
  <c r="BU54" i="51"/>
  <c r="BT54" i="51"/>
  <c r="BS54" i="51"/>
  <c r="BR54" i="51"/>
  <c r="BQ54" i="51"/>
  <c r="BP54" i="51"/>
  <c r="BO54" i="51"/>
  <c r="BN54" i="51"/>
  <c r="BM54" i="51"/>
  <c r="BL54" i="51"/>
  <c r="BK54" i="51"/>
  <c r="BJ54" i="51"/>
  <c r="BI54" i="51"/>
  <c r="BH54" i="51"/>
  <c r="BG54" i="51"/>
  <c r="BF54" i="51"/>
  <c r="BE54" i="51"/>
  <c r="BD54" i="51"/>
  <c r="BC54" i="51"/>
  <c r="BB54" i="51"/>
  <c r="BA54" i="51"/>
  <c r="AZ54" i="51"/>
  <c r="AY54" i="51"/>
  <c r="AX54" i="51"/>
  <c r="AW54" i="51"/>
  <c r="AV54" i="51"/>
  <c r="AU54" i="51"/>
  <c r="AT54" i="51"/>
  <c r="AS54" i="51"/>
  <c r="AR54" i="51"/>
  <c r="AQ54" i="51"/>
  <c r="AP54" i="51"/>
  <c r="AO54" i="51"/>
  <c r="AN54" i="51"/>
  <c r="AM54" i="51"/>
  <c r="AL54" i="51"/>
  <c r="AK54" i="51"/>
  <c r="AJ54" i="51"/>
  <c r="AI54" i="51"/>
  <c r="AH54" i="51"/>
  <c r="AG54" i="51"/>
  <c r="AF54" i="51"/>
  <c r="AE54" i="51"/>
  <c r="AD54" i="51"/>
  <c r="AC54" i="51"/>
  <c r="AB54" i="51"/>
  <c r="AA54" i="51"/>
  <c r="Z54" i="51"/>
  <c r="Y54" i="51"/>
  <c r="X54" i="51"/>
  <c r="W54" i="51"/>
  <c r="V54" i="51"/>
  <c r="U54" i="51"/>
  <c r="T54" i="51"/>
  <c r="S54" i="51"/>
  <c r="R54" i="51"/>
  <c r="Q54" i="51"/>
  <c r="P54" i="51"/>
  <c r="O54" i="51"/>
  <c r="N54" i="51"/>
  <c r="M54" i="51"/>
  <c r="L54" i="51"/>
  <c r="K54" i="51"/>
  <c r="J54" i="51"/>
  <c r="I54" i="51"/>
  <c r="H54" i="51"/>
  <c r="G54" i="51"/>
  <c r="F54" i="51"/>
  <c r="IV53" i="51"/>
  <c r="IU53" i="51"/>
  <c r="IT53" i="51"/>
  <c r="IS53" i="51"/>
  <c r="IR53" i="51"/>
  <c r="IQ53" i="51"/>
  <c r="IP53" i="51"/>
  <c r="IO53" i="51"/>
  <c r="IN53" i="51"/>
  <c r="IM53" i="51"/>
  <c r="IL53" i="51"/>
  <c r="IK53" i="51"/>
  <c r="IJ53" i="51"/>
  <c r="II53" i="51"/>
  <c r="IH53" i="51"/>
  <c r="IG53" i="51"/>
  <c r="IF53" i="51"/>
  <c r="IE53" i="51"/>
  <c r="ID53" i="51"/>
  <c r="IC53" i="51"/>
  <c r="IB53" i="51"/>
  <c r="IA53" i="51"/>
  <c r="HZ53" i="51"/>
  <c r="HY53" i="51"/>
  <c r="HX53" i="51"/>
  <c r="HW53" i="51"/>
  <c r="HV53" i="51"/>
  <c r="HU53" i="51"/>
  <c r="HT53" i="51"/>
  <c r="HS53" i="51"/>
  <c r="HR53" i="51"/>
  <c r="HQ53" i="51"/>
  <c r="HP53" i="51"/>
  <c r="HO53" i="51"/>
  <c r="HN53" i="51"/>
  <c r="HM53" i="51"/>
  <c r="HL53" i="51"/>
  <c r="HK53" i="51"/>
  <c r="HJ53" i="51"/>
  <c r="HI53" i="51"/>
  <c r="HH53" i="51"/>
  <c r="HG53" i="51"/>
  <c r="HF53" i="51"/>
  <c r="HE53" i="51"/>
  <c r="HD53" i="51"/>
  <c r="HC53" i="51"/>
  <c r="HB53" i="51"/>
  <c r="HA53" i="51"/>
  <c r="GZ53" i="51"/>
  <c r="GY53" i="51"/>
  <c r="GX53" i="51"/>
  <c r="GW53" i="51"/>
  <c r="GV53" i="51"/>
  <c r="GU53" i="51"/>
  <c r="GT53" i="51"/>
  <c r="GS53" i="51"/>
  <c r="GR53" i="51"/>
  <c r="GQ53" i="51"/>
  <c r="GP53" i="51"/>
  <c r="GO53" i="51"/>
  <c r="GN53" i="51"/>
  <c r="GM53" i="51"/>
  <c r="GL53" i="51"/>
  <c r="GK53" i="51"/>
  <c r="GJ53" i="51"/>
  <c r="GI53" i="51"/>
  <c r="GH53" i="51"/>
  <c r="GG53" i="51"/>
  <c r="GF53" i="51"/>
  <c r="GE53" i="51"/>
  <c r="GD53" i="51"/>
  <c r="GC53" i="51"/>
  <c r="GB53" i="51"/>
  <c r="GA53" i="51"/>
  <c r="FZ53" i="51"/>
  <c r="FY53" i="51"/>
  <c r="FX53" i="51"/>
  <c r="FW53" i="51"/>
  <c r="FV53" i="51"/>
  <c r="FU53" i="51"/>
  <c r="FT53" i="51"/>
  <c r="FS53" i="51"/>
  <c r="FR53" i="51"/>
  <c r="FQ53" i="51"/>
  <c r="FP53" i="51"/>
  <c r="FO53" i="51"/>
  <c r="FN53" i="51"/>
  <c r="FM53" i="51"/>
  <c r="FL53" i="51"/>
  <c r="FK53" i="51"/>
  <c r="FJ53" i="51"/>
  <c r="FI53" i="51"/>
  <c r="FH53" i="51"/>
  <c r="FG53" i="51"/>
  <c r="FF53" i="51"/>
  <c r="FE53" i="51"/>
  <c r="FD53" i="51"/>
  <c r="FC53" i="51"/>
  <c r="FB53" i="51"/>
  <c r="FA53" i="51"/>
  <c r="EZ53" i="51"/>
  <c r="EY53" i="51"/>
  <c r="EX53" i="51"/>
  <c r="EW53" i="51"/>
  <c r="EV53" i="51"/>
  <c r="EU53" i="51"/>
  <c r="ET53" i="51"/>
  <c r="ES53" i="51"/>
  <c r="ER53" i="51"/>
  <c r="EQ53" i="51"/>
  <c r="EP53" i="51"/>
  <c r="EO53" i="51"/>
  <c r="EN53" i="51"/>
  <c r="EM53" i="51"/>
  <c r="EL53" i="51"/>
  <c r="EK53" i="51"/>
  <c r="EJ53" i="51"/>
  <c r="EI53" i="51"/>
  <c r="EH53" i="51"/>
  <c r="EG53" i="51"/>
  <c r="EF53" i="51"/>
  <c r="EE53" i="51"/>
  <c r="ED53" i="51"/>
  <c r="EC53" i="51"/>
  <c r="EB53" i="51"/>
  <c r="EA53" i="51"/>
  <c r="DZ53" i="51"/>
  <c r="DY53" i="51"/>
  <c r="DX53" i="51"/>
  <c r="DW53" i="51"/>
  <c r="DV53" i="51"/>
  <c r="DU53" i="51"/>
  <c r="DT53" i="51"/>
  <c r="DS53" i="51"/>
  <c r="DR53" i="51"/>
  <c r="DQ53" i="51"/>
  <c r="DP53" i="51"/>
  <c r="DO53" i="51"/>
  <c r="DN53" i="51"/>
  <c r="DM53" i="51"/>
  <c r="DL53" i="51"/>
  <c r="DK53" i="51"/>
  <c r="DJ53" i="51"/>
  <c r="DI53" i="51"/>
  <c r="DH53" i="51"/>
  <c r="DG53" i="51"/>
  <c r="DF53" i="51"/>
  <c r="DE53" i="51"/>
  <c r="DD53" i="51"/>
  <c r="DC53" i="51"/>
  <c r="DB53" i="51"/>
  <c r="DA53" i="51"/>
  <c r="CZ53" i="51"/>
  <c r="CY53" i="51"/>
  <c r="CX53" i="51"/>
  <c r="CW53" i="51"/>
  <c r="CV53" i="51"/>
  <c r="CU53" i="51"/>
  <c r="CT53" i="51"/>
  <c r="CS53" i="51"/>
  <c r="CR53" i="51"/>
  <c r="CQ53" i="51"/>
  <c r="CP53" i="51"/>
  <c r="CO53" i="51"/>
  <c r="CN53" i="51"/>
  <c r="CM53" i="51"/>
  <c r="CL53" i="51"/>
  <c r="CK53" i="51"/>
  <c r="CJ53" i="51"/>
  <c r="CI53" i="51"/>
  <c r="CH53" i="51"/>
  <c r="CG53" i="51"/>
  <c r="CF53" i="51"/>
  <c r="CE53" i="51"/>
  <c r="CD53" i="51"/>
  <c r="CC53" i="51"/>
  <c r="CB53" i="51"/>
  <c r="CA53" i="51"/>
  <c r="BZ53" i="51"/>
  <c r="BY53" i="51"/>
  <c r="BX53" i="51"/>
  <c r="BW53" i="51"/>
  <c r="BV53" i="51"/>
  <c r="BU53" i="51"/>
  <c r="BT53" i="51"/>
  <c r="BS53" i="51"/>
  <c r="BR53" i="51"/>
  <c r="BQ53" i="51"/>
  <c r="BP53" i="51"/>
  <c r="BO53" i="51"/>
  <c r="BN53" i="51"/>
  <c r="BM53" i="51"/>
  <c r="BL53" i="51"/>
  <c r="BK53" i="51"/>
  <c r="BJ53" i="51"/>
  <c r="BI53" i="51"/>
  <c r="BH53" i="51"/>
  <c r="BG53" i="51"/>
  <c r="BF53" i="51"/>
  <c r="BE53" i="51"/>
  <c r="BD53" i="51"/>
  <c r="BC53" i="51"/>
  <c r="BB53" i="51"/>
  <c r="BA53" i="51"/>
  <c r="AZ53" i="51"/>
  <c r="AY53" i="51"/>
  <c r="AX53" i="51"/>
  <c r="AW53" i="51"/>
  <c r="AV53" i="51"/>
  <c r="AU53" i="51"/>
  <c r="AT53" i="51"/>
  <c r="AS53" i="51"/>
  <c r="AR53" i="51"/>
  <c r="AQ53" i="51"/>
  <c r="AP53" i="51"/>
  <c r="AO53" i="51"/>
  <c r="AN53" i="51"/>
  <c r="AM53" i="51"/>
  <c r="AL53" i="51"/>
  <c r="AK53" i="51"/>
  <c r="AJ53" i="51"/>
  <c r="AI53" i="51"/>
  <c r="AH53" i="51"/>
  <c r="AG53" i="51"/>
  <c r="AF53" i="51"/>
  <c r="AE53" i="51"/>
  <c r="AD53" i="51"/>
  <c r="AC53" i="51"/>
  <c r="AB53" i="51"/>
  <c r="AA53" i="51"/>
  <c r="Z53" i="51"/>
  <c r="Y53" i="51"/>
  <c r="X53" i="51"/>
  <c r="W53" i="51"/>
  <c r="V53" i="51"/>
  <c r="U53" i="51"/>
  <c r="T53" i="51"/>
  <c r="S53" i="51"/>
  <c r="R53" i="51"/>
  <c r="Q53" i="51"/>
  <c r="P53" i="51"/>
  <c r="O53" i="51"/>
  <c r="N53" i="51"/>
  <c r="M53" i="51"/>
  <c r="L53" i="51"/>
  <c r="K53" i="51"/>
  <c r="J53" i="51"/>
  <c r="I53" i="51"/>
  <c r="H53" i="51"/>
  <c r="G53" i="51"/>
  <c r="F53" i="51"/>
  <c r="IV52" i="51"/>
  <c r="IU52" i="51"/>
  <c r="IT52" i="51"/>
  <c r="IS52" i="51"/>
  <c r="IR52" i="51"/>
  <c r="IQ52" i="51"/>
  <c r="IP52" i="51"/>
  <c r="IO52" i="51"/>
  <c r="IN52" i="51"/>
  <c r="IM52" i="51"/>
  <c r="IL52" i="51"/>
  <c r="IK52" i="51"/>
  <c r="IJ52" i="51"/>
  <c r="II52" i="51"/>
  <c r="IH52" i="51"/>
  <c r="IG52" i="51"/>
  <c r="IF52" i="51"/>
  <c r="IE52" i="51"/>
  <c r="ID52" i="51"/>
  <c r="IC52" i="51"/>
  <c r="IB52" i="51"/>
  <c r="IA52" i="51"/>
  <c r="HZ52" i="51"/>
  <c r="HY52" i="51"/>
  <c r="HX52" i="51"/>
  <c r="HW52" i="51"/>
  <c r="HV52" i="51"/>
  <c r="HU52" i="51"/>
  <c r="HT52" i="51"/>
  <c r="HS52" i="51"/>
  <c r="HR52" i="51"/>
  <c r="HQ52" i="51"/>
  <c r="HP52" i="51"/>
  <c r="HO52" i="51"/>
  <c r="HN52" i="51"/>
  <c r="HM52" i="51"/>
  <c r="HL52" i="51"/>
  <c r="HK52" i="51"/>
  <c r="HJ52" i="51"/>
  <c r="HI52" i="51"/>
  <c r="HH52" i="51"/>
  <c r="HG52" i="51"/>
  <c r="HF52" i="51"/>
  <c r="HE52" i="51"/>
  <c r="HD52" i="51"/>
  <c r="HC52" i="51"/>
  <c r="HB52" i="51"/>
  <c r="HA52" i="51"/>
  <c r="GZ52" i="51"/>
  <c r="GY52" i="51"/>
  <c r="GX52" i="51"/>
  <c r="GW52" i="51"/>
  <c r="GV52" i="51"/>
  <c r="GU52" i="51"/>
  <c r="GT52" i="51"/>
  <c r="GS52" i="51"/>
  <c r="GR52" i="51"/>
  <c r="GQ52" i="51"/>
  <c r="GP52" i="51"/>
  <c r="GO52" i="51"/>
  <c r="GN52" i="51"/>
  <c r="GM52" i="51"/>
  <c r="GL52" i="51"/>
  <c r="GK52" i="51"/>
  <c r="GJ52" i="51"/>
  <c r="GI52" i="51"/>
  <c r="GH52" i="51"/>
  <c r="GG52" i="51"/>
  <c r="GF52" i="51"/>
  <c r="GE52" i="51"/>
  <c r="GD52" i="51"/>
  <c r="GC52" i="51"/>
  <c r="GB52" i="51"/>
  <c r="GA52" i="51"/>
  <c r="FZ52" i="51"/>
  <c r="FY52" i="51"/>
  <c r="FX52" i="51"/>
  <c r="FW52" i="51"/>
  <c r="FV52" i="51"/>
  <c r="FU52" i="51"/>
  <c r="FT52" i="51"/>
  <c r="FS52" i="51"/>
  <c r="FR52" i="51"/>
  <c r="FQ52" i="51"/>
  <c r="FP52" i="51"/>
  <c r="FO52" i="51"/>
  <c r="FN52" i="51"/>
  <c r="FM52" i="51"/>
  <c r="FL52" i="51"/>
  <c r="FK52" i="51"/>
  <c r="FJ52" i="51"/>
  <c r="FI52" i="51"/>
  <c r="FH52" i="51"/>
  <c r="FG52" i="51"/>
  <c r="FF52" i="51"/>
  <c r="FE52" i="51"/>
  <c r="FD52" i="51"/>
  <c r="FC52" i="51"/>
  <c r="FB52" i="51"/>
  <c r="FA52" i="51"/>
  <c r="EZ52" i="51"/>
  <c r="EY52" i="51"/>
  <c r="EX52" i="51"/>
  <c r="EW52" i="51"/>
  <c r="EV52" i="51"/>
  <c r="EU52" i="51"/>
  <c r="ET52" i="51"/>
  <c r="ES52" i="51"/>
  <c r="ER52" i="51"/>
  <c r="EQ52" i="51"/>
  <c r="EP52" i="51"/>
  <c r="EO52" i="51"/>
  <c r="EN52" i="51"/>
  <c r="EM52" i="51"/>
  <c r="EL52" i="51"/>
  <c r="EK52" i="51"/>
  <c r="EJ52" i="51"/>
  <c r="EI52" i="51"/>
  <c r="EH52" i="51"/>
  <c r="EG52" i="51"/>
  <c r="EF52" i="51"/>
  <c r="EE52" i="51"/>
  <c r="ED52" i="51"/>
  <c r="EC52" i="51"/>
  <c r="EB52" i="51"/>
  <c r="EA52" i="51"/>
  <c r="DZ52" i="51"/>
  <c r="DY52" i="51"/>
  <c r="DX52" i="51"/>
  <c r="DW52" i="51"/>
  <c r="DV52" i="51"/>
  <c r="DU52" i="51"/>
  <c r="DT52" i="51"/>
  <c r="DS52" i="51"/>
  <c r="DR52" i="51"/>
  <c r="DQ52" i="51"/>
  <c r="DP52" i="51"/>
  <c r="DO52" i="51"/>
  <c r="DN52" i="51"/>
  <c r="DM52" i="51"/>
  <c r="DL52" i="51"/>
  <c r="DK52" i="51"/>
  <c r="DJ52" i="51"/>
  <c r="DI52" i="51"/>
  <c r="DH52" i="51"/>
  <c r="DG52" i="51"/>
  <c r="DF52" i="51"/>
  <c r="DE52" i="51"/>
  <c r="DD52" i="51"/>
  <c r="DC52" i="51"/>
  <c r="DB52" i="51"/>
  <c r="DA52" i="51"/>
  <c r="CZ52" i="51"/>
  <c r="CY52" i="51"/>
  <c r="CX52" i="51"/>
  <c r="CW52" i="51"/>
  <c r="CV52" i="51"/>
  <c r="CU52" i="51"/>
  <c r="CT52" i="51"/>
  <c r="CS52" i="51"/>
  <c r="CR52" i="51"/>
  <c r="CQ52" i="51"/>
  <c r="CP52" i="51"/>
  <c r="CO52" i="51"/>
  <c r="CN52" i="51"/>
  <c r="CM52" i="51"/>
  <c r="CL52" i="51"/>
  <c r="CK52" i="51"/>
  <c r="CJ52" i="51"/>
  <c r="CI52" i="51"/>
  <c r="CH52" i="51"/>
  <c r="CG52" i="51"/>
  <c r="CF52" i="51"/>
  <c r="CE52" i="51"/>
  <c r="CD52" i="51"/>
  <c r="CC52" i="51"/>
  <c r="CB52" i="51"/>
  <c r="CA52" i="51"/>
  <c r="BZ52" i="51"/>
  <c r="BY52" i="51"/>
  <c r="BX52" i="51"/>
  <c r="BW52" i="51"/>
  <c r="BV52" i="51"/>
  <c r="BU52" i="51"/>
  <c r="BT52" i="51"/>
  <c r="BS52" i="51"/>
  <c r="BR52" i="51"/>
  <c r="BQ52" i="51"/>
  <c r="BP52" i="51"/>
  <c r="BO52" i="51"/>
  <c r="BN52" i="51"/>
  <c r="BM52" i="51"/>
  <c r="BL52" i="51"/>
  <c r="BK52" i="51"/>
  <c r="BJ52" i="51"/>
  <c r="BI52" i="51"/>
  <c r="BH52" i="51"/>
  <c r="BG52" i="51"/>
  <c r="BF52" i="51"/>
  <c r="BE52" i="51"/>
  <c r="BD52" i="51"/>
  <c r="BC52" i="51"/>
  <c r="BB52" i="51"/>
  <c r="BA52" i="51"/>
  <c r="AZ52" i="51"/>
  <c r="AY52" i="51"/>
  <c r="AX52" i="51"/>
  <c r="AW52" i="51"/>
  <c r="AV52" i="51"/>
  <c r="AU52" i="51"/>
  <c r="AT52" i="51"/>
  <c r="AS52" i="51"/>
  <c r="AR52" i="51"/>
  <c r="AQ52" i="51"/>
  <c r="AP52" i="51"/>
  <c r="AO52" i="51"/>
  <c r="AN52" i="51"/>
  <c r="AM52" i="51"/>
  <c r="AL52" i="51"/>
  <c r="AK52" i="51"/>
  <c r="AJ52" i="51"/>
  <c r="AI52" i="51"/>
  <c r="AH52" i="51"/>
  <c r="AG52" i="51"/>
  <c r="AF52" i="51"/>
  <c r="AE52" i="51"/>
  <c r="AD52" i="51"/>
  <c r="AC52" i="51"/>
  <c r="AB52" i="51"/>
  <c r="AA52" i="51"/>
  <c r="Z52" i="51"/>
  <c r="Y52" i="51"/>
  <c r="X52" i="51"/>
  <c r="W52" i="51"/>
  <c r="V52" i="51"/>
  <c r="U52" i="51"/>
  <c r="T52" i="51"/>
  <c r="S52" i="51"/>
  <c r="R52" i="51"/>
  <c r="Q52" i="51"/>
  <c r="P52" i="51"/>
  <c r="O52" i="51"/>
  <c r="N52" i="51"/>
  <c r="M52" i="51"/>
  <c r="L52" i="51"/>
  <c r="K52" i="51"/>
  <c r="J52" i="51"/>
  <c r="I52" i="51"/>
  <c r="H52" i="51"/>
  <c r="G52" i="51"/>
  <c r="F52" i="51"/>
  <c r="IV51" i="51"/>
  <c r="IU51" i="51"/>
  <c r="IT51" i="51"/>
  <c r="IS51" i="51"/>
  <c r="IR51" i="51"/>
  <c r="IQ51" i="51"/>
  <c r="IP51" i="51"/>
  <c r="IO51" i="51"/>
  <c r="IN51" i="51"/>
  <c r="IM51" i="51"/>
  <c r="IL51" i="51"/>
  <c r="IK51" i="51"/>
  <c r="IJ51" i="51"/>
  <c r="II51" i="51"/>
  <c r="IH51" i="51"/>
  <c r="IG51" i="51"/>
  <c r="IF51" i="51"/>
  <c r="IE51" i="51"/>
  <c r="ID51" i="51"/>
  <c r="IC51" i="51"/>
  <c r="IB51" i="51"/>
  <c r="IA51" i="51"/>
  <c r="HZ51" i="51"/>
  <c r="HY51" i="51"/>
  <c r="HX51" i="51"/>
  <c r="HW51" i="51"/>
  <c r="HV51" i="51"/>
  <c r="HU51" i="51"/>
  <c r="HT51" i="51"/>
  <c r="HS51" i="51"/>
  <c r="HR51" i="51"/>
  <c r="HQ51" i="51"/>
  <c r="HP51" i="51"/>
  <c r="HO51" i="51"/>
  <c r="HN51" i="51"/>
  <c r="HM51" i="51"/>
  <c r="HL51" i="51"/>
  <c r="HK51" i="51"/>
  <c r="HJ51" i="51"/>
  <c r="HI51" i="51"/>
  <c r="HH51" i="51"/>
  <c r="HG51" i="51"/>
  <c r="HF51" i="51"/>
  <c r="HE51" i="51"/>
  <c r="HD51" i="51"/>
  <c r="HC51" i="51"/>
  <c r="HB51" i="51"/>
  <c r="HA51" i="51"/>
  <c r="GZ51" i="51"/>
  <c r="GY51" i="51"/>
  <c r="GX51" i="51"/>
  <c r="GW51" i="51"/>
  <c r="GV51" i="51"/>
  <c r="GU51" i="51"/>
  <c r="GT51" i="51"/>
  <c r="GS51" i="51"/>
  <c r="GR51" i="51"/>
  <c r="GQ51" i="51"/>
  <c r="GP51" i="51"/>
  <c r="GO51" i="51"/>
  <c r="GN51" i="51"/>
  <c r="GM51" i="51"/>
  <c r="GL51" i="51"/>
  <c r="GK51" i="51"/>
  <c r="GJ51" i="51"/>
  <c r="GI51" i="51"/>
  <c r="GH51" i="51"/>
  <c r="GG51" i="51"/>
  <c r="GF51" i="51"/>
  <c r="GE51" i="51"/>
  <c r="GD51" i="51"/>
  <c r="GC51" i="51"/>
  <c r="GB51" i="51"/>
  <c r="GA51" i="51"/>
  <c r="FZ51" i="51"/>
  <c r="FY51" i="51"/>
  <c r="FX51" i="51"/>
  <c r="FW51" i="51"/>
  <c r="FV51" i="51"/>
  <c r="FU51" i="51"/>
  <c r="FT51" i="51"/>
  <c r="FS51" i="51"/>
  <c r="FR51" i="51"/>
  <c r="FQ51" i="51"/>
  <c r="FP51" i="51"/>
  <c r="FO51" i="51"/>
  <c r="FN51" i="51"/>
  <c r="FM51" i="51"/>
  <c r="FL51" i="51"/>
  <c r="FK51" i="51"/>
  <c r="FJ51" i="51"/>
  <c r="FI51" i="51"/>
  <c r="FH51" i="51"/>
  <c r="FG51" i="51"/>
  <c r="FF51" i="51"/>
  <c r="FE51" i="51"/>
  <c r="FD51" i="51"/>
  <c r="FC51" i="51"/>
  <c r="FB51" i="51"/>
  <c r="FA51" i="51"/>
  <c r="EZ51" i="51"/>
  <c r="EY51" i="51"/>
  <c r="EX51" i="51"/>
  <c r="EW51" i="51"/>
  <c r="EV51" i="51"/>
  <c r="EU51" i="51"/>
  <c r="ET51" i="51"/>
  <c r="ES51" i="51"/>
  <c r="ER51" i="51"/>
  <c r="EQ51" i="51"/>
  <c r="EP51" i="51"/>
  <c r="EO51" i="51"/>
  <c r="EN51" i="51"/>
  <c r="EM51" i="51"/>
  <c r="EL51" i="51"/>
  <c r="EK51" i="51"/>
  <c r="EJ51" i="51"/>
  <c r="EI51" i="51"/>
  <c r="EH51" i="51"/>
  <c r="EG51" i="51"/>
  <c r="EF51" i="51"/>
  <c r="EE51" i="51"/>
  <c r="ED51" i="51"/>
  <c r="EC51" i="51"/>
  <c r="EB51" i="51"/>
  <c r="EA51" i="51"/>
  <c r="DZ51" i="51"/>
  <c r="DY51" i="51"/>
  <c r="DX51" i="51"/>
  <c r="DW51" i="51"/>
  <c r="DV51" i="51"/>
  <c r="DU51" i="51"/>
  <c r="DT51" i="51"/>
  <c r="DS51" i="51"/>
  <c r="DR51" i="51"/>
  <c r="DQ51" i="51"/>
  <c r="DP51" i="51"/>
  <c r="DO51" i="51"/>
  <c r="DN51" i="51"/>
  <c r="DM51" i="51"/>
  <c r="DL51" i="51"/>
  <c r="DK51" i="51"/>
  <c r="DJ51" i="51"/>
  <c r="DI51" i="51"/>
  <c r="DH51" i="51"/>
  <c r="DG51" i="51"/>
  <c r="DF51" i="51"/>
  <c r="DE51" i="51"/>
  <c r="DD51" i="51"/>
  <c r="DC51" i="51"/>
  <c r="DB51" i="51"/>
  <c r="DA51" i="51"/>
  <c r="CZ51" i="51"/>
  <c r="CY51" i="51"/>
  <c r="CX51" i="51"/>
  <c r="CW51" i="51"/>
  <c r="CV51" i="51"/>
  <c r="CU51" i="51"/>
  <c r="CT51" i="51"/>
  <c r="CS51" i="51"/>
  <c r="CR51" i="51"/>
  <c r="CQ51" i="51"/>
  <c r="CP51" i="51"/>
  <c r="CO51" i="51"/>
  <c r="CN51" i="51"/>
  <c r="CM51" i="51"/>
  <c r="CL51" i="51"/>
  <c r="CK51" i="51"/>
  <c r="CJ51" i="51"/>
  <c r="CI51" i="51"/>
  <c r="CH51" i="51"/>
  <c r="CG51" i="51"/>
  <c r="CF51" i="51"/>
  <c r="CE51" i="51"/>
  <c r="CD51" i="51"/>
  <c r="CC51" i="51"/>
  <c r="CB51" i="51"/>
  <c r="CA51" i="51"/>
  <c r="BZ51" i="51"/>
  <c r="BY51" i="51"/>
  <c r="BX51" i="51"/>
  <c r="BW51" i="51"/>
  <c r="BV51" i="51"/>
  <c r="BU51" i="51"/>
  <c r="BT51" i="51"/>
  <c r="BS51" i="51"/>
  <c r="BR51" i="51"/>
  <c r="BQ51" i="51"/>
  <c r="BP51" i="51"/>
  <c r="BO51" i="51"/>
  <c r="BN51" i="51"/>
  <c r="BM51" i="51"/>
  <c r="BL51" i="51"/>
  <c r="BK51" i="51"/>
  <c r="BJ51" i="51"/>
  <c r="BI51" i="51"/>
  <c r="BH51" i="51"/>
  <c r="BG51" i="51"/>
  <c r="BF51" i="51"/>
  <c r="BE51" i="51"/>
  <c r="BD51" i="51"/>
  <c r="BC51" i="51"/>
  <c r="BB51" i="51"/>
  <c r="BA51" i="51"/>
  <c r="AZ51" i="51"/>
  <c r="AY51" i="51"/>
  <c r="AX51" i="51"/>
  <c r="AW51" i="51"/>
  <c r="AV51" i="51"/>
  <c r="AU51" i="51"/>
  <c r="AT51" i="51"/>
  <c r="AS51" i="51"/>
  <c r="AR51" i="51"/>
  <c r="AQ51" i="51"/>
  <c r="AP51" i="51"/>
  <c r="AO51" i="51"/>
  <c r="AN51" i="51"/>
  <c r="AM51" i="51"/>
  <c r="AL51" i="51"/>
  <c r="AK51" i="51"/>
  <c r="AJ51" i="51"/>
  <c r="AI51" i="51"/>
  <c r="AH51" i="51"/>
  <c r="AG51" i="51"/>
  <c r="AF51" i="51"/>
  <c r="AE51" i="51"/>
  <c r="AD51" i="51"/>
  <c r="AC51" i="51"/>
  <c r="AB51" i="51"/>
  <c r="AA51" i="51"/>
  <c r="Z51" i="51"/>
  <c r="Y51" i="51"/>
  <c r="X51" i="51"/>
  <c r="W51" i="51"/>
  <c r="V51" i="51"/>
  <c r="U51" i="51"/>
  <c r="T51" i="51"/>
  <c r="S51" i="51"/>
  <c r="R51" i="51"/>
  <c r="Q51" i="51"/>
  <c r="P51" i="51"/>
  <c r="O51" i="51"/>
  <c r="N51" i="51"/>
  <c r="M51" i="51"/>
  <c r="L51" i="51"/>
  <c r="K51" i="51"/>
  <c r="J51" i="51"/>
  <c r="I51" i="51"/>
  <c r="H51" i="51"/>
  <c r="G51" i="51"/>
  <c r="F51" i="51"/>
  <c r="IV50" i="51"/>
  <c r="IU50" i="51"/>
  <c r="IT50" i="51"/>
  <c r="IS50" i="51"/>
  <c r="IR50" i="51"/>
  <c r="IQ50" i="51"/>
  <c r="IP50" i="51"/>
  <c r="IO50" i="51"/>
  <c r="IN50" i="51"/>
  <c r="IM50" i="51"/>
  <c r="IL50" i="51"/>
  <c r="IK50" i="51"/>
  <c r="IJ50" i="51"/>
  <c r="II50" i="51"/>
  <c r="IH50" i="51"/>
  <c r="IG50" i="51"/>
  <c r="IF50" i="51"/>
  <c r="IE50" i="51"/>
  <c r="ID50" i="51"/>
  <c r="IC50" i="51"/>
  <c r="IB50" i="51"/>
  <c r="IA50" i="51"/>
  <c r="HZ50" i="51"/>
  <c r="HY50" i="51"/>
  <c r="HX50" i="51"/>
  <c r="HW50" i="51"/>
  <c r="HV50" i="51"/>
  <c r="HU50" i="51"/>
  <c r="HT50" i="51"/>
  <c r="HS50" i="51"/>
  <c r="HR50" i="51"/>
  <c r="HQ50" i="51"/>
  <c r="HP50" i="51"/>
  <c r="HO50" i="51"/>
  <c r="HN50" i="51"/>
  <c r="HM50" i="51"/>
  <c r="HL50" i="51"/>
  <c r="HK50" i="51"/>
  <c r="HJ50" i="51"/>
  <c r="HI50" i="51"/>
  <c r="HH50" i="51"/>
  <c r="HG50" i="51"/>
  <c r="HF50" i="51"/>
  <c r="HE50" i="51"/>
  <c r="HD50" i="51"/>
  <c r="HC50" i="51"/>
  <c r="HB50" i="51"/>
  <c r="HA50" i="51"/>
  <c r="GZ50" i="51"/>
  <c r="GY50" i="51"/>
  <c r="GX50" i="51"/>
  <c r="GW50" i="51"/>
  <c r="GV50" i="51"/>
  <c r="GU50" i="51"/>
  <c r="GT50" i="51"/>
  <c r="GS50" i="51"/>
  <c r="GR50" i="51"/>
  <c r="GQ50" i="51"/>
  <c r="GP50" i="51"/>
  <c r="GO50" i="51"/>
  <c r="GN50" i="51"/>
  <c r="GM50" i="51"/>
  <c r="GL50" i="51"/>
  <c r="GK50" i="51"/>
  <c r="GJ50" i="51"/>
  <c r="GI50" i="51"/>
  <c r="GH50" i="51"/>
  <c r="GG50" i="51"/>
  <c r="GF50" i="51"/>
  <c r="GE50" i="51"/>
  <c r="GD50" i="51"/>
  <c r="GC50" i="51"/>
  <c r="GB50" i="51"/>
  <c r="GA50" i="51"/>
  <c r="FZ50" i="51"/>
  <c r="FY50" i="51"/>
  <c r="FX50" i="51"/>
  <c r="FW50" i="51"/>
  <c r="FV50" i="51"/>
  <c r="FU50" i="51"/>
  <c r="FT50" i="51"/>
  <c r="FS50" i="51"/>
  <c r="FR50" i="51"/>
  <c r="FQ50" i="51"/>
  <c r="FP50" i="51"/>
  <c r="FO50" i="51"/>
  <c r="FN50" i="51"/>
  <c r="FM50" i="51"/>
  <c r="FL50" i="51"/>
  <c r="FK50" i="51"/>
  <c r="FJ50" i="51"/>
  <c r="FI50" i="51"/>
  <c r="FH50" i="51"/>
  <c r="FG50" i="51"/>
  <c r="FF50" i="51"/>
  <c r="FE50" i="51"/>
  <c r="FD50" i="51"/>
  <c r="FC50" i="51"/>
  <c r="FB50" i="51"/>
  <c r="FA50" i="51"/>
  <c r="EZ50" i="51"/>
  <c r="EY50" i="51"/>
  <c r="EX50" i="51"/>
  <c r="EW50" i="51"/>
  <c r="EV50" i="51"/>
  <c r="EU50" i="51"/>
  <c r="ET50" i="51"/>
  <c r="ES50" i="51"/>
  <c r="ER50" i="51"/>
  <c r="EQ50" i="51"/>
  <c r="EP50" i="51"/>
  <c r="EO50" i="51"/>
  <c r="EN50" i="51"/>
  <c r="EM50" i="51"/>
  <c r="EL50" i="51"/>
  <c r="EK50" i="51"/>
  <c r="EJ50" i="51"/>
  <c r="EI50" i="51"/>
  <c r="EH50" i="51"/>
  <c r="EG50" i="51"/>
  <c r="EF50" i="51"/>
  <c r="EE50" i="51"/>
  <c r="ED50" i="51"/>
  <c r="EC50" i="51"/>
  <c r="EB50" i="51"/>
  <c r="EA50" i="51"/>
  <c r="DZ50" i="51"/>
  <c r="DY50" i="51"/>
  <c r="DX50" i="51"/>
  <c r="DW50" i="51"/>
  <c r="DV50" i="51"/>
  <c r="DU50" i="51"/>
  <c r="DT50" i="51"/>
  <c r="DS50" i="51"/>
  <c r="DR50" i="51"/>
  <c r="DQ50" i="51"/>
  <c r="DP50" i="51"/>
  <c r="DO50" i="51"/>
  <c r="DN50" i="51"/>
  <c r="DM50" i="51"/>
  <c r="DL50" i="51"/>
  <c r="DK50" i="51"/>
  <c r="DJ50" i="51"/>
  <c r="DI50" i="51"/>
  <c r="DH50" i="51"/>
  <c r="DG50" i="51"/>
  <c r="DF50" i="51"/>
  <c r="DE50" i="51"/>
  <c r="DD50" i="51"/>
  <c r="DC50" i="51"/>
  <c r="DB50" i="51"/>
  <c r="DA50" i="51"/>
  <c r="CZ50" i="51"/>
  <c r="CY50" i="51"/>
  <c r="CX50" i="51"/>
  <c r="CW50" i="51"/>
  <c r="CV50" i="51"/>
  <c r="CU50" i="51"/>
  <c r="CT50" i="51"/>
  <c r="CS50" i="51"/>
  <c r="CR50" i="51"/>
  <c r="CQ50" i="51"/>
  <c r="CP50" i="51"/>
  <c r="CO50" i="51"/>
  <c r="CN50" i="51"/>
  <c r="CM50" i="51"/>
  <c r="CL50" i="51"/>
  <c r="CK50" i="51"/>
  <c r="CJ50" i="51"/>
  <c r="CI50" i="51"/>
  <c r="CH50" i="51"/>
  <c r="CG50" i="51"/>
  <c r="CF50" i="51"/>
  <c r="CE50" i="51"/>
  <c r="CD50" i="51"/>
  <c r="CC50" i="51"/>
  <c r="CB50" i="51"/>
  <c r="CA50" i="51"/>
  <c r="BZ50" i="51"/>
  <c r="BY50" i="51"/>
  <c r="BX50" i="51"/>
  <c r="BW50" i="51"/>
  <c r="BV50" i="51"/>
  <c r="BU50" i="51"/>
  <c r="BT50" i="51"/>
  <c r="BS50" i="51"/>
  <c r="BR50" i="51"/>
  <c r="BQ50" i="51"/>
  <c r="BP50" i="51"/>
  <c r="BO50" i="51"/>
  <c r="BN50" i="51"/>
  <c r="BM50" i="51"/>
  <c r="BL50" i="51"/>
  <c r="BK50" i="51"/>
  <c r="BJ50" i="51"/>
  <c r="BI50" i="51"/>
  <c r="BH50" i="51"/>
  <c r="BG50" i="51"/>
  <c r="BF50" i="51"/>
  <c r="BE50" i="51"/>
  <c r="BD50" i="51"/>
  <c r="BC50" i="51"/>
  <c r="BB50" i="51"/>
  <c r="BA50" i="51"/>
  <c r="AZ50" i="51"/>
  <c r="AY50" i="51"/>
  <c r="AX50" i="51"/>
  <c r="AW50" i="51"/>
  <c r="AV50" i="51"/>
  <c r="AU50" i="51"/>
  <c r="AT50" i="51"/>
  <c r="AS50" i="51"/>
  <c r="AR50" i="51"/>
  <c r="AQ50" i="51"/>
  <c r="AP50" i="51"/>
  <c r="AO50" i="51"/>
  <c r="AN50" i="51"/>
  <c r="AM50" i="51"/>
  <c r="AL50" i="51"/>
  <c r="AK50" i="51"/>
  <c r="AJ50" i="51"/>
  <c r="AI50" i="51"/>
  <c r="AH50" i="51"/>
  <c r="AG50" i="51"/>
  <c r="AF50" i="51"/>
  <c r="AE50" i="51"/>
  <c r="AD50" i="51"/>
  <c r="AC50" i="51"/>
  <c r="AB50" i="51"/>
  <c r="AA50" i="51"/>
  <c r="Z50" i="51"/>
  <c r="Y50" i="51"/>
  <c r="X50" i="51"/>
  <c r="W50" i="51"/>
  <c r="V50" i="51"/>
  <c r="U50" i="51"/>
  <c r="T50" i="51"/>
  <c r="S50" i="51"/>
  <c r="R50" i="51"/>
  <c r="Q50" i="51"/>
  <c r="P50" i="51"/>
  <c r="O50" i="51"/>
  <c r="N50" i="51"/>
  <c r="M50" i="51"/>
  <c r="L50" i="51"/>
  <c r="K50" i="51"/>
  <c r="J50" i="51"/>
  <c r="I50" i="51"/>
  <c r="H50" i="51"/>
  <c r="G50" i="51"/>
  <c r="F50" i="51"/>
  <c r="IV49" i="51"/>
  <c r="IU49" i="51"/>
  <c r="IT49" i="51"/>
  <c r="IS49" i="51"/>
  <c r="IR49" i="51"/>
  <c r="IQ49" i="51"/>
  <c r="IP49" i="51"/>
  <c r="IO49" i="51"/>
  <c r="IN49" i="51"/>
  <c r="IM49" i="51"/>
  <c r="IL49" i="51"/>
  <c r="IK49" i="51"/>
  <c r="IJ49" i="51"/>
  <c r="II49" i="51"/>
  <c r="IH49" i="51"/>
  <c r="IG49" i="51"/>
  <c r="IF49" i="51"/>
  <c r="IE49" i="51"/>
  <c r="ID49" i="51"/>
  <c r="IC49" i="51"/>
  <c r="IB49" i="51"/>
  <c r="IA49" i="51"/>
  <c r="HZ49" i="51"/>
  <c r="HY49" i="51"/>
  <c r="HX49" i="51"/>
  <c r="HW49" i="51"/>
  <c r="HV49" i="51"/>
  <c r="HU49" i="51"/>
  <c r="HT49" i="51"/>
  <c r="HS49" i="51"/>
  <c r="HR49" i="51"/>
  <c r="HQ49" i="51"/>
  <c r="HP49" i="51"/>
  <c r="HO49" i="51"/>
  <c r="HN49" i="51"/>
  <c r="HM49" i="51"/>
  <c r="HL49" i="51"/>
  <c r="HK49" i="51"/>
  <c r="HJ49" i="51"/>
  <c r="HI49" i="51"/>
  <c r="HH49" i="51"/>
  <c r="HG49" i="51"/>
  <c r="HF49" i="51"/>
  <c r="HE49" i="51"/>
  <c r="HD49" i="51"/>
  <c r="HC49" i="51"/>
  <c r="HB49" i="51"/>
  <c r="HA49" i="51"/>
  <c r="GZ49" i="51"/>
  <c r="GY49" i="51"/>
  <c r="GX49" i="51"/>
  <c r="GW49" i="51"/>
  <c r="GV49" i="51"/>
  <c r="GU49" i="51"/>
  <c r="GT49" i="51"/>
  <c r="GS49" i="51"/>
  <c r="GR49" i="51"/>
  <c r="GQ49" i="51"/>
  <c r="GP49" i="51"/>
  <c r="GO49" i="51"/>
  <c r="GN49" i="51"/>
  <c r="GM49" i="51"/>
  <c r="GL49" i="51"/>
  <c r="GK49" i="51"/>
  <c r="GJ49" i="51"/>
  <c r="GI49" i="51"/>
  <c r="GH49" i="51"/>
  <c r="GG49" i="51"/>
  <c r="GF49" i="51"/>
  <c r="GE49" i="51"/>
  <c r="GD49" i="51"/>
  <c r="GC49" i="51"/>
  <c r="GB49" i="51"/>
  <c r="GA49" i="51"/>
  <c r="FZ49" i="51"/>
  <c r="FY49" i="51"/>
  <c r="FX49" i="51"/>
  <c r="FW49" i="51"/>
  <c r="FV49" i="51"/>
  <c r="FU49" i="51"/>
  <c r="FT49" i="51"/>
  <c r="FS49" i="51"/>
  <c r="FR49" i="51"/>
  <c r="FQ49" i="51"/>
  <c r="FP49" i="51"/>
  <c r="FO49" i="51"/>
  <c r="FN49" i="51"/>
  <c r="FM49" i="51"/>
  <c r="FL49" i="51"/>
  <c r="FK49" i="51"/>
  <c r="FJ49" i="51"/>
  <c r="FI49" i="51"/>
  <c r="FH49" i="51"/>
  <c r="FG49" i="51"/>
  <c r="FF49" i="51"/>
  <c r="FE49" i="51"/>
  <c r="FD49" i="51"/>
  <c r="FC49" i="51"/>
  <c r="FB49" i="51"/>
  <c r="FA49" i="51"/>
  <c r="EZ49" i="51"/>
  <c r="EY49" i="51"/>
  <c r="EX49" i="51"/>
  <c r="EW49" i="51"/>
  <c r="EV49" i="51"/>
  <c r="EU49" i="51"/>
  <c r="ET49" i="51"/>
  <c r="ES49" i="51"/>
  <c r="ER49" i="51"/>
  <c r="EQ49" i="51"/>
  <c r="EP49" i="51"/>
  <c r="EO49" i="51"/>
  <c r="EN49" i="51"/>
  <c r="EM49" i="51"/>
  <c r="EL49" i="51"/>
  <c r="EK49" i="51"/>
  <c r="EJ49" i="51"/>
  <c r="EI49" i="51"/>
  <c r="EH49" i="51"/>
  <c r="EG49" i="51"/>
  <c r="EF49" i="51"/>
  <c r="EE49" i="51"/>
  <c r="ED49" i="51"/>
  <c r="EC49" i="51"/>
  <c r="EB49" i="51"/>
  <c r="EA49" i="51"/>
  <c r="DZ49" i="51"/>
  <c r="DY49" i="51"/>
  <c r="DX49" i="51"/>
  <c r="DW49" i="51"/>
  <c r="DV49" i="51"/>
  <c r="DU49" i="51"/>
  <c r="DT49" i="51"/>
  <c r="DS49" i="51"/>
  <c r="DR49" i="51"/>
  <c r="DQ49" i="51"/>
  <c r="DP49" i="51"/>
  <c r="DO49" i="51"/>
  <c r="DN49" i="51"/>
  <c r="DM49" i="51"/>
  <c r="DL49" i="51"/>
  <c r="DK49" i="51"/>
  <c r="DJ49" i="51"/>
  <c r="DI49" i="51"/>
  <c r="DH49" i="51"/>
  <c r="DG49" i="51"/>
  <c r="DF49" i="51"/>
  <c r="DE49" i="51"/>
  <c r="DD49" i="51"/>
  <c r="DC49" i="51"/>
  <c r="DB49" i="51"/>
  <c r="DA49" i="51"/>
  <c r="CZ49" i="51"/>
  <c r="CY49" i="51"/>
  <c r="CX49" i="51"/>
  <c r="CW49" i="51"/>
  <c r="CV49" i="51"/>
  <c r="CU49" i="51"/>
  <c r="CT49" i="51"/>
  <c r="CS49" i="51"/>
  <c r="CR49" i="51"/>
  <c r="CQ49" i="51"/>
  <c r="CP49" i="51"/>
  <c r="CO49" i="51"/>
  <c r="CN49" i="51"/>
  <c r="CM49" i="51"/>
  <c r="CL49" i="51"/>
  <c r="CK49" i="51"/>
  <c r="CJ49" i="51"/>
  <c r="CI49" i="51"/>
  <c r="CH49" i="51"/>
  <c r="CG49" i="51"/>
  <c r="CF49" i="51"/>
  <c r="CE49" i="51"/>
  <c r="CD49" i="51"/>
  <c r="CC49" i="51"/>
  <c r="CB49" i="51"/>
  <c r="CA49" i="51"/>
  <c r="BZ49" i="51"/>
  <c r="BY49" i="51"/>
  <c r="BX49" i="51"/>
  <c r="BW49" i="51"/>
  <c r="BV49" i="51"/>
  <c r="BU49" i="51"/>
  <c r="BT49" i="51"/>
  <c r="BS49" i="51"/>
  <c r="BR49" i="51"/>
  <c r="BQ49" i="51"/>
  <c r="BP49" i="51"/>
  <c r="BO49" i="51"/>
  <c r="BN49" i="51"/>
  <c r="BM49" i="51"/>
  <c r="BL49" i="51"/>
  <c r="BK49" i="51"/>
  <c r="BJ49" i="51"/>
  <c r="BI49" i="51"/>
  <c r="BH49" i="51"/>
  <c r="BG49" i="51"/>
  <c r="BF49" i="51"/>
  <c r="BE49" i="51"/>
  <c r="BD49" i="51"/>
  <c r="BC49" i="51"/>
  <c r="BB49" i="51"/>
  <c r="BA49" i="51"/>
  <c r="AZ49" i="51"/>
  <c r="AY49" i="51"/>
  <c r="AX49" i="51"/>
  <c r="AW49" i="51"/>
  <c r="AV49" i="51"/>
  <c r="AU49" i="51"/>
  <c r="AT49" i="51"/>
  <c r="AS49" i="51"/>
  <c r="AR49" i="51"/>
  <c r="AQ49" i="51"/>
  <c r="AP49" i="51"/>
  <c r="AO49" i="51"/>
  <c r="AN49" i="51"/>
  <c r="AM49" i="51"/>
  <c r="AL49" i="51"/>
  <c r="AK49" i="51"/>
  <c r="AJ49" i="51"/>
  <c r="AI49" i="51"/>
  <c r="AH49" i="51"/>
  <c r="AG49" i="51"/>
  <c r="AF49" i="51"/>
  <c r="AE49" i="51"/>
  <c r="AD49" i="51"/>
  <c r="AC49" i="51"/>
  <c r="AB49" i="51"/>
  <c r="AA49" i="51"/>
  <c r="Z49" i="51"/>
  <c r="Y49" i="51"/>
  <c r="X49" i="51"/>
  <c r="W49" i="51"/>
  <c r="V49" i="51"/>
  <c r="U49" i="51"/>
  <c r="T49" i="51"/>
  <c r="S49" i="51"/>
  <c r="R49" i="51"/>
  <c r="Q49" i="51"/>
  <c r="P49" i="51"/>
  <c r="O49" i="51"/>
  <c r="N49" i="51"/>
  <c r="M49" i="51"/>
  <c r="L49" i="51"/>
  <c r="K49" i="51"/>
  <c r="J49" i="51"/>
  <c r="I49" i="51"/>
  <c r="H49" i="51"/>
  <c r="G49" i="51"/>
  <c r="F49" i="51"/>
  <c r="IV48" i="51"/>
  <c r="IU48" i="51"/>
  <c r="IT48" i="51"/>
  <c r="IS48" i="51"/>
  <c r="IR48" i="51"/>
  <c r="IQ48" i="51"/>
  <c r="IP48" i="51"/>
  <c r="IO48" i="51"/>
  <c r="IN48" i="51"/>
  <c r="IM48" i="51"/>
  <c r="IL48" i="51"/>
  <c r="IK48" i="51"/>
  <c r="IJ48" i="51"/>
  <c r="II48" i="51"/>
  <c r="IH48" i="51"/>
  <c r="IG48" i="51"/>
  <c r="IF48" i="51"/>
  <c r="IE48" i="51"/>
  <c r="ID48" i="51"/>
  <c r="IC48" i="51"/>
  <c r="IB48" i="51"/>
  <c r="IA48" i="51"/>
  <c r="HZ48" i="51"/>
  <c r="HY48" i="51"/>
  <c r="HX48" i="51"/>
  <c r="HW48" i="51"/>
  <c r="HV48" i="51"/>
  <c r="HU48" i="51"/>
  <c r="HT48" i="51"/>
  <c r="HS48" i="51"/>
  <c r="HR48" i="51"/>
  <c r="HQ48" i="51"/>
  <c r="HP48" i="51"/>
  <c r="HO48" i="51"/>
  <c r="HN48" i="51"/>
  <c r="HM48" i="51"/>
  <c r="HL48" i="51"/>
  <c r="HK48" i="51"/>
  <c r="HJ48" i="51"/>
  <c r="HI48" i="51"/>
  <c r="HH48" i="51"/>
  <c r="HG48" i="51"/>
  <c r="HF48" i="51"/>
  <c r="HE48" i="51"/>
  <c r="HD48" i="51"/>
  <c r="HC48" i="51"/>
  <c r="HB48" i="51"/>
  <c r="HA48" i="51"/>
  <c r="GZ48" i="51"/>
  <c r="GY48" i="51"/>
  <c r="GX48" i="51"/>
  <c r="GW48" i="51"/>
  <c r="GV48" i="51"/>
  <c r="GU48" i="51"/>
  <c r="GT48" i="51"/>
  <c r="GS48" i="51"/>
  <c r="GR48" i="51"/>
  <c r="GQ48" i="51"/>
  <c r="GP48" i="51"/>
  <c r="GO48" i="51"/>
  <c r="GN48" i="51"/>
  <c r="GM48" i="51"/>
  <c r="GL48" i="51"/>
  <c r="GK48" i="51"/>
  <c r="GJ48" i="51"/>
  <c r="GI48" i="51"/>
  <c r="GH48" i="51"/>
  <c r="GG48" i="51"/>
  <c r="GF48" i="51"/>
  <c r="GE48" i="51"/>
  <c r="GD48" i="51"/>
  <c r="GC48" i="51"/>
  <c r="GB48" i="51"/>
  <c r="GA48" i="51"/>
  <c r="FZ48" i="51"/>
  <c r="FY48" i="51"/>
  <c r="FX48" i="51"/>
  <c r="FW48" i="51"/>
  <c r="FV48" i="51"/>
  <c r="FU48" i="51"/>
  <c r="FT48" i="51"/>
  <c r="FS48" i="51"/>
  <c r="FR48" i="51"/>
  <c r="FQ48" i="51"/>
  <c r="FP48" i="51"/>
  <c r="FO48" i="51"/>
  <c r="FN48" i="51"/>
  <c r="FM48" i="51"/>
  <c r="FL48" i="51"/>
  <c r="FK48" i="51"/>
  <c r="FJ48" i="51"/>
  <c r="FI48" i="51"/>
  <c r="FH48" i="51"/>
  <c r="FG48" i="51"/>
  <c r="FF48" i="51"/>
  <c r="FE48" i="51"/>
  <c r="FD48" i="51"/>
  <c r="FC48" i="51"/>
  <c r="FB48" i="51"/>
  <c r="FA48" i="51"/>
  <c r="EZ48" i="51"/>
  <c r="EY48" i="51"/>
  <c r="EX48" i="51"/>
  <c r="EW48" i="51"/>
  <c r="EV48" i="51"/>
  <c r="EU48" i="51"/>
  <c r="ET48" i="51"/>
  <c r="ES48" i="51"/>
  <c r="ER48" i="51"/>
  <c r="EQ48" i="51"/>
  <c r="EP48" i="51"/>
  <c r="EO48" i="51"/>
  <c r="EN48" i="51"/>
  <c r="EM48" i="51"/>
  <c r="EL48" i="51"/>
  <c r="EK48" i="51"/>
  <c r="EJ48" i="51"/>
  <c r="EI48" i="51"/>
  <c r="EH48" i="51"/>
  <c r="EG48" i="51"/>
  <c r="EF48" i="51"/>
  <c r="EE48" i="51"/>
  <c r="ED48" i="51"/>
  <c r="EC48" i="51"/>
  <c r="EB48" i="51"/>
  <c r="EA48" i="51"/>
  <c r="DZ48" i="51"/>
  <c r="DY48" i="51"/>
  <c r="DX48" i="51"/>
  <c r="DW48" i="51"/>
  <c r="DV48" i="51"/>
  <c r="DU48" i="51"/>
  <c r="DT48" i="51"/>
  <c r="DS48" i="51"/>
  <c r="DR48" i="51"/>
  <c r="DQ48" i="51"/>
  <c r="DP48" i="51"/>
  <c r="DO48" i="51"/>
  <c r="DN48" i="51"/>
  <c r="DM48" i="51"/>
  <c r="DL48" i="51"/>
  <c r="DK48" i="51"/>
  <c r="DJ48" i="51"/>
  <c r="DI48" i="51"/>
  <c r="DH48" i="51"/>
  <c r="DG48" i="51"/>
  <c r="DF48" i="51"/>
  <c r="DE48" i="51"/>
  <c r="DD48" i="51"/>
  <c r="DC48" i="51"/>
  <c r="DB48" i="51"/>
  <c r="DA48" i="51"/>
  <c r="CZ48" i="51"/>
  <c r="CY48" i="51"/>
  <c r="CX48" i="51"/>
  <c r="CW48" i="51"/>
  <c r="CV48" i="51"/>
  <c r="CU48" i="51"/>
  <c r="CT48" i="51"/>
  <c r="CS48" i="51"/>
  <c r="CR48" i="51"/>
  <c r="CQ48" i="51"/>
  <c r="CP48" i="51"/>
  <c r="CO48" i="51"/>
  <c r="CN48" i="51"/>
  <c r="CM48" i="51"/>
  <c r="CL48" i="51"/>
  <c r="CK48" i="51"/>
  <c r="CJ48" i="51"/>
  <c r="CI48" i="51"/>
  <c r="CH48" i="51"/>
  <c r="CG48" i="51"/>
  <c r="CF48" i="51"/>
  <c r="CE48" i="51"/>
  <c r="CD48" i="51"/>
  <c r="CC48" i="51"/>
  <c r="CB48" i="51"/>
  <c r="CA48" i="51"/>
  <c r="BZ48" i="51"/>
  <c r="BY48" i="51"/>
  <c r="BX48" i="51"/>
  <c r="BW48" i="51"/>
  <c r="BV48" i="51"/>
  <c r="BU48" i="51"/>
  <c r="BT48" i="51"/>
  <c r="BS48" i="51"/>
  <c r="BR48" i="51"/>
  <c r="BQ48" i="51"/>
  <c r="BP48" i="51"/>
  <c r="BO48" i="51"/>
  <c r="BN48" i="51"/>
  <c r="BM48" i="51"/>
  <c r="BL48" i="51"/>
  <c r="BK48" i="51"/>
  <c r="BJ48" i="51"/>
  <c r="BI48" i="51"/>
  <c r="BH48" i="51"/>
  <c r="BG48" i="51"/>
  <c r="BF48" i="51"/>
  <c r="BE48" i="51"/>
  <c r="BD48" i="51"/>
  <c r="BC48" i="51"/>
  <c r="BB48" i="51"/>
  <c r="BA48" i="51"/>
  <c r="AZ48" i="51"/>
  <c r="AY48" i="51"/>
  <c r="AX48" i="51"/>
  <c r="AW48" i="51"/>
  <c r="AV48" i="51"/>
  <c r="AU48" i="51"/>
  <c r="AT48" i="51"/>
  <c r="AS48" i="51"/>
  <c r="AR48" i="51"/>
  <c r="AQ48" i="51"/>
  <c r="AP48" i="51"/>
  <c r="AO48" i="51"/>
  <c r="AN48" i="51"/>
  <c r="AM48" i="51"/>
  <c r="AL48" i="51"/>
  <c r="AK48" i="51"/>
  <c r="AJ48" i="51"/>
  <c r="AI48" i="51"/>
  <c r="AH48" i="51"/>
  <c r="AG48" i="51"/>
  <c r="AF48" i="51"/>
  <c r="AE48" i="51"/>
  <c r="AD48" i="51"/>
  <c r="AC48" i="51"/>
  <c r="AB48" i="51"/>
  <c r="AA48" i="51"/>
  <c r="Z48" i="51"/>
  <c r="Y48" i="51"/>
  <c r="X48" i="51"/>
  <c r="W48" i="51"/>
  <c r="V48" i="51"/>
  <c r="U48" i="51"/>
  <c r="T48" i="51"/>
  <c r="S48" i="51"/>
  <c r="R48" i="51"/>
  <c r="Q48" i="51"/>
  <c r="P48" i="51"/>
  <c r="O48" i="51"/>
  <c r="N48" i="51"/>
  <c r="M48" i="51"/>
  <c r="L48" i="51"/>
  <c r="K48" i="51"/>
  <c r="J48" i="51"/>
  <c r="I48" i="51"/>
  <c r="H48" i="51"/>
  <c r="G48" i="51"/>
  <c r="F48" i="51"/>
  <c r="IV47" i="51"/>
  <c r="IU47" i="51"/>
  <c r="IT47" i="51"/>
  <c r="IS47" i="51"/>
  <c r="IR47" i="51"/>
  <c r="IQ47" i="51"/>
  <c r="IP47" i="51"/>
  <c r="IO47" i="51"/>
  <c r="IN47" i="51"/>
  <c r="IM47" i="51"/>
  <c r="IL47" i="51"/>
  <c r="IK47" i="51"/>
  <c r="IJ47" i="51"/>
  <c r="II47" i="51"/>
  <c r="IH47" i="51"/>
  <c r="IG47" i="51"/>
  <c r="IF47" i="51"/>
  <c r="IE47" i="51"/>
  <c r="ID47" i="51"/>
  <c r="IC47" i="51"/>
  <c r="IB47" i="51"/>
  <c r="IA47" i="51"/>
  <c r="HZ47" i="51"/>
  <c r="HY47" i="51"/>
  <c r="HX47" i="51"/>
  <c r="HW47" i="51"/>
  <c r="HV47" i="51"/>
  <c r="HU47" i="51"/>
  <c r="HT47" i="51"/>
  <c r="HS47" i="51"/>
  <c r="HR47" i="51"/>
  <c r="HQ47" i="51"/>
  <c r="HP47" i="51"/>
  <c r="HO47" i="51"/>
  <c r="HN47" i="51"/>
  <c r="HM47" i="51"/>
  <c r="HL47" i="51"/>
  <c r="HK47" i="51"/>
  <c r="HJ47" i="51"/>
  <c r="HI47" i="51"/>
  <c r="HH47" i="51"/>
  <c r="HG47" i="51"/>
  <c r="HF47" i="51"/>
  <c r="HE47" i="51"/>
  <c r="HD47" i="51"/>
  <c r="HC47" i="51"/>
  <c r="HB47" i="51"/>
  <c r="HA47" i="51"/>
  <c r="GZ47" i="51"/>
  <c r="GY47" i="51"/>
  <c r="GX47" i="51"/>
  <c r="GW47" i="51"/>
  <c r="GV47" i="51"/>
  <c r="GU47" i="51"/>
  <c r="GT47" i="51"/>
  <c r="GS47" i="51"/>
  <c r="GR47" i="51"/>
  <c r="GQ47" i="51"/>
  <c r="GP47" i="51"/>
  <c r="GO47" i="51"/>
  <c r="GN47" i="51"/>
  <c r="GM47" i="51"/>
  <c r="GL47" i="51"/>
  <c r="GK47" i="51"/>
  <c r="GJ47" i="51"/>
  <c r="GI47" i="51"/>
  <c r="GH47" i="51"/>
  <c r="GG47" i="51"/>
  <c r="GF47" i="51"/>
  <c r="GE47" i="51"/>
  <c r="GD47" i="51"/>
  <c r="GC47" i="51"/>
  <c r="GB47" i="51"/>
  <c r="GA47" i="51"/>
  <c r="FZ47" i="51"/>
  <c r="FY47" i="51"/>
  <c r="FX47" i="51"/>
  <c r="FW47" i="51"/>
  <c r="FV47" i="51"/>
  <c r="FU47" i="51"/>
  <c r="FT47" i="51"/>
  <c r="FS47" i="51"/>
  <c r="FR47" i="51"/>
  <c r="FQ47" i="51"/>
  <c r="FP47" i="51"/>
  <c r="FO47" i="51"/>
  <c r="FN47" i="51"/>
  <c r="FM47" i="51"/>
  <c r="FL47" i="51"/>
  <c r="FK47" i="51"/>
  <c r="FJ47" i="51"/>
  <c r="FI47" i="51"/>
  <c r="FH47" i="51"/>
  <c r="FG47" i="51"/>
  <c r="FF47" i="51"/>
  <c r="FE47" i="51"/>
  <c r="FD47" i="51"/>
  <c r="FC47" i="51"/>
  <c r="FB47" i="51"/>
  <c r="FA47" i="51"/>
  <c r="EZ47" i="51"/>
  <c r="EY47" i="51"/>
  <c r="EX47" i="51"/>
  <c r="EW47" i="51"/>
  <c r="EV47" i="51"/>
  <c r="EU47" i="51"/>
  <c r="ET47" i="51"/>
  <c r="ES47" i="51"/>
  <c r="ER47" i="51"/>
  <c r="EQ47" i="51"/>
  <c r="EP47" i="51"/>
  <c r="EO47" i="51"/>
  <c r="EN47" i="51"/>
  <c r="EM47" i="51"/>
  <c r="EL47" i="51"/>
  <c r="EK47" i="51"/>
  <c r="EJ47" i="51"/>
  <c r="EI47" i="51"/>
  <c r="EH47" i="51"/>
  <c r="EG47" i="51"/>
  <c r="EF47" i="51"/>
  <c r="EE47" i="51"/>
  <c r="ED47" i="51"/>
  <c r="EC47" i="51"/>
  <c r="EB47" i="51"/>
  <c r="EA47" i="51"/>
  <c r="DZ47" i="51"/>
  <c r="DY47" i="51"/>
  <c r="DX47" i="51"/>
  <c r="DW47" i="51"/>
  <c r="DV47" i="51"/>
  <c r="DU47" i="51"/>
  <c r="DT47" i="51"/>
  <c r="DS47" i="51"/>
  <c r="DR47" i="51"/>
  <c r="DQ47" i="51"/>
  <c r="DP47" i="51"/>
  <c r="DO47" i="51"/>
  <c r="DN47" i="51"/>
  <c r="DM47" i="51"/>
  <c r="DL47" i="51"/>
  <c r="DK47" i="51"/>
  <c r="DJ47" i="51"/>
  <c r="DI47" i="51"/>
  <c r="DH47" i="51"/>
  <c r="DG47" i="51"/>
  <c r="DF47" i="51"/>
  <c r="DE47" i="51"/>
  <c r="DD47" i="51"/>
  <c r="DC47" i="51"/>
  <c r="DB47" i="51"/>
  <c r="DA47" i="51"/>
  <c r="CZ47" i="51"/>
  <c r="CY47" i="51"/>
  <c r="CX47" i="51"/>
  <c r="CW47" i="51"/>
  <c r="CV47" i="51"/>
  <c r="CU47" i="51"/>
  <c r="CT47" i="51"/>
  <c r="CS47" i="51"/>
  <c r="CR47" i="51"/>
  <c r="CQ47" i="51"/>
  <c r="CP47" i="51"/>
  <c r="CO47" i="51"/>
  <c r="CN47" i="51"/>
  <c r="CM47" i="51"/>
  <c r="CL47" i="51"/>
  <c r="CK47" i="51"/>
  <c r="CJ47" i="51"/>
  <c r="CI47" i="51"/>
  <c r="CH47" i="51"/>
  <c r="CG47" i="51"/>
  <c r="CF47" i="51"/>
  <c r="CE47" i="51"/>
  <c r="CD47" i="51"/>
  <c r="CC47" i="51"/>
  <c r="CB47" i="51"/>
  <c r="CA47" i="51"/>
  <c r="BZ47" i="51"/>
  <c r="BY47" i="51"/>
  <c r="BX47" i="51"/>
  <c r="BW47" i="51"/>
  <c r="BV47" i="51"/>
  <c r="BU47" i="51"/>
  <c r="BT47" i="51"/>
  <c r="BS47" i="51"/>
  <c r="BR47" i="51"/>
  <c r="BQ47" i="51"/>
  <c r="BP47" i="51"/>
  <c r="BO47" i="51"/>
  <c r="BN47" i="51"/>
  <c r="BM47" i="51"/>
  <c r="BL47" i="51"/>
  <c r="BK47" i="51"/>
  <c r="BJ47" i="51"/>
  <c r="BI47" i="51"/>
  <c r="BH47" i="51"/>
  <c r="BG47" i="51"/>
  <c r="BF47" i="51"/>
  <c r="BE47" i="51"/>
  <c r="BD47" i="51"/>
  <c r="BC47" i="51"/>
  <c r="BB47" i="51"/>
  <c r="BA47" i="51"/>
  <c r="AZ47" i="51"/>
  <c r="AY47" i="51"/>
  <c r="AX47" i="51"/>
  <c r="AW47" i="51"/>
  <c r="AV47" i="51"/>
  <c r="AU47" i="51"/>
  <c r="AT47" i="51"/>
  <c r="AS47" i="51"/>
  <c r="AR47" i="51"/>
  <c r="AQ47" i="51"/>
  <c r="AP47" i="51"/>
  <c r="AO47" i="51"/>
  <c r="AN47" i="51"/>
  <c r="AM47" i="51"/>
  <c r="AL47" i="51"/>
  <c r="AK47" i="51"/>
  <c r="AJ47" i="51"/>
  <c r="AI47" i="51"/>
  <c r="AH47" i="51"/>
  <c r="AG47" i="51"/>
  <c r="AF47" i="51"/>
  <c r="AE47" i="51"/>
  <c r="AD47" i="51"/>
  <c r="AC47" i="51"/>
  <c r="AB47" i="51"/>
  <c r="AA47" i="51"/>
  <c r="Z47" i="51"/>
  <c r="Y47" i="51"/>
  <c r="X47" i="51"/>
  <c r="W47" i="51"/>
  <c r="V47" i="51"/>
  <c r="U47" i="51"/>
  <c r="T47" i="51"/>
  <c r="S47" i="51"/>
  <c r="R47" i="51"/>
  <c r="Q47" i="51"/>
  <c r="P47" i="51"/>
  <c r="O47" i="51"/>
  <c r="N47" i="51"/>
  <c r="M47" i="51"/>
  <c r="L47" i="51"/>
  <c r="K47" i="51"/>
  <c r="J47" i="51"/>
  <c r="I47" i="51"/>
  <c r="H47" i="51"/>
  <c r="G47" i="51"/>
  <c r="F47" i="51"/>
  <c r="IV46" i="51"/>
  <c r="IU46" i="51"/>
  <c r="IT46" i="51"/>
  <c r="IS46" i="51"/>
  <c r="IR46" i="51"/>
  <c r="IQ46" i="51"/>
  <c r="IP46" i="51"/>
  <c r="IO46" i="51"/>
  <c r="IN46" i="51"/>
  <c r="IM46" i="51"/>
  <c r="IL46" i="51"/>
  <c r="IK46" i="51"/>
  <c r="IJ46" i="51"/>
  <c r="II46" i="51"/>
  <c r="IH46" i="51"/>
  <c r="IG46" i="51"/>
  <c r="IF46" i="51"/>
  <c r="IE46" i="51"/>
  <c r="ID46" i="51"/>
  <c r="IC46" i="51"/>
  <c r="IB46" i="51"/>
  <c r="IA46" i="51"/>
  <c r="HZ46" i="51"/>
  <c r="HY46" i="51"/>
  <c r="HX46" i="51"/>
  <c r="HW46" i="51"/>
  <c r="HV46" i="51"/>
  <c r="HU46" i="51"/>
  <c r="HT46" i="51"/>
  <c r="HS46" i="51"/>
  <c r="HR46" i="51"/>
  <c r="HQ46" i="51"/>
  <c r="HP46" i="51"/>
  <c r="HO46" i="51"/>
  <c r="HN46" i="51"/>
  <c r="HM46" i="51"/>
  <c r="HL46" i="51"/>
  <c r="HK46" i="51"/>
  <c r="HJ46" i="51"/>
  <c r="HI46" i="51"/>
  <c r="HH46" i="51"/>
  <c r="HG46" i="51"/>
  <c r="HF46" i="51"/>
  <c r="HE46" i="51"/>
  <c r="HD46" i="51"/>
  <c r="HC46" i="51"/>
  <c r="HB46" i="51"/>
  <c r="HA46" i="51"/>
  <c r="GZ46" i="51"/>
  <c r="GY46" i="51"/>
  <c r="GX46" i="51"/>
  <c r="GW46" i="51"/>
  <c r="GV46" i="51"/>
  <c r="GU46" i="51"/>
  <c r="GT46" i="51"/>
  <c r="GS46" i="51"/>
  <c r="GR46" i="51"/>
  <c r="GQ46" i="51"/>
  <c r="GP46" i="51"/>
  <c r="GO46" i="51"/>
  <c r="GN46" i="51"/>
  <c r="GM46" i="51"/>
  <c r="GL46" i="51"/>
  <c r="GK46" i="51"/>
  <c r="GJ46" i="51"/>
  <c r="GI46" i="51"/>
  <c r="GH46" i="51"/>
  <c r="GG46" i="51"/>
  <c r="GF46" i="51"/>
  <c r="GE46" i="51"/>
  <c r="GD46" i="51"/>
  <c r="GC46" i="51"/>
  <c r="GB46" i="51"/>
  <c r="GA46" i="51"/>
  <c r="FZ46" i="51"/>
  <c r="FY46" i="51"/>
  <c r="FX46" i="51"/>
  <c r="FW46" i="51"/>
  <c r="FV46" i="51"/>
  <c r="FU46" i="51"/>
  <c r="FT46" i="51"/>
  <c r="FS46" i="51"/>
  <c r="FR46" i="51"/>
  <c r="FQ46" i="51"/>
  <c r="FP46" i="51"/>
  <c r="FO46" i="51"/>
  <c r="FN46" i="51"/>
  <c r="FM46" i="51"/>
  <c r="FL46" i="51"/>
  <c r="FK46" i="51"/>
  <c r="FJ46" i="51"/>
  <c r="FI46" i="51"/>
  <c r="FH46" i="51"/>
  <c r="FG46" i="51"/>
  <c r="FF46" i="51"/>
  <c r="FE46" i="51"/>
  <c r="FD46" i="51"/>
  <c r="FC46" i="51"/>
  <c r="FB46" i="51"/>
  <c r="FA46" i="51"/>
  <c r="EZ46" i="51"/>
  <c r="EY46" i="51"/>
  <c r="EX46" i="51"/>
  <c r="EW46" i="51"/>
  <c r="EV46" i="51"/>
  <c r="EU46" i="51"/>
  <c r="ET46" i="51"/>
  <c r="ES46" i="51"/>
  <c r="ER46" i="51"/>
  <c r="EQ46" i="51"/>
  <c r="EP46" i="51"/>
  <c r="EO46" i="51"/>
  <c r="EN46" i="51"/>
  <c r="EM46" i="51"/>
  <c r="EL46" i="51"/>
  <c r="EK46" i="51"/>
  <c r="EJ46" i="51"/>
  <c r="EI46" i="51"/>
  <c r="EH46" i="51"/>
  <c r="EG46" i="51"/>
  <c r="EF46" i="51"/>
  <c r="EE46" i="51"/>
  <c r="ED46" i="51"/>
  <c r="EC46" i="51"/>
  <c r="EB46" i="51"/>
  <c r="EA46" i="51"/>
  <c r="DZ46" i="51"/>
  <c r="DY46" i="51"/>
  <c r="DX46" i="51"/>
  <c r="DW46" i="51"/>
  <c r="DV46" i="51"/>
  <c r="DU46" i="51"/>
  <c r="DT46" i="51"/>
  <c r="DS46" i="51"/>
  <c r="DR46" i="51"/>
  <c r="DQ46" i="51"/>
  <c r="DP46" i="51"/>
  <c r="DO46" i="51"/>
  <c r="DN46" i="51"/>
  <c r="DM46" i="51"/>
  <c r="DL46" i="51"/>
  <c r="DK46" i="51"/>
  <c r="DJ46" i="51"/>
  <c r="DI46" i="51"/>
  <c r="DH46" i="51"/>
  <c r="DG46" i="51"/>
  <c r="DF46" i="51"/>
  <c r="DE46" i="51"/>
  <c r="DD46" i="51"/>
  <c r="DC46" i="51"/>
  <c r="DB46" i="51"/>
  <c r="DA46" i="51"/>
  <c r="CZ46" i="51"/>
  <c r="CY46" i="51"/>
  <c r="CX46" i="51"/>
  <c r="CW46" i="51"/>
  <c r="CV46" i="51"/>
  <c r="CU46" i="51"/>
  <c r="CT46" i="51"/>
  <c r="CS46" i="51"/>
  <c r="CR46" i="51"/>
  <c r="CQ46" i="51"/>
  <c r="CP46" i="51"/>
  <c r="CO46" i="51"/>
  <c r="CN46" i="51"/>
  <c r="CM46" i="51"/>
  <c r="CL46" i="51"/>
  <c r="CK46" i="51"/>
  <c r="CJ46" i="51"/>
  <c r="CI46" i="51"/>
  <c r="CH46" i="51"/>
  <c r="CG46" i="51"/>
  <c r="CF46" i="51"/>
  <c r="CE46" i="51"/>
  <c r="CD46" i="51"/>
  <c r="CC46" i="51"/>
  <c r="CB46" i="51"/>
  <c r="CA46" i="51"/>
  <c r="BZ46" i="51"/>
  <c r="BY46" i="51"/>
  <c r="BX46" i="51"/>
  <c r="BW46" i="51"/>
  <c r="BV46" i="51"/>
  <c r="BU46" i="51"/>
  <c r="BT46" i="51"/>
  <c r="BS46" i="51"/>
  <c r="BR46" i="51"/>
  <c r="BQ46" i="51"/>
  <c r="BP46" i="51"/>
  <c r="BO46" i="51"/>
  <c r="BN46" i="51"/>
  <c r="BM46" i="51"/>
  <c r="BL46" i="51"/>
  <c r="BK46" i="51"/>
  <c r="BJ46" i="51"/>
  <c r="BI46" i="51"/>
  <c r="BH46" i="51"/>
  <c r="BG46" i="51"/>
  <c r="BF46" i="51"/>
  <c r="BE46" i="51"/>
  <c r="BD46" i="51"/>
  <c r="BC46" i="51"/>
  <c r="BB46" i="51"/>
  <c r="BA46" i="51"/>
  <c r="AZ46" i="51"/>
  <c r="AY46" i="51"/>
  <c r="AX46" i="51"/>
  <c r="AW46" i="51"/>
  <c r="AV46" i="51"/>
  <c r="AU46" i="51"/>
  <c r="AT46" i="51"/>
  <c r="AS46" i="51"/>
  <c r="AR46" i="51"/>
  <c r="AQ46" i="51"/>
  <c r="AP46" i="51"/>
  <c r="AO46" i="51"/>
  <c r="AN46" i="51"/>
  <c r="AM46" i="51"/>
  <c r="AL46" i="51"/>
  <c r="AK46" i="51"/>
  <c r="AJ46" i="51"/>
  <c r="AI46" i="51"/>
  <c r="AH46" i="51"/>
  <c r="AG46" i="51"/>
  <c r="AF46" i="51"/>
  <c r="AE46" i="51"/>
  <c r="AD46" i="51"/>
  <c r="AC46" i="51"/>
  <c r="AB46" i="51"/>
  <c r="AA46" i="51"/>
  <c r="Z46" i="51"/>
  <c r="Y46" i="51"/>
  <c r="X46" i="51"/>
  <c r="W46" i="51"/>
  <c r="V46" i="51"/>
  <c r="U46" i="51"/>
  <c r="T46" i="51"/>
  <c r="S46" i="51"/>
  <c r="R46" i="51"/>
  <c r="Q46" i="51"/>
  <c r="P46" i="51"/>
  <c r="O46" i="51"/>
  <c r="N46" i="51"/>
  <c r="M46" i="51"/>
  <c r="L46" i="51"/>
  <c r="K46" i="51"/>
  <c r="J46" i="51"/>
  <c r="I46" i="51"/>
  <c r="H46" i="51"/>
  <c r="G46" i="51"/>
  <c r="F46" i="51"/>
  <c r="IV45" i="51"/>
  <c r="IU45" i="51"/>
  <c r="IT45" i="51"/>
  <c r="IS45" i="51"/>
  <c r="IR45" i="51"/>
  <c r="IQ45" i="51"/>
  <c r="IP45" i="51"/>
  <c r="IO45" i="51"/>
  <c r="IN45" i="51"/>
  <c r="IM45" i="51"/>
  <c r="IL45" i="51"/>
  <c r="IK45" i="51"/>
  <c r="IJ45" i="51"/>
  <c r="II45" i="51"/>
  <c r="IH45" i="51"/>
  <c r="IG45" i="51"/>
  <c r="IF45" i="51"/>
  <c r="IE45" i="51"/>
  <c r="ID45" i="51"/>
  <c r="IC45" i="51"/>
  <c r="IB45" i="51"/>
  <c r="IA45" i="51"/>
  <c r="HZ45" i="51"/>
  <c r="HY45" i="51"/>
  <c r="HX45" i="51"/>
  <c r="HW45" i="51"/>
  <c r="HV45" i="51"/>
  <c r="HU45" i="51"/>
  <c r="HT45" i="51"/>
  <c r="HS45" i="51"/>
  <c r="HR45" i="51"/>
  <c r="HQ45" i="51"/>
  <c r="HP45" i="51"/>
  <c r="HO45" i="51"/>
  <c r="HN45" i="51"/>
  <c r="HM45" i="51"/>
  <c r="HL45" i="51"/>
  <c r="HK45" i="51"/>
  <c r="HJ45" i="51"/>
  <c r="HI45" i="51"/>
  <c r="HH45" i="51"/>
  <c r="HG45" i="51"/>
  <c r="HF45" i="51"/>
  <c r="HE45" i="51"/>
  <c r="HD45" i="51"/>
  <c r="HC45" i="51"/>
  <c r="HB45" i="51"/>
  <c r="HA45" i="51"/>
  <c r="GZ45" i="51"/>
  <c r="GY45" i="51"/>
  <c r="GX45" i="51"/>
  <c r="GW45" i="51"/>
  <c r="GV45" i="51"/>
  <c r="GU45" i="51"/>
  <c r="GT45" i="51"/>
  <c r="GS45" i="51"/>
  <c r="GR45" i="51"/>
  <c r="GQ45" i="51"/>
  <c r="GP45" i="51"/>
  <c r="GO45" i="51"/>
  <c r="GN45" i="51"/>
  <c r="GM45" i="51"/>
  <c r="GL45" i="51"/>
  <c r="GK45" i="51"/>
  <c r="GJ45" i="51"/>
  <c r="GI45" i="51"/>
  <c r="GH45" i="51"/>
  <c r="GG45" i="51"/>
  <c r="GF45" i="51"/>
  <c r="GE45" i="51"/>
  <c r="GD45" i="51"/>
  <c r="GC45" i="51"/>
  <c r="GB45" i="51"/>
  <c r="GA45" i="51"/>
  <c r="FZ45" i="51"/>
  <c r="FY45" i="51"/>
  <c r="FX45" i="51"/>
  <c r="FW45" i="51"/>
  <c r="FV45" i="51"/>
  <c r="FU45" i="51"/>
  <c r="FT45" i="51"/>
  <c r="FS45" i="51"/>
  <c r="FR45" i="51"/>
  <c r="FQ45" i="51"/>
  <c r="FP45" i="51"/>
  <c r="FO45" i="51"/>
  <c r="FN45" i="51"/>
  <c r="FM45" i="51"/>
  <c r="FL45" i="51"/>
  <c r="FK45" i="51"/>
  <c r="FJ45" i="51"/>
  <c r="FI45" i="51"/>
  <c r="FH45" i="51"/>
  <c r="FG45" i="51"/>
  <c r="FF45" i="51"/>
  <c r="FE45" i="51"/>
  <c r="FD45" i="51"/>
  <c r="FC45" i="51"/>
  <c r="FB45" i="51"/>
  <c r="FA45" i="51"/>
  <c r="EZ45" i="51"/>
  <c r="EY45" i="51"/>
  <c r="EX45" i="51"/>
  <c r="EW45" i="51"/>
  <c r="EV45" i="51"/>
  <c r="EU45" i="51"/>
  <c r="ET45" i="51"/>
  <c r="ES45" i="51"/>
  <c r="ER45" i="51"/>
  <c r="EQ45" i="51"/>
  <c r="EP45" i="51"/>
  <c r="EO45" i="51"/>
  <c r="EN45" i="51"/>
  <c r="EM45" i="51"/>
  <c r="EL45" i="51"/>
  <c r="EK45" i="51"/>
  <c r="EJ45" i="51"/>
  <c r="EI45" i="51"/>
  <c r="EH45" i="51"/>
  <c r="EG45" i="51"/>
  <c r="EF45" i="51"/>
  <c r="EE45" i="51"/>
  <c r="ED45" i="51"/>
  <c r="EC45" i="51"/>
  <c r="EB45" i="51"/>
  <c r="EA45" i="51"/>
  <c r="DZ45" i="51"/>
  <c r="DY45" i="51"/>
  <c r="DX45" i="51"/>
  <c r="DW45" i="51"/>
  <c r="DV45" i="51"/>
  <c r="DU45" i="51"/>
  <c r="DT45" i="51"/>
  <c r="DS45" i="51"/>
  <c r="DR45" i="51"/>
  <c r="DQ45" i="51"/>
  <c r="DP45" i="51"/>
  <c r="DO45" i="51"/>
  <c r="DN45" i="51"/>
  <c r="DM45" i="51"/>
  <c r="DL45" i="51"/>
  <c r="DK45" i="51"/>
  <c r="DJ45" i="51"/>
  <c r="DI45" i="51"/>
  <c r="DH45" i="51"/>
  <c r="DG45" i="51"/>
  <c r="DF45" i="51"/>
  <c r="DE45" i="51"/>
  <c r="DD45" i="51"/>
  <c r="DC45" i="51"/>
  <c r="DB45" i="51"/>
  <c r="DA45" i="51"/>
  <c r="CZ45" i="51"/>
  <c r="CY45" i="51"/>
  <c r="CX45" i="51"/>
  <c r="CW45" i="51"/>
  <c r="CV45" i="51"/>
  <c r="CU45" i="51"/>
  <c r="CT45" i="51"/>
  <c r="CS45" i="51"/>
  <c r="CR45" i="51"/>
  <c r="CQ45" i="51"/>
  <c r="CP45" i="51"/>
  <c r="CO45" i="51"/>
  <c r="CN45" i="51"/>
  <c r="CM45" i="51"/>
  <c r="CL45" i="51"/>
  <c r="CK45" i="51"/>
  <c r="CJ45" i="51"/>
  <c r="CI45" i="51"/>
  <c r="CH45" i="51"/>
  <c r="CG45" i="51"/>
  <c r="CF45" i="51"/>
  <c r="CE45" i="51"/>
  <c r="CD45" i="51"/>
  <c r="CC45" i="51"/>
  <c r="CB45" i="51"/>
  <c r="CA45" i="51"/>
  <c r="BZ45" i="51"/>
  <c r="BY45" i="51"/>
  <c r="BX45" i="51"/>
  <c r="BW45" i="51"/>
  <c r="BV45" i="51"/>
  <c r="BU45" i="51"/>
  <c r="BT45" i="51"/>
  <c r="BS45" i="51"/>
  <c r="BR45" i="51"/>
  <c r="BQ45" i="51"/>
  <c r="BP45" i="51"/>
  <c r="BO45" i="51"/>
  <c r="BN45" i="51"/>
  <c r="BM45" i="51"/>
  <c r="BL45" i="51"/>
  <c r="BK45" i="51"/>
  <c r="BJ45" i="51"/>
  <c r="BI45" i="51"/>
  <c r="BH45" i="51"/>
  <c r="BG45" i="51"/>
  <c r="BF45" i="51"/>
  <c r="BE45" i="51"/>
  <c r="BD45" i="51"/>
  <c r="BC45" i="51"/>
  <c r="BB45" i="51"/>
  <c r="BA45" i="51"/>
  <c r="AZ45" i="51"/>
  <c r="AY45" i="51"/>
  <c r="AX45" i="51"/>
  <c r="AW45" i="51"/>
  <c r="AV45" i="51"/>
  <c r="AU45" i="51"/>
  <c r="AT45" i="51"/>
  <c r="AS45" i="51"/>
  <c r="AR45" i="51"/>
  <c r="AQ45" i="51"/>
  <c r="AP45" i="51"/>
  <c r="AO45" i="51"/>
  <c r="AN45" i="51"/>
  <c r="AM45" i="51"/>
  <c r="AL45" i="51"/>
  <c r="AK45" i="51"/>
  <c r="AJ45" i="51"/>
  <c r="AI45" i="51"/>
  <c r="AH45" i="51"/>
  <c r="AG45" i="51"/>
  <c r="AF45" i="51"/>
  <c r="AE45" i="51"/>
  <c r="AD45" i="51"/>
  <c r="AC45" i="51"/>
  <c r="AB45" i="51"/>
  <c r="AA45" i="51"/>
  <c r="Z45" i="51"/>
  <c r="Y45" i="51"/>
  <c r="X45" i="51"/>
  <c r="W45" i="51"/>
  <c r="V45" i="51"/>
  <c r="U45" i="51"/>
  <c r="T45" i="51"/>
  <c r="S45" i="51"/>
  <c r="R45" i="51"/>
  <c r="Q45" i="51"/>
  <c r="P45" i="51"/>
  <c r="O45" i="51"/>
  <c r="N45" i="51"/>
  <c r="M45" i="51"/>
  <c r="L45" i="51"/>
  <c r="K45" i="51"/>
  <c r="J45" i="51"/>
  <c r="I45" i="51"/>
  <c r="H45" i="51"/>
  <c r="G45" i="51"/>
  <c r="F45" i="51"/>
  <c r="IV44" i="51"/>
  <c r="IU44" i="51"/>
  <c r="IT44" i="51"/>
  <c r="IS44" i="51"/>
  <c r="IR44" i="51"/>
  <c r="IQ44" i="51"/>
  <c r="IP44" i="51"/>
  <c r="IO44" i="51"/>
  <c r="IN44" i="51"/>
  <c r="IM44" i="51"/>
  <c r="IL44" i="51"/>
  <c r="IK44" i="51"/>
  <c r="IJ44" i="51"/>
  <c r="II44" i="51"/>
  <c r="IH44" i="51"/>
  <c r="IG44" i="51"/>
  <c r="IF44" i="51"/>
  <c r="IE44" i="51"/>
  <c r="ID44" i="51"/>
  <c r="IC44" i="51"/>
  <c r="IB44" i="51"/>
  <c r="IA44" i="51"/>
  <c r="HZ44" i="51"/>
  <c r="HY44" i="51"/>
  <c r="HX44" i="51"/>
  <c r="HW44" i="51"/>
  <c r="HV44" i="51"/>
  <c r="HU44" i="51"/>
  <c r="HT44" i="51"/>
  <c r="HS44" i="51"/>
  <c r="HR44" i="51"/>
  <c r="HQ44" i="51"/>
  <c r="HP44" i="51"/>
  <c r="HO44" i="51"/>
  <c r="HN44" i="51"/>
  <c r="HM44" i="51"/>
  <c r="HL44" i="51"/>
  <c r="HK44" i="51"/>
  <c r="HJ44" i="51"/>
  <c r="HI44" i="51"/>
  <c r="HH44" i="51"/>
  <c r="HG44" i="51"/>
  <c r="HF44" i="51"/>
  <c r="HE44" i="51"/>
  <c r="HD44" i="51"/>
  <c r="HC44" i="51"/>
  <c r="HB44" i="51"/>
  <c r="HA44" i="51"/>
  <c r="GZ44" i="51"/>
  <c r="GY44" i="51"/>
  <c r="GX44" i="51"/>
  <c r="GW44" i="51"/>
  <c r="GV44" i="51"/>
  <c r="GU44" i="51"/>
  <c r="GT44" i="51"/>
  <c r="GS44" i="51"/>
  <c r="GR44" i="51"/>
  <c r="GQ44" i="51"/>
  <c r="GP44" i="51"/>
  <c r="GO44" i="51"/>
  <c r="GN44" i="51"/>
  <c r="GM44" i="51"/>
  <c r="GL44" i="51"/>
  <c r="GK44" i="51"/>
  <c r="GJ44" i="51"/>
  <c r="GI44" i="51"/>
  <c r="GH44" i="51"/>
  <c r="GG44" i="51"/>
  <c r="GF44" i="51"/>
  <c r="GE44" i="51"/>
  <c r="GD44" i="51"/>
  <c r="GC44" i="51"/>
  <c r="GB44" i="51"/>
  <c r="GA44" i="51"/>
  <c r="FZ44" i="51"/>
  <c r="FY44" i="51"/>
  <c r="FX44" i="51"/>
  <c r="FW44" i="51"/>
  <c r="FV44" i="51"/>
  <c r="FU44" i="51"/>
  <c r="FT44" i="51"/>
  <c r="FS44" i="51"/>
  <c r="FR44" i="51"/>
  <c r="FQ44" i="51"/>
  <c r="FP44" i="51"/>
  <c r="FO44" i="51"/>
  <c r="FN44" i="51"/>
  <c r="FM44" i="51"/>
  <c r="FL44" i="51"/>
  <c r="FK44" i="51"/>
  <c r="FJ44" i="51"/>
  <c r="FI44" i="51"/>
  <c r="FH44" i="51"/>
  <c r="FG44" i="51"/>
  <c r="FF44" i="51"/>
  <c r="FE44" i="51"/>
  <c r="FD44" i="51"/>
  <c r="FC44" i="51"/>
  <c r="FB44" i="51"/>
  <c r="FA44" i="51"/>
  <c r="EZ44" i="51"/>
  <c r="EY44" i="51"/>
  <c r="EX44" i="51"/>
  <c r="EW44" i="51"/>
  <c r="EV44" i="51"/>
  <c r="EU44" i="51"/>
  <c r="ET44" i="51"/>
  <c r="ES44" i="51"/>
  <c r="ER44" i="51"/>
  <c r="EQ44" i="51"/>
  <c r="EP44" i="51"/>
  <c r="EO44" i="51"/>
  <c r="EN44" i="51"/>
  <c r="EM44" i="51"/>
  <c r="EL44" i="51"/>
  <c r="EK44" i="51"/>
  <c r="EJ44" i="51"/>
  <c r="EI44" i="51"/>
  <c r="EH44" i="51"/>
  <c r="EG44" i="51"/>
  <c r="EF44" i="51"/>
  <c r="EE44" i="51"/>
  <c r="ED44" i="51"/>
  <c r="EC44" i="51"/>
  <c r="EB44" i="51"/>
  <c r="EA44" i="51"/>
  <c r="DZ44" i="51"/>
  <c r="DY44" i="51"/>
  <c r="DX44" i="51"/>
  <c r="DW44" i="51"/>
  <c r="DV44" i="51"/>
  <c r="DU44" i="51"/>
  <c r="DT44" i="51"/>
  <c r="DS44" i="51"/>
  <c r="DR44" i="51"/>
  <c r="DQ44" i="51"/>
  <c r="DP44" i="51"/>
  <c r="DO44" i="51"/>
  <c r="DN44" i="51"/>
  <c r="DM44" i="51"/>
  <c r="DL44" i="51"/>
  <c r="DK44" i="51"/>
  <c r="DJ44" i="51"/>
  <c r="DI44" i="51"/>
  <c r="DH44" i="51"/>
  <c r="DG44" i="51"/>
  <c r="DF44" i="51"/>
  <c r="DE44" i="51"/>
  <c r="DD44" i="51"/>
  <c r="DC44" i="51"/>
  <c r="DB44" i="51"/>
  <c r="DA44" i="51"/>
  <c r="CZ44" i="51"/>
  <c r="CY44" i="51"/>
  <c r="CX44" i="51"/>
  <c r="CW44" i="51"/>
  <c r="CV44" i="51"/>
  <c r="CU44" i="51"/>
  <c r="CT44" i="51"/>
  <c r="CS44" i="51"/>
  <c r="CR44" i="51"/>
  <c r="CQ44" i="51"/>
  <c r="CP44" i="51"/>
  <c r="CO44" i="51"/>
  <c r="CN44" i="51"/>
  <c r="CM44" i="51"/>
  <c r="CL44" i="51"/>
  <c r="CK44" i="51"/>
  <c r="CJ44" i="51"/>
  <c r="CI44" i="51"/>
  <c r="CH44" i="51"/>
  <c r="CG44" i="51"/>
  <c r="CF44" i="51"/>
  <c r="CE44" i="51"/>
  <c r="CD44" i="51"/>
  <c r="CC44" i="51"/>
  <c r="CB44" i="51"/>
  <c r="CA44" i="51"/>
  <c r="BZ44" i="51"/>
  <c r="BY44" i="51"/>
  <c r="BX44" i="51"/>
  <c r="BW44" i="51"/>
  <c r="BV44" i="51"/>
  <c r="BU44" i="51"/>
  <c r="BT44" i="51"/>
  <c r="BS44" i="51"/>
  <c r="BR44" i="51"/>
  <c r="BQ44" i="51"/>
  <c r="BP44" i="51"/>
  <c r="BO44" i="51"/>
  <c r="BN44" i="51"/>
  <c r="BM44" i="51"/>
  <c r="BL44" i="51"/>
  <c r="BK44" i="51"/>
  <c r="BJ44" i="51"/>
  <c r="BI44" i="51"/>
  <c r="BH44" i="51"/>
  <c r="BG44" i="51"/>
  <c r="BF44" i="51"/>
  <c r="BE44" i="51"/>
  <c r="BD44" i="51"/>
  <c r="BC44" i="51"/>
  <c r="BB44" i="51"/>
  <c r="BA44" i="51"/>
  <c r="AZ44" i="51"/>
  <c r="AY44" i="51"/>
  <c r="AX44" i="51"/>
  <c r="AW44" i="51"/>
  <c r="AV44" i="51"/>
  <c r="AU44" i="51"/>
  <c r="AT44" i="51"/>
  <c r="AS44" i="51"/>
  <c r="AR44" i="51"/>
  <c r="AQ44" i="51"/>
  <c r="AP44" i="51"/>
  <c r="AO44" i="51"/>
  <c r="AN44" i="51"/>
  <c r="AM44" i="51"/>
  <c r="AL44" i="51"/>
  <c r="AK44" i="51"/>
  <c r="AJ44" i="51"/>
  <c r="AI44" i="51"/>
  <c r="AH44" i="51"/>
  <c r="AG44" i="51"/>
  <c r="AF44" i="51"/>
  <c r="AE44" i="51"/>
  <c r="AD44" i="51"/>
  <c r="AC44" i="51"/>
  <c r="AB44" i="51"/>
  <c r="AA44" i="51"/>
  <c r="Z44" i="51"/>
  <c r="Y44" i="51"/>
  <c r="X44" i="51"/>
  <c r="W44" i="51"/>
  <c r="V44" i="51"/>
  <c r="U44" i="51"/>
  <c r="T44" i="51"/>
  <c r="S44" i="51"/>
  <c r="R44" i="51"/>
  <c r="Q44" i="51"/>
  <c r="P44" i="51"/>
  <c r="O44" i="51"/>
  <c r="N44" i="51"/>
  <c r="M44" i="51"/>
  <c r="L44" i="51"/>
  <c r="K44" i="51"/>
  <c r="J44" i="51"/>
  <c r="I44" i="51"/>
  <c r="H44" i="51"/>
  <c r="G44" i="51"/>
  <c r="F44" i="51"/>
  <c r="IV43" i="51"/>
  <c r="IU43" i="51"/>
  <c r="IT43" i="51"/>
  <c r="IS43" i="51"/>
  <c r="IR43" i="51"/>
  <c r="IQ43" i="51"/>
  <c r="IP43" i="51"/>
  <c r="IO43" i="51"/>
  <c r="IN43" i="51"/>
  <c r="IM43" i="51"/>
  <c r="IL43" i="51"/>
  <c r="IK43" i="51"/>
  <c r="IJ43" i="51"/>
  <c r="II43" i="51"/>
  <c r="IH43" i="51"/>
  <c r="IG43" i="51"/>
  <c r="IF43" i="51"/>
  <c r="IE43" i="51"/>
  <c r="ID43" i="51"/>
  <c r="IC43" i="51"/>
  <c r="IB43" i="51"/>
  <c r="IA43" i="51"/>
  <c r="HZ43" i="51"/>
  <c r="HY43" i="51"/>
  <c r="HX43" i="51"/>
  <c r="HW43" i="51"/>
  <c r="HV43" i="51"/>
  <c r="HU43" i="51"/>
  <c r="HT43" i="51"/>
  <c r="HS43" i="51"/>
  <c r="HR43" i="51"/>
  <c r="HQ43" i="51"/>
  <c r="HP43" i="51"/>
  <c r="HO43" i="51"/>
  <c r="HN43" i="51"/>
  <c r="HM43" i="51"/>
  <c r="HL43" i="51"/>
  <c r="HK43" i="51"/>
  <c r="HJ43" i="51"/>
  <c r="HI43" i="51"/>
  <c r="HH43" i="51"/>
  <c r="HG43" i="51"/>
  <c r="HF43" i="51"/>
  <c r="HE43" i="51"/>
  <c r="HD43" i="51"/>
  <c r="HC43" i="51"/>
  <c r="HB43" i="51"/>
  <c r="HA43" i="51"/>
  <c r="GZ43" i="51"/>
  <c r="GY43" i="51"/>
  <c r="GX43" i="51"/>
  <c r="GW43" i="51"/>
  <c r="GV43" i="51"/>
  <c r="GU43" i="51"/>
  <c r="GT43" i="51"/>
  <c r="GS43" i="51"/>
  <c r="GR43" i="51"/>
  <c r="GQ43" i="51"/>
  <c r="GP43" i="51"/>
  <c r="GO43" i="51"/>
  <c r="GN43" i="51"/>
  <c r="GM43" i="51"/>
  <c r="GL43" i="51"/>
  <c r="GK43" i="51"/>
  <c r="GJ43" i="51"/>
  <c r="GI43" i="51"/>
  <c r="GH43" i="51"/>
  <c r="GG43" i="51"/>
  <c r="GF43" i="51"/>
  <c r="GE43" i="51"/>
  <c r="GD43" i="51"/>
  <c r="GC43" i="51"/>
  <c r="GB43" i="51"/>
  <c r="GA43" i="51"/>
  <c r="FZ43" i="51"/>
  <c r="FY43" i="51"/>
  <c r="FX43" i="51"/>
  <c r="FW43" i="51"/>
  <c r="FV43" i="51"/>
  <c r="FU43" i="51"/>
  <c r="FT43" i="51"/>
  <c r="FS43" i="51"/>
  <c r="FR43" i="51"/>
  <c r="FQ43" i="51"/>
  <c r="FP43" i="51"/>
  <c r="FO43" i="51"/>
  <c r="FN43" i="51"/>
  <c r="FM43" i="51"/>
  <c r="FL43" i="51"/>
  <c r="FK43" i="51"/>
  <c r="FJ43" i="51"/>
  <c r="FI43" i="51"/>
  <c r="FH43" i="51"/>
  <c r="FG43" i="51"/>
  <c r="FF43" i="51"/>
  <c r="FE43" i="51"/>
  <c r="FD43" i="51"/>
  <c r="FC43" i="51"/>
  <c r="FB43" i="51"/>
  <c r="FA43" i="51"/>
  <c r="EZ43" i="51"/>
  <c r="EY43" i="51"/>
  <c r="EX43" i="51"/>
  <c r="EW43" i="51"/>
  <c r="EV43" i="51"/>
  <c r="EU43" i="51"/>
  <c r="ET43" i="51"/>
  <c r="ES43" i="51"/>
  <c r="ER43" i="51"/>
  <c r="EQ43" i="51"/>
  <c r="EP43" i="51"/>
  <c r="EO43" i="51"/>
  <c r="EN43" i="51"/>
  <c r="EM43" i="51"/>
  <c r="EL43" i="51"/>
  <c r="EK43" i="51"/>
  <c r="EJ43" i="51"/>
  <c r="EI43" i="51"/>
  <c r="EH43" i="51"/>
  <c r="EG43" i="51"/>
  <c r="EF43" i="51"/>
  <c r="EE43" i="51"/>
  <c r="ED43" i="51"/>
  <c r="EC43" i="51"/>
  <c r="EB43" i="51"/>
  <c r="EA43" i="51"/>
  <c r="DZ43" i="51"/>
  <c r="DY43" i="51"/>
  <c r="DX43" i="51"/>
  <c r="DW43" i="51"/>
  <c r="DV43" i="51"/>
  <c r="DU43" i="51"/>
  <c r="DT43" i="51"/>
  <c r="DS43" i="51"/>
  <c r="DR43" i="51"/>
  <c r="DQ43" i="51"/>
  <c r="DP43" i="51"/>
  <c r="DO43" i="51"/>
  <c r="DN43" i="51"/>
  <c r="DM43" i="51"/>
  <c r="DL43" i="51"/>
  <c r="DK43" i="51"/>
  <c r="DJ43" i="51"/>
  <c r="DI43" i="51"/>
  <c r="DH43" i="51"/>
  <c r="DG43" i="51"/>
  <c r="DF43" i="51"/>
  <c r="DE43" i="51"/>
  <c r="DD43" i="51"/>
  <c r="DC43" i="51"/>
  <c r="DB43" i="51"/>
  <c r="DA43" i="51"/>
  <c r="CZ43" i="51"/>
  <c r="CY43" i="51"/>
  <c r="CX43" i="51"/>
  <c r="CW43" i="51"/>
  <c r="CV43" i="51"/>
  <c r="CU43" i="51"/>
  <c r="CT43" i="51"/>
  <c r="CS43" i="51"/>
  <c r="CR43" i="51"/>
  <c r="CQ43" i="51"/>
  <c r="CP43" i="51"/>
  <c r="CO43" i="51"/>
  <c r="CN43" i="51"/>
  <c r="CM43" i="51"/>
  <c r="CL43" i="51"/>
  <c r="CK43" i="51"/>
  <c r="CJ43" i="51"/>
  <c r="CI43" i="51"/>
  <c r="CH43" i="51"/>
  <c r="CG43" i="51"/>
  <c r="CF43" i="51"/>
  <c r="CE43" i="51"/>
  <c r="CD43" i="51"/>
  <c r="CC43" i="51"/>
  <c r="CB43" i="51"/>
  <c r="CA43" i="51"/>
  <c r="BZ43" i="51"/>
  <c r="BY43" i="51"/>
  <c r="BX43" i="51"/>
  <c r="BW43" i="51"/>
  <c r="BV43" i="51"/>
  <c r="BU43" i="51"/>
  <c r="BT43" i="51"/>
  <c r="BS43" i="51"/>
  <c r="BR43" i="51"/>
  <c r="BQ43" i="51"/>
  <c r="BP43" i="51"/>
  <c r="BO43" i="51"/>
  <c r="BN43" i="51"/>
  <c r="BM43" i="51"/>
  <c r="BL43" i="51"/>
  <c r="BK43" i="51"/>
  <c r="BJ43" i="51"/>
  <c r="BI43" i="51"/>
  <c r="BH43" i="51"/>
  <c r="BG43" i="51"/>
  <c r="BF43" i="51"/>
  <c r="BE43" i="51"/>
  <c r="BD43" i="51"/>
  <c r="BC43" i="51"/>
  <c r="BB43" i="51"/>
  <c r="BA43" i="51"/>
  <c r="AZ43" i="51"/>
  <c r="AY43" i="51"/>
  <c r="AX43" i="51"/>
  <c r="AW43" i="51"/>
  <c r="AV43" i="51"/>
  <c r="AU43" i="51"/>
  <c r="AT43" i="51"/>
  <c r="AS43" i="51"/>
  <c r="AR43" i="51"/>
  <c r="AQ43" i="51"/>
  <c r="AP43" i="51"/>
  <c r="AO43" i="51"/>
  <c r="AN43" i="51"/>
  <c r="AM43" i="51"/>
  <c r="AL43" i="51"/>
  <c r="AK43" i="51"/>
  <c r="AJ43" i="51"/>
  <c r="AI43" i="51"/>
  <c r="AH43" i="51"/>
  <c r="AG43" i="51"/>
  <c r="AF43" i="51"/>
  <c r="AE43" i="51"/>
  <c r="AD43" i="51"/>
  <c r="AC43" i="51"/>
  <c r="AB43" i="51"/>
  <c r="AA43" i="51"/>
  <c r="Z43" i="51"/>
  <c r="Y43" i="51"/>
  <c r="X43" i="51"/>
  <c r="W43" i="51"/>
  <c r="V43" i="51"/>
  <c r="U43" i="51"/>
  <c r="T43" i="51"/>
  <c r="S43" i="51"/>
  <c r="R43" i="51"/>
  <c r="Q43" i="51"/>
  <c r="P43" i="51"/>
  <c r="O43" i="51"/>
  <c r="N43" i="51"/>
  <c r="M43" i="51"/>
  <c r="L43" i="51"/>
  <c r="K43" i="51"/>
  <c r="J43" i="51"/>
  <c r="I43" i="51"/>
  <c r="H43" i="51"/>
  <c r="G43" i="51"/>
  <c r="F43" i="51"/>
  <c r="IV42" i="51"/>
  <c r="IU42" i="51"/>
  <c r="IT42" i="51"/>
  <c r="IS42" i="51"/>
  <c r="IR42" i="51"/>
  <c r="IQ42" i="51"/>
  <c r="IP42" i="51"/>
  <c r="IO42" i="51"/>
  <c r="IN42" i="51"/>
  <c r="IM42" i="51"/>
  <c r="IL42" i="51"/>
  <c r="IK42" i="51"/>
  <c r="IJ42" i="51"/>
  <c r="II42" i="51"/>
  <c r="IH42" i="51"/>
  <c r="IG42" i="51"/>
  <c r="IF42" i="51"/>
  <c r="IE42" i="51"/>
  <c r="ID42" i="51"/>
  <c r="IC42" i="51"/>
  <c r="IB42" i="51"/>
  <c r="IA42" i="51"/>
  <c r="HZ42" i="51"/>
  <c r="HY42" i="51"/>
  <c r="HX42" i="51"/>
  <c r="HW42" i="51"/>
  <c r="HV42" i="51"/>
  <c r="HU42" i="51"/>
  <c r="HT42" i="51"/>
  <c r="HS42" i="51"/>
  <c r="HR42" i="51"/>
  <c r="HQ42" i="51"/>
  <c r="HP42" i="51"/>
  <c r="HO42" i="51"/>
  <c r="HN42" i="51"/>
  <c r="HM42" i="51"/>
  <c r="HL42" i="51"/>
  <c r="HK42" i="51"/>
  <c r="HJ42" i="51"/>
  <c r="HI42" i="51"/>
  <c r="HH42" i="51"/>
  <c r="HG42" i="51"/>
  <c r="HF42" i="51"/>
  <c r="HE42" i="51"/>
  <c r="HD42" i="51"/>
  <c r="HC42" i="51"/>
  <c r="HB42" i="51"/>
  <c r="HA42" i="51"/>
  <c r="GZ42" i="51"/>
  <c r="GY42" i="51"/>
  <c r="GX42" i="51"/>
  <c r="GW42" i="51"/>
  <c r="GV42" i="51"/>
  <c r="GU42" i="51"/>
  <c r="GT42" i="51"/>
  <c r="GS42" i="51"/>
  <c r="GR42" i="51"/>
  <c r="GQ42" i="51"/>
  <c r="GP42" i="51"/>
  <c r="GO42" i="51"/>
  <c r="GN42" i="51"/>
  <c r="GM42" i="51"/>
  <c r="GL42" i="51"/>
  <c r="GK42" i="51"/>
  <c r="GJ42" i="51"/>
  <c r="GI42" i="51"/>
  <c r="GH42" i="51"/>
  <c r="GG42" i="51"/>
  <c r="GF42" i="51"/>
  <c r="GE42" i="51"/>
  <c r="GD42" i="51"/>
  <c r="GC42" i="51"/>
  <c r="GB42" i="51"/>
  <c r="GA42" i="51"/>
  <c r="FZ42" i="51"/>
  <c r="FY42" i="51"/>
  <c r="FX42" i="51"/>
  <c r="FW42" i="51"/>
  <c r="FV42" i="51"/>
  <c r="FU42" i="51"/>
  <c r="FT42" i="51"/>
  <c r="FS42" i="51"/>
  <c r="FR42" i="51"/>
  <c r="FQ42" i="51"/>
  <c r="FP42" i="51"/>
  <c r="FO42" i="51"/>
  <c r="FN42" i="51"/>
  <c r="FM42" i="51"/>
  <c r="FL42" i="51"/>
  <c r="FK42" i="51"/>
  <c r="FJ42" i="51"/>
  <c r="FI42" i="51"/>
  <c r="FH42" i="51"/>
  <c r="FG42" i="51"/>
  <c r="FF42" i="51"/>
  <c r="FE42" i="51"/>
  <c r="FD42" i="51"/>
  <c r="FC42" i="51"/>
  <c r="FB42" i="51"/>
  <c r="FA42" i="51"/>
  <c r="EZ42" i="51"/>
  <c r="EY42" i="51"/>
  <c r="EX42" i="51"/>
  <c r="EW42" i="51"/>
  <c r="EV42" i="51"/>
  <c r="EU42" i="51"/>
  <c r="ET42" i="51"/>
  <c r="ES42" i="51"/>
  <c r="ER42" i="51"/>
  <c r="EQ42" i="51"/>
  <c r="EP42" i="51"/>
  <c r="EO42" i="51"/>
  <c r="EN42" i="51"/>
  <c r="EM42" i="51"/>
  <c r="EL42" i="51"/>
  <c r="EK42" i="51"/>
  <c r="EJ42" i="51"/>
  <c r="EI42" i="51"/>
  <c r="EH42" i="51"/>
  <c r="EG42" i="51"/>
  <c r="EF42" i="51"/>
  <c r="EE42" i="51"/>
  <c r="ED42" i="51"/>
  <c r="EC42" i="51"/>
  <c r="EB42" i="51"/>
  <c r="EA42" i="51"/>
  <c r="DZ42" i="51"/>
  <c r="DY42" i="51"/>
  <c r="DX42" i="51"/>
  <c r="DW42" i="51"/>
  <c r="DV42" i="51"/>
  <c r="DU42" i="51"/>
  <c r="DT42" i="51"/>
  <c r="DS42" i="51"/>
  <c r="DR42" i="51"/>
  <c r="DQ42" i="51"/>
  <c r="DP42" i="51"/>
  <c r="DO42" i="51"/>
  <c r="DN42" i="51"/>
  <c r="DM42" i="51"/>
  <c r="DL42" i="51"/>
  <c r="DK42" i="51"/>
  <c r="DJ42" i="51"/>
  <c r="DI42" i="51"/>
  <c r="DH42" i="51"/>
  <c r="DG42" i="51"/>
  <c r="DF42" i="51"/>
  <c r="DE42" i="51"/>
  <c r="DD42" i="51"/>
  <c r="DC42" i="51"/>
  <c r="DB42" i="51"/>
  <c r="DA42" i="51"/>
  <c r="CZ42" i="51"/>
  <c r="CY42" i="51"/>
  <c r="CX42" i="51"/>
  <c r="CW42" i="51"/>
  <c r="CV42" i="51"/>
  <c r="CU42" i="51"/>
  <c r="CT42" i="51"/>
  <c r="CS42" i="51"/>
  <c r="CR42" i="51"/>
  <c r="CQ42" i="51"/>
  <c r="CP42" i="51"/>
  <c r="CO42" i="51"/>
  <c r="CN42" i="51"/>
  <c r="CM42" i="51"/>
  <c r="CL42" i="51"/>
  <c r="CK42" i="51"/>
  <c r="CJ42" i="51"/>
  <c r="CI42" i="51"/>
  <c r="CH42" i="51"/>
  <c r="CG42" i="51"/>
  <c r="CF42" i="51"/>
  <c r="CE42" i="51"/>
  <c r="CD42" i="51"/>
  <c r="CC42" i="51"/>
  <c r="CB42" i="51"/>
  <c r="CA42" i="51"/>
  <c r="BZ42" i="51"/>
  <c r="BY42" i="51"/>
  <c r="BX42" i="51"/>
  <c r="BW42" i="51"/>
  <c r="BV42" i="51"/>
  <c r="BU42" i="51"/>
  <c r="BT42" i="51"/>
  <c r="BS42" i="51"/>
  <c r="BR42" i="51"/>
  <c r="BQ42" i="51"/>
  <c r="BP42" i="51"/>
  <c r="BO42" i="51"/>
  <c r="BN42" i="51"/>
  <c r="BM42" i="51"/>
  <c r="BL42" i="51"/>
  <c r="BK42" i="51"/>
  <c r="BJ42" i="51"/>
  <c r="BI42" i="51"/>
  <c r="BH42" i="51"/>
  <c r="BG42" i="51"/>
  <c r="BF42" i="51"/>
  <c r="BE42" i="51"/>
  <c r="BD42" i="51"/>
  <c r="BC42" i="51"/>
  <c r="BB42" i="51"/>
  <c r="BA42" i="51"/>
  <c r="AZ42" i="51"/>
  <c r="AY42" i="51"/>
  <c r="AX42" i="51"/>
  <c r="AW42" i="51"/>
  <c r="AV42" i="51"/>
  <c r="AU42" i="51"/>
  <c r="AT42" i="51"/>
  <c r="AS42" i="51"/>
  <c r="AR42" i="51"/>
  <c r="AQ42" i="51"/>
  <c r="AP42" i="51"/>
  <c r="AO42" i="51"/>
  <c r="AN42" i="51"/>
  <c r="AM42" i="51"/>
  <c r="AL42" i="51"/>
  <c r="AK42" i="51"/>
  <c r="AJ42" i="51"/>
  <c r="AI42" i="51"/>
  <c r="AH42" i="51"/>
  <c r="AG42" i="51"/>
  <c r="AF42" i="51"/>
  <c r="AE42" i="51"/>
  <c r="AD42" i="51"/>
  <c r="AC42" i="51"/>
  <c r="AB42" i="51"/>
  <c r="AA42" i="51"/>
  <c r="Z42" i="51"/>
  <c r="Y42" i="51"/>
  <c r="X42" i="51"/>
  <c r="W42" i="51"/>
  <c r="V42" i="51"/>
  <c r="U42" i="51"/>
  <c r="T42" i="51"/>
  <c r="S42" i="51"/>
  <c r="R42" i="51"/>
  <c r="Q42" i="51"/>
  <c r="P42" i="51"/>
  <c r="O42" i="51"/>
  <c r="N42" i="51"/>
  <c r="M42" i="51"/>
  <c r="L42" i="51"/>
  <c r="K42" i="51"/>
  <c r="J42" i="51"/>
  <c r="I42" i="51"/>
  <c r="H42" i="51"/>
  <c r="G42" i="51"/>
  <c r="F42" i="51"/>
  <c r="IV41" i="51"/>
  <c r="IU41" i="51"/>
  <c r="IT41" i="51"/>
  <c r="IS41" i="51"/>
  <c r="IR41" i="51"/>
  <c r="IQ41" i="51"/>
  <c r="IP41" i="51"/>
  <c r="IO41" i="51"/>
  <c r="IN41" i="51"/>
  <c r="IM41" i="51"/>
  <c r="IL41" i="51"/>
  <c r="IK41" i="51"/>
  <c r="IJ41" i="51"/>
  <c r="II41" i="51"/>
  <c r="IH41" i="51"/>
  <c r="IG41" i="51"/>
  <c r="IF41" i="51"/>
  <c r="IE41" i="51"/>
  <c r="ID41" i="51"/>
  <c r="IC41" i="51"/>
  <c r="IB41" i="51"/>
  <c r="IA41" i="51"/>
  <c r="HZ41" i="51"/>
  <c r="HY41" i="51"/>
  <c r="HX41" i="51"/>
  <c r="HW41" i="51"/>
  <c r="HV41" i="51"/>
  <c r="HU41" i="51"/>
  <c r="HT41" i="51"/>
  <c r="HS41" i="51"/>
  <c r="HR41" i="51"/>
  <c r="HQ41" i="51"/>
  <c r="HP41" i="51"/>
  <c r="HO41" i="51"/>
  <c r="HN41" i="51"/>
  <c r="HM41" i="51"/>
  <c r="HL41" i="51"/>
  <c r="HK41" i="51"/>
  <c r="HJ41" i="51"/>
  <c r="HI41" i="51"/>
  <c r="HH41" i="51"/>
  <c r="HG41" i="51"/>
  <c r="HF41" i="51"/>
  <c r="HE41" i="51"/>
  <c r="HD41" i="51"/>
  <c r="HC41" i="51"/>
  <c r="HB41" i="51"/>
  <c r="HA41" i="51"/>
  <c r="GZ41" i="51"/>
  <c r="GY41" i="51"/>
  <c r="GX41" i="51"/>
  <c r="GW41" i="51"/>
  <c r="GV41" i="51"/>
  <c r="GU41" i="51"/>
  <c r="GT41" i="51"/>
  <c r="GS41" i="51"/>
  <c r="GR41" i="51"/>
  <c r="GQ41" i="51"/>
  <c r="GP41" i="51"/>
  <c r="GO41" i="51"/>
  <c r="GN41" i="51"/>
  <c r="GM41" i="51"/>
  <c r="GL41" i="51"/>
  <c r="GK41" i="51"/>
  <c r="GJ41" i="51"/>
  <c r="GI41" i="51"/>
  <c r="GH41" i="51"/>
  <c r="GG41" i="51"/>
  <c r="GF41" i="51"/>
  <c r="GE41" i="51"/>
  <c r="GD41" i="51"/>
  <c r="GC41" i="51"/>
  <c r="GB41" i="51"/>
  <c r="GA41" i="51"/>
  <c r="FZ41" i="51"/>
  <c r="FY41" i="51"/>
  <c r="FX41" i="51"/>
  <c r="FW41" i="51"/>
  <c r="FV41" i="51"/>
  <c r="FU41" i="51"/>
  <c r="FT41" i="51"/>
  <c r="FS41" i="51"/>
  <c r="FR41" i="51"/>
  <c r="FQ41" i="51"/>
  <c r="FP41" i="51"/>
  <c r="FO41" i="51"/>
  <c r="FN41" i="51"/>
  <c r="FM41" i="51"/>
  <c r="FL41" i="51"/>
  <c r="FK41" i="51"/>
  <c r="FJ41" i="51"/>
  <c r="FI41" i="51"/>
  <c r="FH41" i="51"/>
  <c r="FG41" i="51"/>
  <c r="FF41" i="51"/>
  <c r="FE41" i="51"/>
  <c r="FD41" i="51"/>
  <c r="FC41" i="51"/>
  <c r="FB41" i="51"/>
  <c r="FA41" i="51"/>
  <c r="EZ41" i="51"/>
  <c r="EY41" i="51"/>
  <c r="EX41" i="51"/>
  <c r="EW41" i="51"/>
  <c r="EV41" i="51"/>
  <c r="EU41" i="51"/>
  <c r="ET41" i="51"/>
  <c r="ES41" i="51"/>
  <c r="ER41" i="51"/>
  <c r="EQ41" i="51"/>
  <c r="EP41" i="51"/>
  <c r="EO41" i="51"/>
  <c r="EN41" i="51"/>
  <c r="EM41" i="51"/>
  <c r="EL41" i="51"/>
  <c r="EK41" i="51"/>
  <c r="EJ41" i="51"/>
  <c r="EI41" i="51"/>
  <c r="EH41" i="51"/>
  <c r="EG41" i="51"/>
  <c r="EF41" i="51"/>
  <c r="EE41" i="51"/>
  <c r="ED41" i="51"/>
  <c r="EC41" i="51"/>
  <c r="EB41" i="51"/>
  <c r="EA41" i="51"/>
  <c r="DZ41" i="51"/>
  <c r="DY41" i="51"/>
  <c r="DX41" i="51"/>
  <c r="DW41" i="51"/>
  <c r="DV41" i="51"/>
  <c r="DU41" i="51"/>
  <c r="DT41" i="51"/>
  <c r="DS41" i="51"/>
  <c r="DR41" i="51"/>
  <c r="DQ41" i="51"/>
  <c r="DP41" i="51"/>
  <c r="DO41" i="51"/>
  <c r="DN41" i="51"/>
  <c r="DM41" i="51"/>
  <c r="DL41" i="51"/>
  <c r="DK41" i="51"/>
  <c r="DJ41" i="51"/>
  <c r="DI41" i="51"/>
  <c r="DH41" i="51"/>
  <c r="DG41" i="51"/>
  <c r="DF41" i="51"/>
  <c r="DE41" i="51"/>
  <c r="DD41" i="51"/>
  <c r="DC41" i="51"/>
  <c r="DB41" i="51"/>
  <c r="DA41" i="51"/>
  <c r="CZ41" i="51"/>
  <c r="CY41" i="51"/>
  <c r="CX41" i="51"/>
  <c r="CW41" i="51"/>
  <c r="CV41" i="51"/>
  <c r="CU41" i="51"/>
  <c r="CT41" i="51"/>
  <c r="CS41" i="51"/>
  <c r="CR41" i="51"/>
  <c r="CQ41" i="51"/>
  <c r="CP41" i="51"/>
  <c r="CO41" i="51"/>
  <c r="CN41" i="51"/>
  <c r="CM41" i="51"/>
  <c r="CL41" i="51"/>
  <c r="CK41" i="51"/>
  <c r="CJ41" i="51"/>
  <c r="CI41" i="51"/>
  <c r="CH41" i="51"/>
  <c r="CG41" i="51"/>
  <c r="CF41" i="51"/>
  <c r="CE41" i="51"/>
  <c r="CD41" i="51"/>
  <c r="CC41" i="51"/>
  <c r="CB41" i="51"/>
  <c r="CA41" i="51"/>
  <c r="BZ41" i="51"/>
  <c r="BY41" i="51"/>
  <c r="BX41" i="51"/>
  <c r="BW41" i="51"/>
  <c r="BV41" i="51"/>
  <c r="BU41" i="51"/>
  <c r="BT41" i="51"/>
  <c r="BS41" i="51"/>
  <c r="BR41" i="51"/>
  <c r="BQ41" i="51"/>
  <c r="BP41" i="51"/>
  <c r="BO41" i="51"/>
  <c r="BN41" i="51"/>
  <c r="BM41" i="51"/>
  <c r="BL41" i="51"/>
  <c r="BK41" i="51"/>
  <c r="BJ41" i="51"/>
  <c r="BI41" i="51"/>
  <c r="BH41" i="51"/>
  <c r="BG41" i="51"/>
  <c r="BF41" i="51"/>
  <c r="BE41" i="51"/>
  <c r="BD41" i="51"/>
  <c r="BC41" i="51"/>
  <c r="BB41" i="51"/>
  <c r="BA41" i="51"/>
  <c r="AZ41" i="51"/>
  <c r="AY41" i="51"/>
  <c r="AX41" i="51"/>
  <c r="AW41" i="51"/>
  <c r="AV41" i="51"/>
  <c r="AU41" i="51"/>
  <c r="AT41" i="51"/>
  <c r="AS41" i="51"/>
  <c r="AR41" i="51"/>
  <c r="AQ41" i="51"/>
  <c r="AP41" i="51"/>
  <c r="AO41" i="51"/>
  <c r="AN41" i="51"/>
  <c r="AM41" i="51"/>
  <c r="AL41" i="51"/>
  <c r="AK41" i="51"/>
  <c r="AJ41" i="51"/>
  <c r="AI41" i="51"/>
  <c r="AH41" i="51"/>
  <c r="AG41" i="51"/>
  <c r="AF41" i="51"/>
  <c r="AE41" i="51"/>
  <c r="AD41" i="51"/>
  <c r="AC41" i="51"/>
  <c r="AB41" i="51"/>
  <c r="AA41" i="51"/>
  <c r="Z41" i="51"/>
  <c r="Y41" i="51"/>
  <c r="X41" i="51"/>
  <c r="W41" i="51"/>
  <c r="V41" i="51"/>
  <c r="U41" i="51"/>
  <c r="T41" i="51"/>
  <c r="S41" i="51"/>
  <c r="R41" i="51"/>
  <c r="Q41" i="51"/>
  <c r="P41" i="51"/>
  <c r="O41" i="51"/>
  <c r="N41" i="51"/>
  <c r="M41" i="51"/>
  <c r="L41" i="51"/>
  <c r="K41" i="51"/>
  <c r="J41" i="51"/>
  <c r="I41" i="51"/>
  <c r="H41" i="51"/>
  <c r="G41" i="51"/>
  <c r="F41" i="51"/>
  <c r="IV40" i="51"/>
  <c r="IU40" i="51"/>
  <c r="IT40" i="51"/>
  <c r="IS40" i="51"/>
  <c r="IR40" i="51"/>
  <c r="IQ40" i="51"/>
  <c r="IP40" i="51"/>
  <c r="IO40" i="51"/>
  <c r="IN40" i="51"/>
  <c r="IM40" i="51"/>
  <c r="IL40" i="51"/>
  <c r="IK40" i="51"/>
  <c r="IJ40" i="51"/>
  <c r="II40" i="51"/>
  <c r="IH40" i="51"/>
  <c r="IG40" i="51"/>
  <c r="IF40" i="51"/>
  <c r="IE40" i="51"/>
  <c r="ID40" i="51"/>
  <c r="IC40" i="51"/>
  <c r="IB40" i="51"/>
  <c r="IA40" i="51"/>
  <c r="HZ40" i="51"/>
  <c r="HY40" i="51"/>
  <c r="HX40" i="51"/>
  <c r="HW40" i="51"/>
  <c r="HV40" i="51"/>
  <c r="HU40" i="51"/>
  <c r="HT40" i="51"/>
  <c r="HS40" i="51"/>
  <c r="HR40" i="51"/>
  <c r="HQ40" i="51"/>
  <c r="HP40" i="51"/>
  <c r="HO40" i="51"/>
  <c r="HN40" i="51"/>
  <c r="HM40" i="51"/>
  <c r="HL40" i="51"/>
  <c r="HK40" i="51"/>
  <c r="HJ40" i="51"/>
  <c r="HI40" i="51"/>
  <c r="HH40" i="51"/>
  <c r="HG40" i="51"/>
  <c r="HF40" i="51"/>
  <c r="HE40" i="51"/>
  <c r="HD40" i="51"/>
  <c r="HC40" i="51"/>
  <c r="HB40" i="51"/>
  <c r="HA40" i="51"/>
  <c r="GZ40" i="51"/>
  <c r="GY40" i="51"/>
  <c r="GX40" i="51"/>
  <c r="GW40" i="51"/>
  <c r="GV40" i="51"/>
  <c r="GU40" i="51"/>
  <c r="GT40" i="51"/>
  <c r="GS40" i="51"/>
  <c r="GR40" i="51"/>
  <c r="GQ40" i="51"/>
  <c r="GP40" i="51"/>
  <c r="GO40" i="51"/>
  <c r="GN40" i="51"/>
  <c r="GM40" i="51"/>
  <c r="GL40" i="51"/>
  <c r="GK40" i="51"/>
  <c r="GJ40" i="51"/>
  <c r="GI40" i="51"/>
  <c r="GH40" i="51"/>
  <c r="GG40" i="51"/>
  <c r="GF40" i="51"/>
  <c r="GE40" i="51"/>
  <c r="GD40" i="51"/>
  <c r="GC40" i="51"/>
  <c r="GB40" i="51"/>
  <c r="GA40" i="51"/>
  <c r="FZ40" i="51"/>
  <c r="FY40" i="51"/>
  <c r="FX40" i="51"/>
  <c r="FW40" i="51"/>
  <c r="FV40" i="51"/>
  <c r="FU40" i="51"/>
  <c r="FT40" i="51"/>
  <c r="FS40" i="51"/>
  <c r="FR40" i="51"/>
  <c r="FQ40" i="51"/>
  <c r="FP40" i="51"/>
  <c r="FO40" i="51"/>
  <c r="FN40" i="51"/>
  <c r="FM40" i="51"/>
  <c r="FL40" i="51"/>
  <c r="FK40" i="51"/>
  <c r="FJ40" i="51"/>
  <c r="FI40" i="51"/>
  <c r="FH40" i="51"/>
  <c r="FG40" i="51"/>
  <c r="FF40" i="51"/>
  <c r="FE40" i="51"/>
  <c r="FD40" i="51"/>
  <c r="FC40" i="51"/>
  <c r="FB40" i="51"/>
  <c r="FA40" i="51"/>
  <c r="EZ40" i="51"/>
  <c r="EY40" i="51"/>
  <c r="EX40" i="51"/>
  <c r="EW40" i="51"/>
  <c r="EV40" i="51"/>
  <c r="EU40" i="51"/>
  <c r="ET40" i="51"/>
  <c r="ES40" i="51"/>
  <c r="ER40" i="51"/>
  <c r="EQ40" i="51"/>
  <c r="EP40" i="51"/>
  <c r="EO40" i="51"/>
  <c r="EN40" i="51"/>
  <c r="EM40" i="51"/>
  <c r="EL40" i="51"/>
  <c r="EK40" i="51"/>
  <c r="EJ40" i="51"/>
  <c r="EI40" i="51"/>
  <c r="EH40" i="51"/>
  <c r="EG40" i="51"/>
  <c r="EF40" i="51"/>
  <c r="EE40" i="51"/>
  <c r="ED40" i="51"/>
  <c r="EC40" i="51"/>
  <c r="EB40" i="51"/>
  <c r="EA40" i="51"/>
  <c r="DZ40" i="51"/>
  <c r="DY40" i="51"/>
  <c r="DX40" i="51"/>
  <c r="DW40" i="51"/>
  <c r="DV40" i="51"/>
  <c r="DU40" i="51"/>
  <c r="DT40" i="51"/>
  <c r="DS40" i="51"/>
  <c r="DR40" i="51"/>
  <c r="DQ40" i="51"/>
  <c r="DP40" i="51"/>
  <c r="DO40" i="51"/>
  <c r="DN40" i="51"/>
  <c r="DM40" i="51"/>
  <c r="DL40" i="51"/>
  <c r="DK40" i="51"/>
  <c r="DJ40" i="51"/>
  <c r="DI40" i="51"/>
  <c r="DH40" i="51"/>
  <c r="DG40" i="51"/>
  <c r="DF40" i="51"/>
  <c r="DE40" i="51"/>
  <c r="DD40" i="51"/>
  <c r="DC40" i="51"/>
  <c r="DB40" i="51"/>
  <c r="DA40" i="51"/>
  <c r="CZ40" i="51"/>
  <c r="CY40" i="51"/>
  <c r="CX40" i="51"/>
  <c r="CW40" i="51"/>
  <c r="CV40" i="51"/>
  <c r="CU40" i="51"/>
  <c r="CT40" i="51"/>
  <c r="CS40" i="51"/>
  <c r="CR40" i="51"/>
  <c r="CQ40" i="51"/>
  <c r="CP40" i="51"/>
  <c r="CO40" i="51"/>
  <c r="CN40" i="51"/>
  <c r="CM40" i="51"/>
  <c r="CL40" i="51"/>
  <c r="CK40" i="51"/>
  <c r="CJ40" i="51"/>
  <c r="CI40" i="51"/>
  <c r="CH40" i="51"/>
  <c r="CG40" i="51"/>
  <c r="CF40" i="51"/>
  <c r="CE40" i="51"/>
  <c r="CD40" i="51"/>
  <c r="CC40" i="51"/>
  <c r="CB40" i="51"/>
  <c r="CA40" i="51"/>
  <c r="BZ40" i="51"/>
  <c r="BY40" i="51"/>
  <c r="BX40" i="51"/>
  <c r="BW40" i="51"/>
  <c r="BV40" i="51"/>
  <c r="BU40" i="51"/>
  <c r="BT40" i="51"/>
  <c r="BS40" i="51"/>
  <c r="BR40" i="51"/>
  <c r="BQ40" i="51"/>
  <c r="BP40" i="51"/>
  <c r="BO40" i="51"/>
  <c r="BN40" i="51"/>
  <c r="BM40" i="51"/>
  <c r="BL40" i="51"/>
  <c r="BK40" i="51"/>
  <c r="BJ40" i="51"/>
  <c r="BI40" i="51"/>
  <c r="BH40" i="51"/>
  <c r="BG40" i="51"/>
  <c r="BF40" i="51"/>
  <c r="BE40" i="51"/>
  <c r="BD40" i="51"/>
  <c r="BC40" i="51"/>
  <c r="BB40" i="51"/>
  <c r="BA40" i="51"/>
  <c r="AZ40" i="51"/>
  <c r="AY40" i="51"/>
  <c r="AX40" i="51"/>
  <c r="AW40" i="51"/>
  <c r="AV40" i="51"/>
  <c r="AU40" i="51"/>
  <c r="AT40" i="51"/>
  <c r="AS40" i="51"/>
  <c r="AR40" i="51"/>
  <c r="AQ40" i="51"/>
  <c r="AP40" i="51"/>
  <c r="AO40" i="51"/>
  <c r="AN40" i="51"/>
  <c r="AM40" i="51"/>
  <c r="AL40" i="51"/>
  <c r="AK40" i="51"/>
  <c r="AJ40" i="51"/>
  <c r="AI40" i="51"/>
  <c r="AH40" i="51"/>
  <c r="AG40" i="51"/>
  <c r="AF40" i="51"/>
  <c r="AE40" i="51"/>
  <c r="AD40" i="51"/>
  <c r="AC40" i="51"/>
  <c r="AB40" i="51"/>
  <c r="AA40" i="51"/>
  <c r="Z40" i="51"/>
  <c r="Y40" i="51"/>
  <c r="X40" i="51"/>
  <c r="W40" i="51"/>
  <c r="V40" i="51"/>
  <c r="U40" i="51"/>
  <c r="T40" i="51"/>
  <c r="S40" i="51"/>
  <c r="R40" i="51"/>
  <c r="Q40" i="51"/>
  <c r="P40" i="51"/>
  <c r="O40" i="51"/>
  <c r="N40" i="51"/>
  <c r="M40" i="51"/>
  <c r="L40" i="51"/>
  <c r="K40" i="51"/>
  <c r="J40" i="51"/>
  <c r="I40" i="51"/>
  <c r="H40" i="51"/>
  <c r="G40" i="51"/>
  <c r="F40" i="51"/>
  <c r="IV39" i="51"/>
  <c r="IU39" i="51"/>
  <c r="IT39" i="51"/>
  <c r="IS39" i="51"/>
  <c r="IR39" i="51"/>
  <c r="IQ39" i="51"/>
  <c r="IP39" i="51"/>
  <c r="IO39" i="51"/>
  <c r="IN39" i="51"/>
  <c r="IM39" i="51"/>
  <c r="IL39" i="51"/>
  <c r="IK39" i="51"/>
  <c r="IJ39" i="51"/>
  <c r="II39" i="51"/>
  <c r="IH39" i="51"/>
  <c r="IG39" i="51"/>
  <c r="IF39" i="51"/>
  <c r="IE39" i="51"/>
  <c r="ID39" i="51"/>
  <c r="IC39" i="51"/>
  <c r="IB39" i="51"/>
  <c r="IA39" i="51"/>
  <c r="HZ39" i="51"/>
  <c r="HY39" i="51"/>
  <c r="HX39" i="51"/>
  <c r="HW39" i="51"/>
  <c r="HV39" i="51"/>
  <c r="HU39" i="51"/>
  <c r="HT39" i="51"/>
  <c r="HS39" i="51"/>
  <c r="HR39" i="51"/>
  <c r="HQ39" i="51"/>
  <c r="HP39" i="51"/>
  <c r="HO39" i="51"/>
  <c r="HN39" i="51"/>
  <c r="HM39" i="51"/>
  <c r="HL39" i="51"/>
  <c r="HK39" i="51"/>
  <c r="HJ39" i="51"/>
  <c r="HI39" i="51"/>
  <c r="HH39" i="51"/>
  <c r="HG39" i="51"/>
  <c r="HF39" i="51"/>
  <c r="HE39" i="51"/>
  <c r="HD39" i="51"/>
  <c r="HC39" i="51"/>
  <c r="HB39" i="51"/>
  <c r="HA39" i="51"/>
  <c r="GZ39" i="51"/>
  <c r="GY39" i="51"/>
  <c r="GX39" i="51"/>
  <c r="GW39" i="51"/>
  <c r="GV39" i="51"/>
  <c r="GU39" i="51"/>
  <c r="GT39" i="51"/>
  <c r="GS39" i="51"/>
  <c r="GR39" i="51"/>
  <c r="GQ39" i="51"/>
  <c r="GP39" i="51"/>
  <c r="GO39" i="51"/>
  <c r="GN39" i="51"/>
  <c r="GM39" i="51"/>
  <c r="GL39" i="51"/>
  <c r="GK39" i="51"/>
  <c r="GJ39" i="51"/>
  <c r="GI39" i="51"/>
  <c r="GH39" i="51"/>
  <c r="GG39" i="51"/>
  <c r="GF39" i="51"/>
  <c r="GE39" i="51"/>
  <c r="GD39" i="51"/>
  <c r="GC39" i="51"/>
  <c r="GB39" i="51"/>
  <c r="GA39" i="51"/>
  <c r="FZ39" i="51"/>
  <c r="FY39" i="51"/>
  <c r="FX39" i="51"/>
  <c r="FW39" i="51"/>
  <c r="FV39" i="51"/>
  <c r="FU39" i="51"/>
  <c r="FT39" i="51"/>
  <c r="FS39" i="51"/>
  <c r="FR39" i="51"/>
  <c r="FQ39" i="51"/>
  <c r="FP39" i="51"/>
  <c r="FO39" i="51"/>
  <c r="FN39" i="51"/>
  <c r="FM39" i="51"/>
  <c r="FL39" i="51"/>
  <c r="FK39" i="51"/>
  <c r="FJ39" i="51"/>
  <c r="FI39" i="51"/>
  <c r="FH39" i="51"/>
  <c r="FG39" i="51"/>
  <c r="FF39" i="51"/>
  <c r="FE39" i="51"/>
  <c r="FD39" i="51"/>
  <c r="FC39" i="51"/>
  <c r="FB39" i="51"/>
  <c r="FA39" i="51"/>
  <c r="EZ39" i="51"/>
  <c r="EY39" i="51"/>
  <c r="EX39" i="51"/>
  <c r="EW39" i="51"/>
  <c r="EV39" i="51"/>
  <c r="EU39" i="51"/>
  <c r="ET39" i="51"/>
  <c r="ES39" i="51"/>
  <c r="ER39" i="51"/>
  <c r="EQ39" i="51"/>
  <c r="EP39" i="51"/>
  <c r="EO39" i="51"/>
  <c r="EN39" i="51"/>
  <c r="EM39" i="51"/>
  <c r="EL39" i="51"/>
  <c r="EK39" i="51"/>
  <c r="EJ39" i="51"/>
  <c r="EI39" i="51"/>
  <c r="EH39" i="51"/>
  <c r="EG39" i="51"/>
  <c r="EF39" i="51"/>
  <c r="EE39" i="51"/>
  <c r="ED39" i="51"/>
  <c r="EC39" i="51"/>
  <c r="EB39" i="51"/>
  <c r="EA39" i="51"/>
  <c r="DZ39" i="51"/>
  <c r="DY39" i="51"/>
  <c r="DX39" i="51"/>
  <c r="DW39" i="51"/>
  <c r="DV39" i="51"/>
  <c r="DU39" i="51"/>
  <c r="DT39" i="51"/>
  <c r="DS39" i="51"/>
  <c r="DR39" i="51"/>
  <c r="DQ39" i="51"/>
  <c r="DP39" i="51"/>
  <c r="DO39" i="51"/>
  <c r="DN39" i="51"/>
  <c r="DM39" i="51"/>
  <c r="DL39" i="51"/>
  <c r="DK39" i="51"/>
  <c r="DJ39" i="51"/>
  <c r="DI39" i="51"/>
  <c r="DH39" i="51"/>
  <c r="DG39" i="51"/>
  <c r="DF39" i="51"/>
  <c r="DE39" i="51"/>
  <c r="DD39" i="51"/>
  <c r="DC39" i="51"/>
  <c r="DB39" i="51"/>
  <c r="DA39" i="51"/>
  <c r="CZ39" i="51"/>
  <c r="CY39" i="51"/>
  <c r="CX39" i="51"/>
  <c r="CW39" i="51"/>
  <c r="CV39" i="51"/>
  <c r="CU39" i="51"/>
  <c r="CT39" i="51"/>
  <c r="CS39" i="51"/>
  <c r="CR39" i="51"/>
  <c r="CQ39" i="51"/>
  <c r="CP39" i="51"/>
  <c r="CO39" i="51"/>
  <c r="CN39" i="51"/>
  <c r="CM39" i="51"/>
  <c r="CL39" i="51"/>
  <c r="CK39" i="51"/>
  <c r="CJ39" i="51"/>
  <c r="CI39" i="51"/>
  <c r="CH39" i="51"/>
  <c r="CG39" i="51"/>
  <c r="CF39" i="51"/>
  <c r="CE39" i="51"/>
  <c r="CD39" i="51"/>
  <c r="CC39" i="51"/>
  <c r="CB39" i="51"/>
  <c r="CA39" i="51"/>
  <c r="BZ39" i="51"/>
  <c r="BY39" i="51"/>
  <c r="BX39" i="51"/>
  <c r="BW39" i="51"/>
  <c r="BV39" i="51"/>
  <c r="BU39" i="51"/>
  <c r="BT39" i="51"/>
  <c r="BS39" i="51"/>
  <c r="BR39" i="51"/>
  <c r="BQ39" i="51"/>
  <c r="BP39" i="51"/>
  <c r="BO39" i="51"/>
  <c r="BN39" i="51"/>
  <c r="BM39" i="51"/>
  <c r="BL39" i="51"/>
  <c r="BK39" i="51"/>
  <c r="BJ39" i="51"/>
  <c r="BI39" i="51"/>
  <c r="BH39" i="51"/>
  <c r="BG39" i="51"/>
  <c r="BF39" i="51"/>
  <c r="BE39" i="51"/>
  <c r="BD39" i="51"/>
  <c r="BC39" i="51"/>
  <c r="BB39" i="51"/>
  <c r="BA39" i="51"/>
  <c r="AZ39" i="51"/>
  <c r="AY39" i="51"/>
  <c r="AX39" i="51"/>
  <c r="AW39" i="51"/>
  <c r="AV39" i="51"/>
  <c r="AU39" i="51"/>
  <c r="AT39" i="51"/>
  <c r="AS39" i="51"/>
  <c r="AR39" i="51"/>
  <c r="AQ39" i="51"/>
  <c r="AP39" i="51"/>
  <c r="AO39" i="51"/>
  <c r="AN39" i="51"/>
  <c r="AM39" i="51"/>
  <c r="AL39" i="51"/>
  <c r="AK39" i="51"/>
  <c r="AJ39" i="51"/>
  <c r="AI39" i="51"/>
  <c r="AH39" i="51"/>
  <c r="AG39" i="51"/>
  <c r="AF39" i="51"/>
  <c r="AE39" i="51"/>
  <c r="AD39" i="51"/>
  <c r="AC39" i="51"/>
  <c r="AB39" i="51"/>
  <c r="AA39" i="51"/>
  <c r="Z39" i="51"/>
  <c r="Y39" i="51"/>
  <c r="X39" i="51"/>
  <c r="W39" i="51"/>
  <c r="V39" i="51"/>
  <c r="U39" i="51"/>
  <c r="T39" i="51"/>
  <c r="S39" i="51"/>
  <c r="R39" i="51"/>
  <c r="Q39" i="51"/>
  <c r="P39" i="51"/>
  <c r="O39" i="51"/>
  <c r="N39" i="51"/>
  <c r="M39" i="51"/>
  <c r="L39" i="51"/>
  <c r="K39" i="51"/>
  <c r="J39" i="51"/>
  <c r="I39" i="51"/>
  <c r="H39" i="51"/>
  <c r="G39" i="51"/>
  <c r="F39" i="51"/>
  <c r="IV38" i="51"/>
  <c r="IU38" i="51"/>
  <c r="IT38" i="51"/>
  <c r="IS38" i="51"/>
  <c r="IR38" i="51"/>
  <c r="IQ38" i="51"/>
  <c r="IP38" i="51"/>
  <c r="IO38" i="51"/>
  <c r="IN38" i="51"/>
  <c r="IM38" i="51"/>
  <c r="IL38" i="51"/>
  <c r="IK38" i="51"/>
  <c r="IJ38" i="51"/>
  <c r="II38" i="51"/>
  <c r="IH38" i="51"/>
  <c r="IG38" i="51"/>
  <c r="IF38" i="51"/>
  <c r="IE38" i="51"/>
  <c r="ID38" i="51"/>
  <c r="IC38" i="51"/>
  <c r="IB38" i="51"/>
  <c r="IA38" i="51"/>
  <c r="HZ38" i="51"/>
  <c r="HY38" i="51"/>
  <c r="HX38" i="51"/>
  <c r="HW38" i="51"/>
  <c r="HV38" i="51"/>
  <c r="HU38" i="51"/>
  <c r="HT38" i="51"/>
  <c r="HS38" i="51"/>
  <c r="HR38" i="51"/>
  <c r="HQ38" i="51"/>
  <c r="HP38" i="51"/>
  <c r="HO38" i="51"/>
  <c r="HN38" i="51"/>
  <c r="HM38" i="51"/>
  <c r="HL38" i="51"/>
  <c r="HK38" i="51"/>
  <c r="HJ38" i="51"/>
  <c r="HI38" i="51"/>
  <c r="HH38" i="51"/>
  <c r="HG38" i="51"/>
  <c r="HF38" i="51"/>
  <c r="HE38" i="51"/>
  <c r="HD38" i="51"/>
  <c r="HC38" i="51"/>
  <c r="HB38" i="51"/>
  <c r="HA38" i="51"/>
  <c r="GZ38" i="51"/>
  <c r="GY38" i="51"/>
  <c r="GX38" i="51"/>
  <c r="GW38" i="51"/>
  <c r="GV38" i="51"/>
  <c r="GU38" i="51"/>
  <c r="GT38" i="51"/>
  <c r="GS38" i="51"/>
  <c r="GR38" i="51"/>
  <c r="GQ38" i="51"/>
  <c r="GP38" i="51"/>
  <c r="GO38" i="51"/>
  <c r="GN38" i="51"/>
  <c r="GM38" i="51"/>
  <c r="GL38" i="51"/>
  <c r="GK38" i="51"/>
  <c r="GJ38" i="51"/>
  <c r="GI38" i="51"/>
  <c r="GH38" i="51"/>
  <c r="GG38" i="51"/>
  <c r="GF38" i="51"/>
  <c r="GE38" i="51"/>
  <c r="GD38" i="51"/>
  <c r="GC38" i="51"/>
  <c r="GB38" i="51"/>
  <c r="GA38" i="51"/>
  <c r="FZ38" i="51"/>
  <c r="FY38" i="51"/>
  <c r="FX38" i="51"/>
  <c r="FW38" i="51"/>
  <c r="FV38" i="51"/>
  <c r="FU38" i="51"/>
  <c r="FT38" i="51"/>
  <c r="FS38" i="51"/>
  <c r="FR38" i="51"/>
  <c r="FQ38" i="51"/>
  <c r="FP38" i="51"/>
  <c r="FO38" i="51"/>
  <c r="FN38" i="51"/>
  <c r="FM38" i="51"/>
  <c r="FL38" i="51"/>
  <c r="FK38" i="51"/>
  <c r="FJ38" i="51"/>
  <c r="FI38" i="51"/>
  <c r="FH38" i="51"/>
  <c r="FG38" i="51"/>
  <c r="FF38" i="51"/>
  <c r="FE38" i="51"/>
  <c r="FD38" i="51"/>
  <c r="FC38" i="51"/>
  <c r="FB38" i="51"/>
  <c r="FA38" i="51"/>
  <c r="EZ38" i="51"/>
  <c r="EY38" i="51"/>
  <c r="EX38" i="51"/>
  <c r="EW38" i="51"/>
  <c r="EV38" i="51"/>
  <c r="EU38" i="51"/>
  <c r="ET38" i="51"/>
  <c r="ES38" i="51"/>
  <c r="ER38" i="51"/>
  <c r="EQ38" i="51"/>
  <c r="EP38" i="51"/>
  <c r="EO38" i="51"/>
  <c r="EN38" i="51"/>
  <c r="EM38" i="51"/>
  <c r="EL38" i="51"/>
  <c r="EK38" i="51"/>
  <c r="EJ38" i="51"/>
  <c r="EI38" i="51"/>
  <c r="EH38" i="51"/>
  <c r="EG38" i="51"/>
  <c r="EF38" i="51"/>
  <c r="EE38" i="51"/>
  <c r="ED38" i="51"/>
  <c r="EC38" i="51"/>
  <c r="EB38" i="51"/>
  <c r="EA38" i="51"/>
  <c r="DZ38" i="51"/>
  <c r="DY38" i="51"/>
  <c r="DX38" i="51"/>
  <c r="DW38" i="51"/>
  <c r="DV38" i="51"/>
  <c r="DU38" i="51"/>
  <c r="DT38" i="51"/>
  <c r="DS38" i="51"/>
  <c r="DR38" i="51"/>
  <c r="DQ38" i="51"/>
  <c r="DP38" i="51"/>
  <c r="DO38" i="51"/>
  <c r="DN38" i="51"/>
  <c r="DM38" i="51"/>
  <c r="DL38" i="51"/>
  <c r="DK38" i="51"/>
  <c r="DJ38" i="51"/>
  <c r="DI38" i="51"/>
  <c r="DH38" i="51"/>
  <c r="DG38" i="51"/>
  <c r="DF38" i="51"/>
  <c r="DE38" i="51"/>
  <c r="DD38" i="51"/>
  <c r="DC38" i="51"/>
  <c r="DB38" i="51"/>
  <c r="DA38" i="51"/>
  <c r="CZ38" i="51"/>
  <c r="CY38" i="51"/>
  <c r="CX38" i="51"/>
  <c r="CW38" i="51"/>
  <c r="CV38" i="51"/>
  <c r="CU38" i="51"/>
  <c r="CT38" i="51"/>
  <c r="CS38" i="51"/>
  <c r="CR38" i="51"/>
  <c r="CQ38" i="51"/>
  <c r="CP38" i="51"/>
  <c r="CO38" i="51"/>
  <c r="CN38" i="51"/>
  <c r="CM38" i="51"/>
  <c r="CL38" i="51"/>
  <c r="CK38" i="51"/>
  <c r="CJ38" i="51"/>
  <c r="CI38" i="51"/>
  <c r="CH38" i="51"/>
  <c r="CG38" i="51"/>
  <c r="CF38" i="51"/>
  <c r="CE38" i="51"/>
  <c r="CD38" i="51"/>
  <c r="CC38" i="51"/>
  <c r="CB38" i="51"/>
  <c r="CA38" i="51"/>
  <c r="BZ38" i="51"/>
  <c r="BY38" i="51"/>
  <c r="BX38" i="51"/>
  <c r="BW38" i="51"/>
  <c r="BV38" i="51"/>
  <c r="BU38" i="51"/>
  <c r="BT38" i="51"/>
  <c r="BS38" i="51"/>
  <c r="BR38" i="51"/>
  <c r="BQ38" i="51"/>
  <c r="BP38" i="51"/>
  <c r="BO38" i="51"/>
  <c r="BN38" i="51"/>
  <c r="BM38" i="51"/>
  <c r="BL38" i="51"/>
  <c r="BK38" i="51"/>
  <c r="BJ38" i="51"/>
  <c r="BI38" i="51"/>
  <c r="BH38" i="51"/>
  <c r="BG38" i="51"/>
  <c r="BF38" i="51"/>
  <c r="BE38" i="51"/>
  <c r="BD38" i="51"/>
  <c r="BC38" i="51"/>
  <c r="BB38" i="51"/>
  <c r="BA38" i="51"/>
  <c r="AZ38" i="51"/>
  <c r="AY38" i="51"/>
  <c r="AX38" i="51"/>
  <c r="AW38" i="51"/>
  <c r="AV38" i="51"/>
  <c r="AU38" i="51"/>
  <c r="AT38" i="51"/>
  <c r="AS38" i="51"/>
  <c r="AR38" i="51"/>
  <c r="AQ38" i="51"/>
  <c r="AP38" i="51"/>
  <c r="AO38" i="51"/>
  <c r="AN38" i="51"/>
  <c r="AM38" i="51"/>
  <c r="AL38" i="51"/>
  <c r="AK38" i="51"/>
  <c r="AJ38" i="51"/>
  <c r="AI38" i="51"/>
  <c r="AH38" i="51"/>
  <c r="AG38" i="51"/>
  <c r="AF38" i="51"/>
  <c r="AE38" i="51"/>
  <c r="AD38" i="51"/>
  <c r="AC38" i="51"/>
  <c r="AB38" i="51"/>
  <c r="AA38" i="51"/>
  <c r="Z38" i="51"/>
  <c r="Y38" i="51"/>
  <c r="X38" i="51"/>
  <c r="W38" i="51"/>
  <c r="V38" i="51"/>
  <c r="U38" i="51"/>
  <c r="T38" i="51"/>
  <c r="S38" i="51"/>
  <c r="R38" i="51"/>
  <c r="Q38" i="51"/>
  <c r="P38" i="51"/>
  <c r="O38" i="51"/>
  <c r="N38" i="51"/>
  <c r="M38" i="51"/>
  <c r="L38" i="51"/>
  <c r="K38" i="51"/>
  <c r="J38" i="51"/>
  <c r="I38" i="51"/>
  <c r="H38" i="51"/>
  <c r="G38" i="51"/>
  <c r="F38" i="51"/>
  <c r="IV37" i="51"/>
  <c r="IU37" i="51"/>
  <c r="IT37" i="51"/>
  <c r="IS37" i="51"/>
  <c r="IR37" i="51"/>
  <c r="IQ37" i="51"/>
  <c r="IP37" i="51"/>
  <c r="IO37" i="51"/>
  <c r="IN37" i="51"/>
  <c r="IM37" i="51"/>
  <c r="IL37" i="51"/>
  <c r="IK37" i="51"/>
  <c r="IJ37" i="51"/>
  <c r="II37" i="51"/>
  <c r="IH37" i="51"/>
  <c r="IG37" i="51"/>
  <c r="IF37" i="51"/>
  <c r="IE37" i="51"/>
  <c r="ID37" i="51"/>
  <c r="IC37" i="51"/>
  <c r="IB37" i="51"/>
  <c r="IA37" i="51"/>
  <c r="HZ37" i="51"/>
  <c r="HY37" i="51"/>
  <c r="HX37" i="51"/>
  <c r="HW37" i="51"/>
  <c r="HV37" i="51"/>
  <c r="HU37" i="51"/>
  <c r="HT37" i="51"/>
  <c r="HS37" i="51"/>
  <c r="HR37" i="51"/>
  <c r="HQ37" i="51"/>
  <c r="HP37" i="51"/>
  <c r="HO37" i="51"/>
  <c r="HN37" i="51"/>
  <c r="HM37" i="51"/>
  <c r="HL37" i="51"/>
  <c r="HK37" i="51"/>
  <c r="HJ37" i="51"/>
  <c r="HI37" i="51"/>
  <c r="HH37" i="51"/>
  <c r="HG37" i="51"/>
  <c r="HF37" i="51"/>
  <c r="HE37" i="51"/>
  <c r="HD37" i="51"/>
  <c r="HC37" i="51"/>
  <c r="HB37" i="51"/>
  <c r="HA37" i="51"/>
  <c r="GZ37" i="51"/>
  <c r="GY37" i="51"/>
  <c r="GX37" i="51"/>
  <c r="GW37" i="51"/>
  <c r="GV37" i="51"/>
  <c r="GU37" i="51"/>
  <c r="GT37" i="51"/>
  <c r="GS37" i="51"/>
  <c r="GR37" i="51"/>
  <c r="GQ37" i="51"/>
  <c r="GP37" i="51"/>
  <c r="GO37" i="51"/>
  <c r="GN37" i="51"/>
  <c r="GM37" i="51"/>
  <c r="GL37" i="51"/>
  <c r="GK37" i="51"/>
  <c r="GJ37" i="51"/>
  <c r="GI37" i="51"/>
  <c r="GH37" i="51"/>
  <c r="GG37" i="51"/>
  <c r="GF37" i="51"/>
  <c r="GE37" i="51"/>
  <c r="GD37" i="51"/>
  <c r="GC37" i="51"/>
  <c r="GB37" i="51"/>
  <c r="GA37" i="51"/>
  <c r="FZ37" i="51"/>
  <c r="FY37" i="51"/>
  <c r="FX37" i="51"/>
  <c r="FW37" i="51"/>
  <c r="FV37" i="51"/>
  <c r="FU37" i="51"/>
  <c r="FT37" i="51"/>
  <c r="FS37" i="51"/>
  <c r="FR37" i="51"/>
  <c r="FQ37" i="51"/>
  <c r="FP37" i="51"/>
  <c r="FO37" i="51"/>
  <c r="FN37" i="51"/>
  <c r="FM37" i="51"/>
  <c r="FL37" i="51"/>
  <c r="FK37" i="51"/>
  <c r="FJ37" i="51"/>
  <c r="FI37" i="51"/>
  <c r="FH37" i="51"/>
  <c r="FG37" i="51"/>
  <c r="FF37" i="51"/>
  <c r="FE37" i="51"/>
  <c r="FD37" i="51"/>
  <c r="FC37" i="51"/>
  <c r="FB37" i="51"/>
  <c r="FA37" i="51"/>
  <c r="EZ37" i="51"/>
  <c r="EY37" i="51"/>
  <c r="EX37" i="51"/>
  <c r="EW37" i="51"/>
  <c r="EV37" i="51"/>
  <c r="EU37" i="51"/>
  <c r="ET37" i="51"/>
  <c r="ES37" i="51"/>
  <c r="ER37" i="51"/>
  <c r="EQ37" i="51"/>
  <c r="EP37" i="51"/>
  <c r="EO37" i="51"/>
  <c r="EN37" i="51"/>
  <c r="EM37" i="51"/>
  <c r="EL37" i="51"/>
  <c r="EK37" i="51"/>
  <c r="EJ37" i="51"/>
  <c r="EI37" i="51"/>
  <c r="EH37" i="51"/>
  <c r="EG37" i="51"/>
  <c r="EF37" i="51"/>
  <c r="EE37" i="51"/>
  <c r="ED37" i="51"/>
  <c r="EC37" i="51"/>
  <c r="EB37" i="51"/>
  <c r="EA37" i="51"/>
  <c r="DZ37" i="51"/>
  <c r="DY37" i="51"/>
  <c r="DX37" i="51"/>
  <c r="DW37" i="51"/>
  <c r="DV37" i="51"/>
  <c r="DU37" i="51"/>
  <c r="DT37" i="51"/>
  <c r="DS37" i="51"/>
  <c r="DR37" i="51"/>
  <c r="DQ37" i="51"/>
  <c r="DP37" i="51"/>
  <c r="DO37" i="51"/>
  <c r="DN37" i="51"/>
  <c r="DM37" i="51"/>
  <c r="DL37" i="51"/>
  <c r="DK37" i="51"/>
  <c r="DJ37" i="51"/>
  <c r="DI37" i="51"/>
  <c r="DH37" i="51"/>
  <c r="DG37" i="51"/>
  <c r="DF37" i="51"/>
  <c r="DE37" i="51"/>
  <c r="DD37" i="51"/>
  <c r="DC37" i="51"/>
  <c r="DB37" i="51"/>
  <c r="DA37" i="51"/>
  <c r="CZ37" i="51"/>
  <c r="CY37" i="51"/>
  <c r="CX37" i="51"/>
  <c r="CW37" i="51"/>
  <c r="CV37" i="51"/>
  <c r="CU37" i="51"/>
  <c r="CT37" i="51"/>
  <c r="CS37" i="51"/>
  <c r="CR37" i="51"/>
  <c r="CQ37" i="51"/>
  <c r="CP37" i="51"/>
  <c r="CO37" i="51"/>
  <c r="CN37" i="51"/>
  <c r="CM37" i="51"/>
  <c r="CL37" i="51"/>
  <c r="CK37" i="51"/>
  <c r="CJ37" i="51"/>
  <c r="CI37" i="51"/>
  <c r="CH37" i="51"/>
  <c r="CG37" i="51"/>
  <c r="CF37" i="51"/>
  <c r="CE37" i="51"/>
  <c r="CD37" i="51"/>
  <c r="CC37" i="51"/>
  <c r="CB37" i="51"/>
  <c r="CA37" i="51"/>
  <c r="BZ37" i="51"/>
  <c r="BY37" i="51"/>
  <c r="BX37" i="51"/>
  <c r="BW37" i="51"/>
  <c r="BV37" i="51"/>
  <c r="BU37" i="51"/>
  <c r="BT37" i="51"/>
  <c r="BS37" i="51"/>
  <c r="BR37" i="51"/>
  <c r="BQ37" i="51"/>
  <c r="BP37" i="51"/>
  <c r="BO37" i="51"/>
  <c r="BN37" i="51"/>
  <c r="BM37" i="51"/>
  <c r="BL37" i="51"/>
  <c r="BK37" i="51"/>
  <c r="BJ37" i="51"/>
  <c r="BI37" i="51"/>
  <c r="BH37" i="51"/>
  <c r="BG37" i="51"/>
  <c r="BF37" i="51"/>
  <c r="BE37" i="51"/>
  <c r="BD37" i="51"/>
  <c r="BC37" i="51"/>
  <c r="BB37" i="51"/>
  <c r="BA37" i="51"/>
  <c r="AZ37" i="51"/>
  <c r="AY37" i="51"/>
  <c r="AX37" i="51"/>
  <c r="AW37" i="51"/>
  <c r="AV37" i="51"/>
  <c r="AU37" i="51"/>
  <c r="AT37" i="51"/>
  <c r="AS37" i="51"/>
  <c r="AR37" i="51"/>
  <c r="AQ37" i="51"/>
  <c r="AP37" i="51"/>
  <c r="AO37" i="51"/>
  <c r="AN37" i="51"/>
  <c r="AM37" i="51"/>
  <c r="AL37" i="51"/>
  <c r="AK37" i="51"/>
  <c r="AJ37" i="51"/>
  <c r="AI37" i="51"/>
  <c r="AH37" i="51"/>
  <c r="AG37" i="51"/>
  <c r="AF37" i="51"/>
  <c r="AE37" i="51"/>
  <c r="AD37" i="51"/>
  <c r="AC37" i="51"/>
  <c r="AB37" i="51"/>
  <c r="AA37" i="51"/>
  <c r="Z37" i="51"/>
  <c r="Y37" i="51"/>
  <c r="X37" i="51"/>
  <c r="W37" i="51"/>
  <c r="V37" i="51"/>
  <c r="U37" i="51"/>
  <c r="T37" i="51"/>
  <c r="S37" i="51"/>
  <c r="R37" i="51"/>
  <c r="Q37" i="51"/>
  <c r="P37" i="51"/>
  <c r="O37" i="51"/>
  <c r="N37" i="51"/>
  <c r="M37" i="51"/>
  <c r="L37" i="51"/>
  <c r="K37" i="51"/>
  <c r="J37" i="51"/>
  <c r="I37" i="51"/>
  <c r="H37" i="51"/>
  <c r="G37" i="51"/>
  <c r="F37" i="51"/>
  <c r="IV36" i="51"/>
  <c r="IU36" i="51"/>
  <c r="IT36" i="51"/>
  <c r="IS36" i="51"/>
  <c r="IR36" i="51"/>
  <c r="IQ36" i="51"/>
  <c r="IP36" i="51"/>
  <c r="IO36" i="51"/>
  <c r="IN36" i="51"/>
  <c r="IM36" i="51"/>
  <c r="IL36" i="51"/>
  <c r="IK36" i="51"/>
  <c r="IJ36" i="51"/>
  <c r="II36" i="51"/>
  <c r="IH36" i="51"/>
  <c r="IG36" i="51"/>
  <c r="IF36" i="51"/>
  <c r="IE36" i="51"/>
  <c r="ID36" i="51"/>
  <c r="IC36" i="51"/>
  <c r="IB36" i="51"/>
  <c r="IA36" i="51"/>
  <c r="HZ36" i="51"/>
  <c r="HY36" i="51"/>
  <c r="HX36" i="51"/>
  <c r="HW36" i="51"/>
  <c r="HV36" i="51"/>
  <c r="HU36" i="51"/>
  <c r="HT36" i="51"/>
  <c r="HS36" i="51"/>
  <c r="HR36" i="51"/>
  <c r="HQ36" i="51"/>
  <c r="HP36" i="51"/>
  <c r="HO36" i="51"/>
  <c r="HN36" i="51"/>
  <c r="HM36" i="51"/>
  <c r="HL36" i="51"/>
  <c r="HK36" i="51"/>
  <c r="HJ36" i="51"/>
  <c r="HI36" i="51"/>
  <c r="HH36" i="51"/>
  <c r="HG36" i="51"/>
  <c r="HF36" i="51"/>
  <c r="HE36" i="51"/>
  <c r="HD36" i="51"/>
  <c r="HC36" i="51"/>
  <c r="HB36" i="51"/>
  <c r="HA36" i="51"/>
  <c r="GZ36" i="51"/>
  <c r="GY36" i="51"/>
  <c r="GX36" i="51"/>
  <c r="GW36" i="51"/>
  <c r="GV36" i="51"/>
  <c r="GU36" i="51"/>
  <c r="GT36" i="51"/>
  <c r="GS36" i="51"/>
  <c r="GR36" i="51"/>
  <c r="GQ36" i="51"/>
  <c r="GP36" i="51"/>
  <c r="GO36" i="51"/>
  <c r="GN36" i="51"/>
  <c r="GM36" i="51"/>
  <c r="GL36" i="51"/>
  <c r="GK36" i="51"/>
  <c r="GJ36" i="51"/>
  <c r="GI36" i="51"/>
  <c r="GH36" i="51"/>
  <c r="GG36" i="51"/>
  <c r="GF36" i="51"/>
  <c r="GE36" i="51"/>
  <c r="GD36" i="51"/>
  <c r="GC36" i="51"/>
  <c r="GB36" i="51"/>
  <c r="GA36" i="51"/>
  <c r="FZ36" i="51"/>
  <c r="FY36" i="51"/>
  <c r="FX36" i="51"/>
  <c r="FW36" i="51"/>
  <c r="FV36" i="51"/>
  <c r="FU36" i="51"/>
  <c r="FT36" i="51"/>
  <c r="FS36" i="51"/>
  <c r="FR36" i="51"/>
  <c r="FQ36" i="51"/>
  <c r="FP36" i="51"/>
  <c r="FO36" i="51"/>
  <c r="FN36" i="51"/>
  <c r="FM36" i="51"/>
  <c r="FL36" i="51"/>
  <c r="FK36" i="51"/>
  <c r="FJ36" i="51"/>
  <c r="FI36" i="51"/>
  <c r="FH36" i="51"/>
  <c r="FG36" i="51"/>
  <c r="FF36" i="51"/>
  <c r="FE36" i="51"/>
  <c r="FD36" i="51"/>
  <c r="FC36" i="51"/>
  <c r="FB36" i="51"/>
  <c r="FA36" i="51"/>
  <c r="EZ36" i="51"/>
  <c r="EY36" i="51"/>
  <c r="EX36" i="51"/>
  <c r="EW36" i="51"/>
  <c r="EV36" i="51"/>
  <c r="EU36" i="51"/>
  <c r="ET36" i="51"/>
  <c r="ES36" i="51"/>
  <c r="ER36" i="51"/>
  <c r="EQ36" i="51"/>
  <c r="EP36" i="51"/>
  <c r="EO36" i="51"/>
  <c r="EN36" i="51"/>
  <c r="EM36" i="51"/>
  <c r="EL36" i="51"/>
  <c r="EK36" i="51"/>
  <c r="EJ36" i="51"/>
  <c r="EI36" i="51"/>
  <c r="EH36" i="51"/>
  <c r="EG36" i="51"/>
  <c r="EF36" i="51"/>
  <c r="EE36" i="51"/>
  <c r="ED36" i="51"/>
  <c r="EC36" i="51"/>
  <c r="EB36" i="51"/>
  <c r="EA36" i="51"/>
  <c r="DZ36" i="51"/>
  <c r="DY36" i="51"/>
  <c r="DX36" i="51"/>
  <c r="DW36" i="51"/>
  <c r="DV36" i="51"/>
  <c r="DU36" i="51"/>
  <c r="DT36" i="51"/>
  <c r="DS36" i="51"/>
  <c r="DR36" i="51"/>
  <c r="DQ36" i="51"/>
  <c r="DP36" i="51"/>
  <c r="DO36" i="51"/>
  <c r="DN36" i="51"/>
  <c r="DM36" i="51"/>
  <c r="DL36" i="51"/>
  <c r="DK36" i="51"/>
  <c r="DJ36" i="51"/>
  <c r="DI36" i="51"/>
  <c r="DH36" i="51"/>
  <c r="DG36" i="51"/>
  <c r="DF36" i="51"/>
  <c r="DE36" i="51"/>
  <c r="DD36" i="51"/>
  <c r="DC36" i="51"/>
  <c r="DB36" i="51"/>
  <c r="DA36" i="51"/>
  <c r="CZ36" i="51"/>
  <c r="CY36" i="51"/>
  <c r="CX36" i="51"/>
  <c r="CW36" i="51"/>
  <c r="CV36" i="51"/>
  <c r="CU36" i="51"/>
  <c r="CT36" i="51"/>
  <c r="CS36" i="51"/>
  <c r="CR36" i="51"/>
  <c r="CQ36" i="51"/>
  <c r="CP36" i="51"/>
  <c r="CO36" i="51"/>
  <c r="CN36" i="51"/>
  <c r="CM36" i="51"/>
  <c r="CL36" i="51"/>
  <c r="CK36" i="51"/>
  <c r="CJ36" i="51"/>
  <c r="CI36" i="51"/>
  <c r="CH36" i="51"/>
  <c r="CG36" i="51"/>
  <c r="CF36" i="51"/>
  <c r="CE36" i="51"/>
  <c r="CD36" i="51"/>
  <c r="CC36" i="51"/>
  <c r="CB36" i="51"/>
  <c r="CA36" i="51"/>
  <c r="BZ36" i="51"/>
  <c r="BY36" i="51"/>
  <c r="BX36" i="51"/>
  <c r="BW36" i="51"/>
  <c r="BV36" i="51"/>
  <c r="BU36" i="51"/>
  <c r="BT36" i="51"/>
  <c r="BS36" i="51"/>
  <c r="BR36" i="51"/>
  <c r="BQ36" i="51"/>
  <c r="BP36" i="51"/>
  <c r="BO36" i="51"/>
  <c r="BN36" i="51"/>
  <c r="BM36" i="51"/>
  <c r="BL36" i="51"/>
  <c r="BK36" i="51"/>
  <c r="BJ36" i="51"/>
  <c r="BI36" i="51"/>
  <c r="BH36" i="51"/>
  <c r="BG36" i="51"/>
  <c r="BF36" i="51"/>
  <c r="BE36" i="51"/>
  <c r="BD36" i="51"/>
  <c r="BC36" i="51"/>
  <c r="BB36" i="51"/>
  <c r="BA36" i="51"/>
  <c r="AZ36" i="51"/>
  <c r="AY36" i="51"/>
  <c r="AX36" i="51"/>
  <c r="AW36" i="51"/>
  <c r="AV36" i="51"/>
  <c r="AU36" i="51"/>
  <c r="AT36" i="51"/>
  <c r="AS36" i="51"/>
  <c r="AR36" i="51"/>
  <c r="AQ36" i="51"/>
  <c r="AP36" i="51"/>
  <c r="AO36" i="51"/>
  <c r="AN36" i="51"/>
  <c r="AM36" i="51"/>
  <c r="AL36" i="51"/>
  <c r="AK36" i="51"/>
  <c r="AJ36" i="51"/>
  <c r="AI36" i="51"/>
  <c r="AH36" i="51"/>
  <c r="AG36" i="51"/>
  <c r="AF36" i="51"/>
  <c r="AE36" i="51"/>
  <c r="AD36" i="51"/>
  <c r="AC36" i="51"/>
  <c r="AB36" i="51"/>
  <c r="AA36" i="51"/>
  <c r="Z36" i="51"/>
  <c r="Y36" i="51"/>
  <c r="X36" i="51"/>
  <c r="W36" i="51"/>
  <c r="V36" i="51"/>
  <c r="U36" i="51"/>
  <c r="T36" i="51"/>
  <c r="S36" i="51"/>
  <c r="R36" i="51"/>
  <c r="Q36" i="51"/>
  <c r="P36" i="51"/>
  <c r="O36" i="51"/>
  <c r="N36" i="51"/>
  <c r="M36" i="51"/>
  <c r="L36" i="51"/>
  <c r="K36" i="51"/>
  <c r="J36" i="51"/>
  <c r="I36" i="51"/>
  <c r="H36" i="51"/>
  <c r="G36" i="51"/>
  <c r="F36" i="51"/>
  <c r="IV35" i="51"/>
  <c r="IU35" i="51"/>
  <c r="IT35" i="51"/>
  <c r="IS35" i="51"/>
  <c r="IR35" i="51"/>
  <c r="IQ35" i="51"/>
  <c r="IP35" i="51"/>
  <c r="IO35" i="51"/>
  <c r="IN35" i="51"/>
  <c r="IM35" i="51"/>
  <c r="IL35" i="51"/>
  <c r="IK35" i="51"/>
  <c r="IJ35" i="51"/>
  <c r="II35" i="51"/>
  <c r="IH35" i="51"/>
  <c r="IG35" i="51"/>
  <c r="IF35" i="51"/>
  <c r="IE35" i="51"/>
  <c r="ID35" i="51"/>
  <c r="IC35" i="51"/>
  <c r="IB35" i="51"/>
  <c r="IA35" i="51"/>
  <c r="HZ35" i="51"/>
  <c r="HY35" i="51"/>
  <c r="HX35" i="51"/>
  <c r="HW35" i="51"/>
  <c r="HV35" i="51"/>
  <c r="HU35" i="51"/>
  <c r="HT35" i="51"/>
  <c r="HS35" i="51"/>
  <c r="HR35" i="51"/>
  <c r="HQ35" i="51"/>
  <c r="HP35" i="51"/>
  <c r="HO35" i="51"/>
  <c r="HN35" i="51"/>
  <c r="HM35" i="51"/>
  <c r="HL35" i="51"/>
  <c r="HK35" i="51"/>
  <c r="HJ35" i="51"/>
  <c r="HI35" i="51"/>
  <c r="HH35" i="51"/>
  <c r="HG35" i="51"/>
  <c r="HF35" i="51"/>
  <c r="HE35" i="51"/>
  <c r="HD35" i="51"/>
  <c r="HC35" i="51"/>
  <c r="HB35" i="51"/>
  <c r="HA35" i="51"/>
  <c r="GZ35" i="51"/>
  <c r="GY35" i="51"/>
  <c r="GX35" i="51"/>
  <c r="GW35" i="51"/>
  <c r="GV35" i="51"/>
  <c r="GU35" i="51"/>
  <c r="GT35" i="51"/>
  <c r="GS35" i="51"/>
  <c r="GR35" i="51"/>
  <c r="GQ35" i="51"/>
  <c r="GP35" i="51"/>
  <c r="GO35" i="51"/>
  <c r="GN35" i="51"/>
  <c r="GM35" i="51"/>
  <c r="GL35" i="51"/>
  <c r="GK35" i="51"/>
  <c r="GJ35" i="51"/>
  <c r="GI35" i="51"/>
  <c r="GH35" i="51"/>
  <c r="GG35" i="51"/>
  <c r="GF35" i="51"/>
  <c r="GE35" i="51"/>
  <c r="GD35" i="51"/>
  <c r="GC35" i="51"/>
  <c r="GB35" i="51"/>
  <c r="GA35" i="51"/>
  <c r="FZ35" i="51"/>
  <c r="FY35" i="51"/>
  <c r="FX35" i="51"/>
  <c r="FW35" i="51"/>
  <c r="FV35" i="51"/>
  <c r="FU35" i="51"/>
  <c r="FT35" i="51"/>
  <c r="FS35" i="51"/>
  <c r="FR35" i="51"/>
  <c r="FQ35" i="51"/>
  <c r="FP35" i="51"/>
  <c r="FO35" i="51"/>
  <c r="FN35" i="51"/>
  <c r="FM35" i="51"/>
  <c r="FL35" i="51"/>
  <c r="FK35" i="51"/>
  <c r="FJ35" i="51"/>
  <c r="FI35" i="51"/>
  <c r="FH35" i="51"/>
  <c r="FG35" i="51"/>
  <c r="FF35" i="51"/>
  <c r="FE35" i="51"/>
  <c r="FD35" i="51"/>
  <c r="FC35" i="51"/>
  <c r="FB35" i="51"/>
  <c r="FA35" i="51"/>
  <c r="EZ35" i="51"/>
  <c r="EY35" i="51"/>
  <c r="EX35" i="51"/>
  <c r="EW35" i="51"/>
  <c r="EV35" i="51"/>
  <c r="EU35" i="51"/>
  <c r="ET35" i="51"/>
  <c r="ES35" i="51"/>
  <c r="ER35" i="51"/>
  <c r="EQ35" i="51"/>
  <c r="EP35" i="51"/>
  <c r="EO35" i="51"/>
  <c r="EN35" i="51"/>
  <c r="EM35" i="51"/>
  <c r="EL35" i="51"/>
  <c r="EK35" i="51"/>
  <c r="EJ35" i="51"/>
  <c r="EI35" i="51"/>
  <c r="EH35" i="51"/>
  <c r="EG35" i="51"/>
  <c r="EF35" i="51"/>
  <c r="EE35" i="51"/>
  <c r="ED35" i="51"/>
  <c r="EC35" i="51"/>
  <c r="EB35" i="51"/>
  <c r="EA35" i="51"/>
  <c r="DZ35" i="51"/>
  <c r="DY35" i="51"/>
  <c r="DX35" i="51"/>
  <c r="DW35" i="51"/>
  <c r="DV35" i="51"/>
  <c r="DU35" i="51"/>
  <c r="DT35" i="51"/>
  <c r="DS35" i="51"/>
  <c r="DR35" i="51"/>
  <c r="DQ35" i="51"/>
  <c r="DP35" i="51"/>
  <c r="DO35" i="51"/>
  <c r="DN35" i="51"/>
  <c r="DM35" i="51"/>
  <c r="DL35" i="51"/>
  <c r="DK35" i="51"/>
  <c r="DJ35" i="51"/>
  <c r="DI35" i="51"/>
  <c r="DH35" i="51"/>
  <c r="DG35" i="51"/>
  <c r="DF35" i="51"/>
  <c r="DE35" i="51"/>
  <c r="DD35" i="51"/>
  <c r="DC35" i="51"/>
  <c r="DB35" i="51"/>
  <c r="DA35" i="51"/>
  <c r="CZ35" i="51"/>
  <c r="CY35" i="51"/>
  <c r="CX35" i="51"/>
  <c r="CW35" i="51"/>
  <c r="CV35" i="51"/>
  <c r="CU35" i="51"/>
  <c r="CT35" i="51"/>
  <c r="CS35" i="51"/>
  <c r="CR35" i="51"/>
  <c r="CQ35" i="51"/>
  <c r="CP35" i="51"/>
  <c r="CO35" i="51"/>
  <c r="CN35" i="51"/>
  <c r="CM35" i="51"/>
  <c r="CL35" i="51"/>
  <c r="CK35" i="51"/>
  <c r="CJ35" i="51"/>
  <c r="CI35" i="51"/>
  <c r="CH35" i="51"/>
  <c r="CG35" i="51"/>
  <c r="CF35" i="51"/>
  <c r="CE35" i="51"/>
  <c r="CD35" i="51"/>
  <c r="CC35" i="51"/>
  <c r="CB35" i="51"/>
  <c r="CA35" i="51"/>
  <c r="BZ35" i="51"/>
  <c r="BY35" i="51"/>
  <c r="BX35" i="51"/>
  <c r="BW35" i="51"/>
  <c r="BV35" i="51"/>
  <c r="BU35" i="51"/>
  <c r="BT35" i="51"/>
  <c r="BS35" i="51"/>
  <c r="BR35" i="51"/>
  <c r="BQ35" i="51"/>
  <c r="BP35" i="51"/>
  <c r="BO35" i="51"/>
  <c r="BN35" i="51"/>
  <c r="BM35" i="51"/>
  <c r="BL35" i="51"/>
  <c r="BK35" i="51"/>
  <c r="BJ35" i="51"/>
  <c r="BI35" i="51"/>
  <c r="BH35" i="51"/>
  <c r="BG35" i="51"/>
  <c r="BF35" i="51"/>
  <c r="BE35" i="51"/>
  <c r="BD35" i="51"/>
  <c r="BC35" i="51"/>
  <c r="BB35" i="51"/>
  <c r="BA35" i="51"/>
  <c r="AZ35" i="51"/>
  <c r="AY35" i="51"/>
  <c r="AX35" i="51"/>
  <c r="AW35" i="51"/>
  <c r="AV35" i="51"/>
  <c r="AU35" i="51"/>
  <c r="AT35" i="51"/>
  <c r="AS35" i="51"/>
  <c r="AR35" i="51"/>
  <c r="AQ35" i="51"/>
  <c r="AP35" i="51"/>
  <c r="AO35" i="51"/>
  <c r="AN35" i="51"/>
  <c r="AM35" i="51"/>
  <c r="AL35" i="51"/>
  <c r="AK35" i="51"/>
  <c r="AJ35" i="51"/>
  <c r="AI35" i="51"/>
  <c r="AH35" i="51"/>
  <c r="AG35" i="51"/>
  <c r="AF35" i="51"/>
  <c r="AE35" i="51"/>
  <c r="AD35" i="51"/>
  <c r="AC35" i="51"/>
  <c r="AB35" i="51"/>
  <c r="AA35" i="51"/>
  <c r="Z35" i="51"/>
  <c r="Y35" i="51"/>
  <c r="X35" i="51"/>
  <c r="W35" i="51"/>
  <c r="V35" i="51"/>
  <c r="U35" i="51"/>
  <c r="T35" i="51"/>
  <c r="S35" i="51"/>
  <c r="R35" i="51"/>
  <c r="Q35" i="51"/>
  <c r="P35" i="51"/>
  <c r="O35" i="51"/>
  <c r="N35" i="51"/>
  <c r="M35" i="51"/>
  <c r="L35" i="51"/>
  <c r="K35" i="51"/>
  <c r="J35" i="51"/>
  <c r="I35" i="51"/>
  <c r="H35" i="51"/>
  <c r="G35" i="51"/>
  <c r="F35" i="51"/>
  <c r="IV34" i="51"/>
  <c r="IU34" i="51"/>
  <c r="IT34" i="51"/>
  <c r="IS34" i="51"/>
  <c r="IR34" i="51"/>
  <c r="IQ34" i="51"/>
  <c r="IP34" i="51"/>
  <c r="IO34" i="51"/>
  <c r="IN34" i="51"/>
  <c r="IM34" i="51"/>
  <c r="IL34" i="51"/>
  <c r="IK34" i="51"/>
  <c r="IJ34" i="51"/>
  <c r="II34" i="51"/>
  <c r="IH34" i="51"/>
  <c r="IG34" i="51"/>
  <c r="IF34" i="51"/>
  <c r="IE34" i="51"/>
  <c r="ID34" i="51"/>
  <c r="IC34" i="51"/>
  <c r="IB34" i="51"/>
  <c r="IA34" i="51"/>
  <c r="HZ34" i="51"/>
  <c r="HY34" i="51"/>
  <c r="HX34" i="51"/>
  <c r="HW34" i="51"/>
  <c r="HV34" i="51"/>
  <c r="HU34" i="51"/>
  <c r="HT34" i="51"/>
  <c r="HS34" i="51"/>
  <c r="HR34" i="51"/>
  <c r="HQ34" i="51"/>
  <c r="HP34" i="51"/>
  <c r="HO34" i="51"/>
  <c r="HN34" i="51"/>
  <c r="HM34" i="51"/>
  <c r="HL34" i="51"/>
  <c r="HK34" i="51"/>
  <c r="HJ34" i="51"/>
  <c r="HI34" i="51"/>
  <c r="HH34" i="51"/>
  <c r="HG34" i="51"/>
  <c r="HF34" i="51"/>
  <c r="HE34" i="51"/>
  <c r="HD34" i="51"/>
  <c r="HC34" i="51"/>
  <c r="HB34" i="51"/>
  <c r="HA34" i="51"/>
  <c r="GZ34" i="51"/>
  <c r="GY34" i="51"/>
  <c r="GX34" i="51"/>
  <c r="GW34" i="51"/>
  <c r="GV34" i="51"/>
  <c r="GU34" i="51"/>
  <c r="GT34" i="51"/>
  <c r="GS34" i="51"/>
  <c r="GR34" i="51"/>
  <c r="GQ34" i="51"/>
  <c r="GP34" i="51"/>
  <c r="GO34" i="51"/>
  <c r="GN34" i="51"/>
  <c r="GM34" i="51"/>
  <c r="GL34" i="51"/>
  <c r="GK34" i="51"/>
  <c r="GJ34" i="51"/>
  <c r="GI34" i="51"/>
  <c r="GH34" i="51"/>
  <c r="GG34" i="51"/>
  <c r="GF34" i="51"/>
  <c r="GE34" i="51"/>
  <c r="GD34" i="51"/>
  <c r="GC34" i="51"/>
  <c r="GB34" i="51"/>
  <c r="GA34" i="51"/>
  <c r="FZ34" i="51"/>
  <c r="FY34" i="51"/>
  <c r="FX34" i="51"/>
  <c r="FW34" i="51"/>
  <c r="FV34" i="51"/>
  <c r="FU34" i="51"/>
  <c r="FT34" i="51"/>
  <c r="FS34" i="51"/>
  <c r="FR34" i="51"/>
  <c r="FQ34" i="51"/>
  <c r="FP34" i="51"/>
  <c r="FO34" i="51"/>
  <c r="FN34" i="51"/>
  <c r="FM34" i="51"/>
  <c r="FL34" i="51"/>
  <c r="FK34" i="51"/>
  <c r="FJ34" i="51"/>
  <c r="FI34" i="51"/>
  <c r="FH34" i="51"/>
  <c r="FG34" i="51"/>
  <c r="FF34" i="51"/>
  <c r="FE34" i="51"/>
  <c r="FD34" i="51"/>
  <c r="FC34" i="51"/>
  <c r="FB34" i="51"/>
  <c r="FA34" i="51"/>
  <c r="EZ34" i="51"/>
  <c r="EY34" i="51"/>
  <c r="EX34" i="51"/>
  <c r="EW34" i="51"/>
  <c r="EV34" i="51"/>
  <c r="EU34" i="51"/>
  <c r="ET34" i="51"/>
  <c r="ES34" i="51"/>
  <c r="ER34" i="51"/>
  <c r="EQ34" i="51"/>
  <c r="EP34" i="51"/>
  <c r="EO34" i="51"/>
  <c r="EN34" i="51"/>
  <c r="EM34" i="51"/>
  <c r="EL34" i="51"/>
  <c r="EK34" i="51"/>
  <c r="EJ34" i="51"/>
  <c r="EI34" i="51"/>
  <c r="EH34" i="51"/>
  <c r="EG34" i="51"/>
  <c r="EF34" i="51"/>
  <c r="EE34" i="51"/>
  <c r="ED34" i="51"/>
  <c r="EC34" i="51"/>
  <c r="EB34" i="51"/>
  <c r="EA34" i="51"/>
  <c r="DZ34" i="51"/>
  <c r="DY34" i="51"/>
  <c r="DX34" i="51"/>
  <c r="DW34" i="51"/>
  <c r="DV34" i="51"/>
  <c r="DU34" i="51"/>
  <c r="DT34" i="51"/>
  <c r="DS34" i="51"/>
  <c r="DR34" i="51"/>
  <c r="DQ34" i="51"/>
  <c r="DP34" i="51"/>
  <c r="DO34" i="51"/>
  <c r="DN34" i="51"/>
  <c r="DM34" i="51"/>
  <c r="DL34" i="51"/>
  <c r="DK34" i="51"/>
  <c r="DJ34" i="51"/>
  <c r="DI34" i="51"/>
  <c r="DH34" i="51"/>
  <c r="DG34" i="51"/>
  <c r="DF34" i="51"/>
  <c r="DE34" i="51"/>
  <c r="DD34" i="51"/>
  <c r="DC34" i="51"/>
  <c r="DB34" i="51"/>
  <c r="DA34" i="51"/>
  <c r="CZ34" i="51"/>
  <c r="CY34" i="51"/>
  <c r="CX34" i="51"/>
  <c r="CW34" i="51"/>
  <c r="CV34" i="51"/>
  <c r="CU34" i="51"/>
  <c r="CT34" i="51"/>
  <c r="CS34" i="51"/>
  <c r="CR34" i="51"/>
  <c r="CQ34" i="51"/>
  <c r="CP34" i="51"/>
  <c r="CO34" i="51"/>
  <c r="CN34" i="51"/>
  <c r="CM34" i="51"/>
  <c r="CL34" i="51"/>
  <c r="CK34" i="51"/>
  <c r="CJ34" i="51"/>
  <c r="CI34" i="51"/>
  <c r="CH34" i="51"/>
  <c r="CG34" i="51"/>
  <c r="CF34" i="51"/>
  <c r="CE34" i="51"/>
  <c r="CD34" i="51"/>
  <c r="CC34" i="51"/>
  <c r="CB34" i="51"/>
  <c r="CA34" i="51"/>
  <c r="BZ34" i="51"/>
  <c r="BY34" i="51"/>
  <c r="BX34" i="51"/>
  <c r="BW34" i="51"/>
  <c r="BV34" i="51"/>
  <c r="BU34" i="51"/>
  <c r="BT34" i="51"/>
  <c r="BS34" i="51"/>
  <c r="BR34" i="51"/>
  <c r="BQ34" i="51"/>
  <c r="BP34" i="51"/>
  <c r="BO34" i="51"/>
  <c r="BN34" i="51"/>
  <c r="BM34" i="51"/>
  <c r="BL34" i="51"/>
  <c r="BK34" i="51"/>
  <c r="BJ34" i="51"/>
  <c r="BI34" i="51"/>
  <c r="BH34" i="51"/>
  <c r="BG34" i="51"/>
  <c r="BF34" i="51"/>
  <c r="BE34" i="51"/>
  <c r="BD34" i="51"/>
  <c r="BC34" i="51"/>
  <c r="BB34" i="51"/>
  <c r="BA34" i="51"/>
  <c r="AZ34" i="51"/>
  <c r="AY34" i="51"/>
  <c r="AX34" i="51"/>
  <c r="AW34" i="51"/>
  <c r="AV34" i="51"/>
  <c r="AU34" i="51"/>
  <c r="AT34" i="51"/>
  <c r="AS34" i="51"/>
  <c r="AR34" i="51"/>
  <c r="AQ34" i="51"/>
  <c r="AP34" i="51"/>
  <c r="AO34" i="51"/>
  <c r="AN34" i="51"/>
  <c r="AM34" i="51"/>
  <c r="AL34" i="51"/>
  <c r="AK34" i="51"/>
  <c r="AJ34" i="51"/>
  <c r="AI34" i="51"/>
  <c r="AH34" i="51"/>
  <c r="AG34" i="51"/>
  <c r="AF34" i="51"/>
  <c r="AE34" i="51"/>
  <c r="AD34" i="51"/>
  <c r="AC34" i="51"/>
  <c r="AB34" i="51"/>
  <c r="AA34" i="51"/>
  <c r="Z34" i="51"/>
  <c r="Y34" i="51"/>
  <c r="X34" i="51"/>
  <c r="W34" i="51"/>
  <c r="V34" i="51"/>
  <c r="U34" i="51"/>
  <c r="T34" i="51"/>
  <c r="S34" i="51"/>
  <c r="R34" i="51"/>
  <c r="Q34" i="51"/>
  <c r="P34" i="51"/>
  <c r="O34" i="51"/>
  <c r="N34" i="51"/>
  <c r="M34" i="51"/>
  <c r="L34" i="51"/>
  <c r="K34" i="51"/>
  <c r="J34" i="51"/>
  <c r="I34" i="51"/>
  <c r="H34" i="51"/>
  <c r="G34" i="51"/>
  <c r="F34" i="51"/>
  <c r="IV33" i="51"/>
  <c r="IU33" i="51"/>
  <c r="IT33" i="51"/>
  <c r="IS33" i="51"/>
  <c r="IR33" i="51"/>
  <c r="IQ33" i="51"/>
  <c r="IP33" i="51"/>
  <c r="IO33" i="51"/>
  <c r="IN33" i="51"/>
  <c r="IM33" i="51"/>
  <c r="IL33" i="51"/>
  <c r="IK33" i="51"/>
  <c r="IJ33" i="51"/>
  <c r="II33" i="51"/>
  <c r="IH33" i="51"/>
  <c r="IG33" i="51"/>
  <c r="IF33" i="51"/>
  <c r="IE33" i="51"/>
  <c r="ID33" i="51"/>
  <c r="IC33" i="51"/>
  <c r="IB33" i="51"/>
  <c r="IA33" i="51"/>
  <c r="HZ33" i="51"/>
  <c r="HY33" i="51"/>
  <c r="HX33" i="51"/>
  <c r="HW33" i="51"/>
  <c r="HV33" i="51"/>
  <c r="HU33" i="51"/>
  <c r="HT33" i="51"/>
  <c r="HS33" i="51"/>
  <c r="HR33" i="51"/>
  <c r="HQ33" i="51"/>
  <c r="HP33" i="51"/>
  <c r="HO33" i="51"/>
  <c r="HN33" i="51"/>
  <c r="HM33" i="51"/>
  <c r="HL33" i="51"/>
  <c r="HK33" i="51"/>
  <c r="HJ33" i="51"/>
  <c r="HI33" i="51"/>
  <c r="HH33" i="51"/>
  <c r="HG33" i="51"/>
  <c r="HF33" i="51"/>
  <c r="HE33" i="51"/>
  <c r="HD33" i="51"/>
  <c r="HC33" i="51"/>
  <c r="HB33" i="51"/>
  <c r="HA33" i="51"/>
  <c r="GZ33" i="51"/>
  <c r="GY33" i="51"/>
  <c r="GX33" i="51"/>
  <c r="GW33" i="51"/>
  <c r="GV33" i="51"/>
  <c r="GU33" i="51"/>
  <c r="GT33" i="51"/>
  <c r="GS33" i="51"/>
  <c r="GR33" i="51"/>
  <c r="GQ33" i="51"/>
  <c r="GP33" i="51"/>
  <c r="GO33" i="51"/>
  <c r="GN33" i="51"/>
  <c r="GM33" i="51"/>
  <c r="GL33" i="51"/>
  <c r="GK33" i="51"/>
  <c r="GJ33" i="51"/>
  <c r="GI33" i="51"/>
  <c r="GH33" i="51"/>
  <c r="GG33" i="51"/>
  <c r="GF33" i="51"/>
  <c r="GE33" i="51"/>
  <c r="GD33" i="51"/>
  <c r="GC33" i="51"/>
  <c r="GB33" i="51"/>
  <c r="GA33" i="51"/>
  <c r="FZ33" i="51"/>
  <c r="FY33" i="51"/>
  <c r="FX33" i="51"/>
  <c r="FW33" i="51"/>
  <c r="FV33" i="51"/>
  <c r="FU33" i="51"/>
  <c r="FT33" i="51"/>
  <c r="FS33" i="51"/>
  <c r="FR33" i="51"/>
  <c r="FQ33" i="51"/>
  <c r="FP33" i="51"/>
  <c r="FO33" i="51"/>
  <c r="FN33" i="51"/>
  <c r="FM33" i="51"/>
  <c r="FL33" i="51"/>
  <c r="FK33" i="51"/>
  <c r="FJ33" i="51"/>
  <c r="FI33" i="51"/>
  <c r="FH33" i="51"/>
  <c r="FG33" i="51"/>
  <c r="FF33" i="51"/>
  <c r="FE33" i="51"/>
  <c r="FD33" i="51"/>
  <c r="FC33" i="51"/>
  <c r="FB33" i="51"/>
  <c r="FA33" i="51"/>
  <c r="EZ33" i="51"/>
  <c r="EY33" i="51"/>
  <c r="EX33" i="51"/>
  <c r="EW33" i="51"/>
  <c r="EV33" i="51"/>
  <c r="EU33" i="51"/>
  <c r="ET33" i="51"/>
  <c r="ES33" i="51"/>
  <c r="ER33" i="51"/>
  <c r="EQ33" i="51"/>
  <c r="EP33" i="51"/>
  <c r="EO33" i="51"/>
  <c r="EN33" i="51"/>
  <c r="EM33" i="51"/>
  <c r="EL33" i="51"/>
  <c r="EK33" i="51"/>
  <c r="EJ33" i="51"/>
  <c r="EI33" i="51"/>
  <c r="EH33" i="51"/>
  <c r="EG33" i="51"/>
  <c r="EF33" i="51"/>
  <c r="EE33" i="51"/>
  <c r="ED33" i="51"/>
  <c r="EC33" i="51"/>
  <c r="EB33" i="51"/>
  <c r="EA33" i="51"/>
  <c r="DZ33" i="51"/>
  <c r="DY33" i="51"/>
  <c r="DX33" i="51"/>
  <c r="DW33" i="51"/>
  <c r="DV33" i="51"/>
  <c r="DU33" i="51"/>
  <c r="DT33" i="51"/>
  <c r="DS33" i="51"/>
  <c r="DR33" i="51"/>
  <c r="DQ33" i="51"/>
  <c r="DP33" i="51"/>
  <c r="DO33" i="51"/>
  <c r="DN33" i="51"/>
  <c r="DM33" i="51"/>
  <c r="DL33" i="51"/>
  <c r="DK33" i="51"/>
  <c r="DJ33" i="51"/>
  <c r="DI33" i="51"/>
  <c r="DH33" i="51"/>
  <c r="DG33" i="51"/>
  <c r="DF33" i="51"/>
  <c r="DE33" i="51"/>
  <c r="DD33" i="51"/>
  <c r="DC33" i="51"/>
  <c r="DB33" i="51"/>
  <c r="DA33" i="51"/>
  <c r="CZ33" i="51"/>
  <c r="CY33" i="51"/>
  <c r="CX33" i="51"/>
  <c r="CW33" i="51"/>
  <c r="CV33" i="51"/>
  <c r="CU33" i="51"/>
  <c r="CT33" i="51"/>
  <c r="CS33" i="51"/>
  <c r="CR33" i="51"/>
  <c r="CQ33" i="51"/>
  <c r="CP33" i="51"/>
  <c r="CO33" i="51"/>
  <c r="CN33" i="51"/>
  <c r="CM33" i="51"/>
  <c r="CL33" i="51"/>
  <c r="CK33" i="51"/>
  <c r="CJ33" i="51"/>
  <c r="CI33" i="51"/>
  <c r="CH33" i="51"/>
  <c r="CG33" i="51"/>
  <c r="CF33" i="51"/>
  <c r="CE33" i="51"/>
  <c r="CD33" i="51"/>
  <c r="CC33" i="51"/>
  <c r="CB33" i="51"/>
  <c r="CA33" i="51"/>
  <c r="BZ33" i="51"/>
  <c r="BY33" i="51"/>
  <c r="BX33" i="51"/>
  <c r="BW33" i="51"/>
  <c r="BV33" i="51"/>
  <c r="BU33" i="51"/>
  <c r="BT33" i="51"/>
  <c r="BS33" i="51"/>
  <c r="BR33" i="51"/>
  <c r="BQ33" i="51"/>
  <c r="BP33" i="51"/>
  <c r="BO33" i="51"/>
  <c r="BN33" i="51"/>
  <c r="BM33" i="51"/>
  <c r="BL33" i="51"/>
  <c r="BK33" i="51"/>
  <c r="BJ33" i="51"/>
  <c r="BI33" i="51"/>
  <c r="BH33" i="51"/>
  <c r="BG33" i="51"/>
  <c r="BF33" i="51"/>
  <c r="BE33" i="51"/>
  <c r="BD33" i="51"/>
  <c r="BC33" i="51"/>
  <c r="BB33" i="51"/>
  <c r="BA33" i="51"/>
  <c r="AZ33" i="51"/>
  <c r="AY33" i="51"/>
  <c r="AX33" i="51"/>
  <c r="AW33" i="51"/>
  <c r="AV33" i="51"/>
  <c r="AU33" i="51"/>
  <c r="AT33" i="51"/>
  <c r="AS33" i="51"/>
  <c r="AR33" i="51"/>
  <c r="AQ33" i="51"/>
  <c r="AP33" i="51"/>
  <c r="AO33" i="51"/>
  <c r="AN33" i="51"/>
  <c r="AM33" i="51"/>
  <c r="AL33" i="51"/>
  <c r="AK33" i="51"/>
  <c r="AJ33" i="51"/>
  <c r="AI33" i="51"/>
  <c r="AH33" i="51"/>
  <c r="AG33" i="51"/>
  <c r="AF33" i="51"/>
  <c r="AE33" i="51"/>
  <c r="AD33" i="51"/>
  <c r="AC33" i="51"/>
  <c r="AB33" i="51"/>
  <c r="AA33" i="51"/>
  <c r="Z33" i="51"/>
  <c r="Y33" i="51"/>
  <c r="X33" i="51"/>
  <c r="W33" i="51"/>
  <c r="V33" i="51"/>
  <c r="U33" i="51"/>
  <c r="T33" i="51"/>
  <c r="S33" i="51"/>
  <c r="R33" i="51"/>
  <c r="Q33" i="51"/>
  <c r="P33" i="51"/>
  <c r="O33" i="51"/>
  <c r="N33" i="51"/>
  <c r="M33" i="51"/>
  <c r="L33" i="51"/>
  <c r="K33" i="51"/>
  <c r="J33" i="51"/>
  <c r="I33" i="51"/>
  <c r="H33" i="51"/>
  <c r="G33" i="51"/>
  <c r="F33" i="51"/>
  <c r="IV32" i="51"/>
  <c r="IU32" i="51"/>
  <c r="IT32" i="51"/>
  <c r="IS32" i="51"/>
  <c r="IR32" i="51"/>
  <c r="IQ32" i="51"/>
  <c r="IP32" i="51"/>
  <c r="IO32" i="51"/>
  <c r="IN32" i="51"/>
  <c r="IM32" i="51"/>
  <c r="IL32" i="51"/>
  <c r="IK32" i="51"/>
  <c r="IJ32" i="51"/>
  <c r="II32" i="51"/>
  <c r="IH32" i="51"/>
  <c r="IG32" i="51"/>
  <c r="IF32" i="51"/>
  <c r="IE32" i="51"/>
  <c r="ID32" i="51"/>
  <c r="IC32" i="51"/>
  <c r="IB32" i="51"/>
  <c r="IA32" i="51"/>
  <c r="HZ32" i="51"/>
  <c r="HY32" i="51"/>
  <c r="HX32" i="51"/>
  <c r="HW32" i="51"/>
  <c r="HV32" i="51"/>
  <c r="HU32" i="51"/>
  <c r="HT32" i="51"/>
  <c r="HS32" i="51"/>
  <c r="HR32" i="51"/>
  <c r="HQ32" i="51"/>
  <c r="HP32" i="51"/>
  <c r="HO32" i="51"/>
  <c r="HN32" i="51"/>
  <c r="HM32" i="51"/>
  <c r="HL32" i="51"/>
  <c r="HK32" i="51"/>
  <c r="HJ32" i="51"/>
  <c r="HI32" i="51"/>
  <c r="HH32" i="51"/>
  <c r="HG32" i="51"/>
  <c r="HF32" i="51"/>
  <c r="HE32" i="51"/>
  <c r="HD32" i="51"/>
  <c r="HC32" i="51"/>
  <c r="HB32" i="51"/>
  <c r="HA32" i="51"/>
  <c r="GZ32" i="51"/>
  <c r="GY32" i="51"/>
  <c r="GX32" i="51"/>
  <c r="GW32" i="51"/>
  <c r="GV32" i="51"/>
  <c r="GU32" i="51"/>
  <c r="GT32" i="51"/>
  <c r="GS32" i="51"/>
  <c r="GR32" i="51"/>
  <c r="GQ32" i="51"/>
  <c r="GP32" i="51"/>
  <c r="GO32" i="51"/>
  <c r="GN32" i="51"/>
  <c r="GM32" i="51"/>
  <c r="GL32" i="51"/>
  <c r="GK32" i="51"/>
  <c r="GJ32" i="51"/>
  <c r="GI32" i="51"/>
  <c r="GH32" i="51"/>
  <c r="GG32" i="51"/>
  <c r="GF32" i="51"/>
  <c r="GE32" i="51"/>
  <c r="GD32" i="51"/>
  <c r="GC32" i="51"/>
  <c r="GB32" i="51"/>
  <c r="GA32" i="51"/>
  <c r="FZ32" i="51"/>
  <c r="FY32" i="51"/>
  <c r="FX32" i="51"/>
  <c r="FW32" i="51"/>
  <c r="FV32" i="51"/>
  <c r="FU32" i="51"/>
  <c r="FT32" i="51"/>
  <c r="FS32" i="51"/>
  <c r="FR32" i="51"/>
  <c r="FQ32" i="51"/>
  <c r="FP32" i="51"/>
  <c r="FO32" i="51"/>
  <c r="FN32" i="51"/>
  <c r="FM32" i="51"/>
  <c r="FL32" i="51"/>
  <c r="FK32" i="51"/>
  <c r="FJ32" i="51"/>
  <c r="FI32" i="51"/>
  <c r="FH32" i="51"/>
  <c r="FG32" i="51"/>
  <c r="FF32" i="51"/>
  <c r="FE32" i="51"/>
  <c r="FD32" i="51"/>
  <c r="FC32" i="51"/>
  <c r="FB32" i="51"/>
  <c r="FA32" i="51"/>
  <c r="EZ32" i="51"/>
  <c r="EY32" i="51"/>
  <c r="EX32" i="51"/>
  <c r="EW32" i="51"/>
  <c r="EV32" i="51"/>
  <c r="EU32" i="51"/>
  <c r="ET32" i="51"/>
  <c r="ES32" i="51"/>
  <c r="ER32" i="51"/>
  <c r="EQ32" i="51"/>
  <c r="EP32" i="51"/>
  <c r="EO32" i="51"/>
  <c r="EN32" i="51"/>
  <c r="EM32" i="51"/>
  <c r="EL32" i="51"/>
  <c r="EK32" i="51"/>
  <c r="EJ32" i="51"/>
  <c r="EI32" i="51"/>
  <c r="EH32" i="51"/>
  <c r="EG32" i="51"/>
  <c r="EF32" i="51"/>
  <c r="EE32" i="51"/>
  <c r="ED32" i="51"/>
  <c r="EC32" i="51"/>
  <c r="EB32" i="51"/>
  <c r="EA32" i="51"/>
  <c r="DZ32" i="51"/>
  <c r="DY32" i="51"/>
  <c r="DX32" i="51"/>
  <c r="DW32" i="51"/>
  <c r="DV32" i="51"/>
  <c r="DU32" i="51"/>
  <c r="DT32" i="51"/>
  <c r="DS32" i="51"/>
  <c r="DR32" i="51"/>
  <c r="DQ32" i="51"/>
  <c r="DP32" i="51"/>
  <c r="DO32" i="51"/>
  <c r="DN32" i="51"/>
  <c r="DM32" i="51"/>
  <c r="DL32" i="51"/>
  <c r="DK32" i="51"/>
  <c r="DJ32" i="51"/>
  <c r="DI32" i="51"/>
  <c r="DH32" i="51"/>
  <c r="DG32" i="51"/>
  <c r="DF32" i="51"/>
  <c r="DE32" i="51"/>
  <c r="DD32" i="51"/>
  <c r="DC32" i="51"/>
  <c r="DB32" i="51"/>
  <c r="DA32" i="51"/>
  <c r="CZ32" i="51"/>
  <c r="CY32" i="51"/>
  <c r="CX32" i="51"/>
  <c r="CW32" i="51"/>
  <c r="CV32" i="51"/>
  <c r="CU32" i="51"/>
  <c r="CT32" i="51"/>
  <c r="CS32" i="51"/>
  <c r="CR32" i="51"/>
  <c r="CQ32" i="51"/>
  <c r="CP32" i="51"/>
  <c r="CO32" i="51"/>
  <c r="CN32" i="51"/>
  <c r="CM32" i="51"/>
  <c r="CL32" i="51"/>
  <c r="CK32" i="51"/>
  <c r="CJ32" i="51"/>
  <c r="CI32" i="51"/>
  <c r="CH32" i="51"/>
  <c r="CG32" i="51"/>
  <c r="CF32" i="51"/>
  <c r="CE32" i="51"/>
  <c r="CD32" i="51"/>
  <c r="CC32" i="51"/>
  <c r="CB32" i="51"/>
  <c r="CA32" i="51"/>
  <c r="BZ32" i="51"/>
  <c r="BY32" i="51"/>
  <c r="BX32" i="51"/>
  <c r="BW32" i="51"/>
  <c r="BV32" i="51"/>
  <c r="BU32" i="51"/>
  <c r="BT32" i="51"/>
  <c r="BS32" i="51"/>
  <c r="BR32" i="51"/>
  <c r="BQ32" i="51"/>
  <c r="BP32" i="51"/>
  <c r="BO32" i="51"/>
  <c r="BN32" i="51"/>
  <c r="BM32" i="51"/>
  <c r="BL32" i="51"/>
  <c r="BK32" i="51"/>
  <c r="BJ32" i="51"/>
  <c r="BI32" i="51"/>
  <c r="BH32" i="51"/>
  <c r="BG32" i="51"/>
  <c r="BF32" i="51"/>
  <c r="BE32" i="51"/>
  <c r="BD32" i="51"/>
  <c r="BC32" i="51"/>
  <c r="BB32" i="51"/>
  <c r="BA32" i="51"/>
  <c r="AZ32" i="51"/>
  <c r="AY32" i="51"/>
  <c r="AX32" i="51"/>
  <c r="AW32" i="51"/>
  <c r="AV32" i="51"/>
  <c r="AU32" i="51"/>
  <c r="AT32" i="51"/>
  <c r="AS32" i="51"/>
  <c r="AR32" i="51"/>
  <c r="AQ32" i="51"/>
  <c r="AP32" i="51"/>
  <c r="AO32" i="51"/>
  <c r="AN32" i="51"/>
  <c r="AM32" i="51"/>
  <c r="AL32" i="51"/>
  <c r="AK32" i="51"/>
  <c r="AJ32" i="51"/>
  <c r="AI32" i="51"/>
  <c r="AH32" i="51"/>
  <c r="AG32" i="51"/>
  <c r="AF32" i="51"/>
  <c r="AE32" i="51"/>
  <c r="AD32" i="51"/>
  <c r="AC32" i="51"/>
  <c r="AB32" i="51"/>
  <c r="AA32" i="51"/>
  <c r="Z32" i="51"/>
  <c r="Y32" i="51"/>
  <c r="X32" i="51"/>
  <c r="W32" i="51"/>
  <c r="V32" i="51"/>
  <c r="U32" i="51"/>
  <c r="T32" i="51"/>
  <c r="S32" i="51"/>
  <c r="R32" i="51"/>
  <c r="Q32" i="51"/>
  <c r="P32" i="51"/>
  <c r="O32" i="51"/>
  <c r="N32" i="51"/>
  <c r="M32" i="51"/>
  <c r="L32" i="51"/>
  <c r="K32" i="51"/>
  <c r="J32" i="51"/>
  <c r="I32" i="51"/>
  <c r="H32" i="51"/>
  <c r="G32" i="51"/>
  <c r="F32" i="51"/>
  <c r="IV31" i="51"/>
  <c r="IU31" i="51"/>
  <c r="IT31" i="51"/>
  <c r="IS31" i="51"/>
  <c r="IR31" i="51"/>
  <c r="IQ31" i="51"/>
  <c r="IP31" i="51"/>
  <c r="IO31" i="51"/>
  <c r="IN31" i="51"/>
  <c r="IM31" i="51"/>
  <c r="IL31" i="51"/>
  <c r="IK31" i="51"/>
  <c r="IJ31" i="51"/>
  <c r="II31" i="51"/>
  <c r="IH31" i="51"/>
  <c r="IG31" i="51"/>
  <c r="IF31" i="51"/>
  <c r="IE31" i="51"/>
  <c r="ID31" i="51"/>
  <c r="IC31" i="51"/>
  <c r="IB31" i="51"/>
  <c r="IA31" i="51"/>
  <c r="HZ31" i="51"/>
  <c r="HY31" i="51"/>
  <c r="HX31" i="51"/>
  <c r="HW31" i="51"/>
  <c r="HV31" i="51"/>
  <c r="HU31" i="51"/>
  <c r="HT31" i="51"/>
  <c r="HS31" i="51"/>
  <c r="HR31" i="51"/>
  <c r="HQ31" i="51"/>
  <c r="HP31" i="51"/>
  <c r="HO31" i="51"/>
  <c r="HN31" i="51"/>
  <c r="HM31" i="51"/>
  <c r="HL31" i="51"/>
  <c r="HK31" i="51"/>
  <c r="HJ31" i="51"/>
  <c r="HI31" i="51"/>
  <c r="HH31" i="51"/>
  <c r="HG31" i="51"/>
  <c r="HF31" i="51"/>
  <c r="HE31" i="51"/>
  <c r="HD31" i="51"/>
  <c r="HC31" i="51"/>
  <c r="HB31" i="51"/>
  <c r="HA31" i="51"/>
  <c r="GZ31" i="51"/>
  <c r="GY31" i="51"/>
  <c r="GX31" i="51"/>
  <c r="GW31" i="51"/>
  <c r="GV31" i="51"/>
  <c r="GU31" i="51"/>
  <c r="GT31" i="51"/>
  <c r="GS31" i="51"/>
  <c r="GR31" i="51"/>
  <c r="GQ31" i="51"/>
  <c r="GP31" i="51"/>
  <c r="GO31" i="51"/>
  <c r="GN31" i="51"/>
  <c r="GM31" i="51"/>
  <c r="GL31" i="51"/>
  <c r="GK31" i="51"/>
  <c r="GJ31" i="51"/>
  <c r="GI31" i="51"/>
  <c r="GH31" i="51"/>
  <c r="GG31" i="51"/>
  <c r="GF31" i="51"/>
  <c r="GE31" i="51"/>
  <c r="GD31" i="51"/>
  <c r="GC31" i="51"/>
  <c r="GB31" i="51"/>
  <c r="GA31" i="51"/>
  <c r="FZ31" i="51"/>
  <c r="FY31" i="51"/>
  <c r="FX31" i="51"/>
  <c r="FW31" i="51"/>
  <c r="FV31" i="51"/>
  <c r="FU31" i="51"/>
  <c r="FT31" i="51"/>
  <c r="FS31" i="51"/>
  <c r="FR31" i="51"/>
  <c r="FQ31" i="51"/>
  <c r="FP31" i="51"/>
  <c r="FO31" i="51"/>
  <c r="FN31" i="51"/>
  <c r="FM31" i="51"/>
  <c r="FL31" i="51"/>
  <c r="FK31" i="51"/>
  <c r="FJ31" i="51"/>
  <c r="FI31" i="51"/>
  <c r="FH31" i="51"/>
  <c r="FG31" i="51"/>
  <c r="FF31" i="51"/>
  <c r="FE31" i="51"/>
  <c r="FD31" i="51"/>
  <c r="FC31" i="51"/>
  <c r="FB31" i="51"/>
  <c r="FA31" i="51"/>
  <c r="EZ31" i="51"/>
  <c r="EY31" i="51"/>
  <c r="EX31" i="51"/>
  <c r="EW31" i="51"/>
  <c r="EV31" i="51"/>
  <c r="EU31" i="51"/>
  <c r="ET31" i="51"/>
  <c r="ES31" i="51"/>
  <c r="ER31" i="51"/>
  <c r="EQ31" i="51"/>
  <c r="EP31" i="51"/>
  <c r="EO31" i="51"/>
  <c r="EN31" i="51"/>
  <c r="EM31" i="51"/>
  <c r="EL31" i="51"/>
  <c r="EK31" i="51"/>
  <c r="EJ31" i="51"/>
  <c r="EI31" i="51"/>
  <c r="EH31" i="51"/>
  <c r="EG31" i="51"/>
  <c r="EF31" i="51"/>
  <c r="EE31" i="51"/>
  <c r="ED31" i="51"/>
  <c r="EC31" i="51"/>
  <c r="EB31" i="51"/>
  <c r="EA31" i="51"/>
  <c r="DZ31" i="51"/>
  <c r="DY31" i="51"/>
  <c r="DX31" i="51"/>
  <c r="DW31" i="51"/>
  <c r="DV31" i="51"/>
  <c r="DU31" i="51"/>
  <c r="DT31" i="51"/>
  <c r="DS31" i="51"/>
  <c r="DR31" i="51"/>
  <c r="DQ31" i="51"/>
  <c r="DP31" i="51"/>
  <c r="DO31" i="51"/>
  <c r="DN31" i="51"/>
  <c r="DM31" i="51"/>
  <c r="DL31" i="51"/>
  <c r="DK31" i="51"/>
  <c r="DJ31" i="51"/>
  <c r="DI31" i="51"/>
  <c r="DH31" i="51"/>
  <c r="DG31" i="51"/>
  <c r="DF31" i="51"/>
  <c r="DE31" i="51"/>
  <c r="DD31" i="51"/>
  <c r="DC31" i="51"/>
  <c r="DB31" i="51"/>
  <c r="DA31" i="51"/>
  <c r="CZ31" i="51"/>
  <c r="CY31" i="51"/>
  <c r="CX31" i="51"/>
  <c r="CW31" i="51"/>
  <c r="CV31" i="51"/>
  <c r="CU31" i="51"/>
  <c r="CT31" i="51"/>
  <c r="CS31" i="51"/>
  <c r="CR31" i="51"/>
  <c r="CQ31" i="51"/>
  <c r="CP31" i="51"/>
  <c r="CO31" i="51"/>
  <c r="CN31" i="51"/>
  <c r="CM31" i="51"/>
  <c r="CL31" i="51"/>
  <c r="CK31" i="51"/>
  <c r="CJ31" i="51"/>
  <c r="CI31" i="51"/>
  <c r="CH31" i="51"/>
  <c r="CG31" i="51"/>
  <c r="CF31" i="51"/>
  <c r="CE31" i="51"/>
  <c r="CD31" i="51"/>
  <c r="CC31" i="51"/>
  <c r="CB31" i="51"/>
  <c r="CA31" i="51"/>
  <c r="BZ31" i="51"/>
  <c r="BY31" i="51"/>
  <c r="BX31" i="51"/>
  <c r="BW31" i="51"/>
  <c r="BV31" i="51"/>
  <c r="BU31" i="51"/>
  <c r="BT31" i="51"/>
  <c r="BS31" i="51"/>
  <c r="BR31" i="51"/>
  <c r="BQ31" i="51"/>
  <c r="BP31" i="51"/>
  <c r="BO31" i="51"/>
  <c r="BN31" i="51"/>
  <c r="BM31" i="51"/>
  <c r="BL31" i="51"/>
  <c r="BK31" i="51"/>
  <c r="BJ31" i="51"/>
  <c r="BI31" i="51"/>
  <c r="BH31" i="51"/>
  <c r="BG31" i="51"/>
  <c r="BF31" i="51"/>
  <c r="BE31" i="51"/>
  <c r="BD31" i="51"/>
  <c r="BC31" i="51"/>
  <c r="BB31" i="51"/>
  <c r="BA31" i="51"/>
  <c r="AZ31" i="51"/>
  <c r="AY31" i="51"/>
  <c r="AX31" i="51"/>
  <c r="AW31" i="51"/>
  <c r="AV31" i="51"/>
  <c r="AU31" i="51"/>
  <c r="AT31" i="51"/>
  <c r="AS31" i="51"/>
  <c r="AR31" i="51"/>
  <c r="AQ31" i="51"/>
  <c r="AP31" i="51"/>
  <c r="AO31" i="51"/>
  <c r="AN31" i="51"/>
  <c r="AM31" i="51"/>
  <c r="AL31" i="51"/>
  <c r="AK31" i="51"/>
  <c r="AJ31" i="51"/>
  <c r="AI31" i="51"/>
  <c r="AH31" i="51"/>
  <c r="AG31" i="51"/>
  <c r="AF31" i="51"/>
  <c r="AE31" i="51"/>
  <c r="AD31" i="51"/>
  <c r="AC31" i="51"/>
  <c r="AB31" i="51"/>
  <c r="AA31" i="51"/>
  <c r="Z31" i="51"/>
  <c r="Y31" i="51"/>
  <c r="X31" i="51"/>
  <c r="W31" i="51"/>
  <c r="V31" i="51"/>
  <c r="U31" i="51"/>
  <c r="T31" i="51"/>
  <c r="S31" i="51"/>
  <c r="R31" i="51"/>
  <c r="Q31" i="51"/>
  <c r="P31" i="51"/>
  <c r="O31" i="51"/>
  <c r="N31" i="51"/>
  <c r="M31" i="51"/>
  <c r="L31" i="51"/>
  <c r="K31" i="51"/>
  <c r="J31" i="51"/>
  <c r="I31" i="51"/>
  <c r="H31" i="51"/>
  <c r="G31" i="51"/>
  <c r="F31" i="51"/>
  <c r="IV30" i="51"/>
  <c r="IU30" i="51"/>
  <c r="IT30" i="51"/>
  <c r="IS30" i="51"/>
  <c r="IR30" i="51"/>
  <c r="IQ30" i="51"/>
  <c r="IP30" i="51"/>
  <c r="IO30" i="51"/>
  <c r="IN30" i="51"/>
  <c r="IM30" i="51"/>
  <c r="IL30" i="51"/>
  <c r="IK30" i="51"/>
  <c r="IJ30" i="51"/>
  <c r="II30" i="51"/>
  <c r="IH30" i="51"/>
  <c r="IG30" i="51"/>
  <c r="IF30" i="51"/>
  <c r="IE30" i="51"/>
  <c r="ID30" i="51"/>
  <c r="IC30" i="51"/>
  <c r="IB30" i="51"/>
  <c r="IA30" i="51"/>
  <c r="HZ30" i="51"/>
  <c r="HY30" i="51"/>
  <c r="HX30" i="51"/>
  <c r="HW30" i="51"/>
  <c r="HV30" i="51"/>
  <c r="HU30" i="51"/>
  <c r="HT30" i="51"/>
  <c r="HS30" i="51"/>
  <c r="HR30" i="51"/>
  <c r="HQ30" i="51"/>
  <c r="HP30" i="51"/>
  <c r="HO30" i="51"/>
  <c r="HN30" i="51"/>
  <c r="HM30" i="51"/>
  <c r="HL30" i="51"/>
  <c r="HK30" i="51"/>
  <c r="HJ30" i="51"/>
  <c r="HI30" i="51"/>
  <c r="HH30" i="51"/>
  <c r="HG30" i="51"/>
  <c r="HF30" i="51"/>
  <c r="HE30" i="51"/>
  <c r="HD30" i="51"/>
  <c r="HC30" i="51"/>
  <c r="HB30" i="51"/>
  <c r="HA30" i="51"/>
  <c r="GZ30" i="51"/>
  <c r="GY30" i="51"/>
  <c r="GX30" i="51"/>
  <c r="GW30" i="51"/>
  <c r="GV30" i="51"/>
  <c r="GU30" i="51"/>
  <c r="GT30" i="51"/>
  <c r="GS30" i="51"/>
  <c r="GR30" i="51"/>
  <c r="GQ30" i="51"/>
  <c r="GP30" i="51"/>
  <c r="GO30" i="51"/>
  <c r="GN30" i="51"/>
  <c r="GM30" i="51"/>
  <c r="GL30" i="51"/>
  <c r="GK30" i="51"/>
  <c r="GJ30" i="51"/>
  <c r="GI30" i="51"/>
  <c r="GH30" i="51"/>
  <c r="GG30" i="51"/>
  <c r="GF30" i="51"/>
  <c r="GE30" i="51"/>
  <c r="GD30" i="51"/>
  <c r="GC30" i="51"/>
  <c r="GB30" i="51"/>
  <c r="GA30" i="51"/>
  <c r="FZ30" i="51"/>
  <c r="FY30" i="51"/>
  <c r="FX30" i="51"/>
  <c r="FW30" i="51"/>
  <c r="FV30" i="51"/>
  <c r="FU30" i="51"/>
  <c r="FT30" i="51"/>
  <c r="FS30" i="51"/>
  <c r="FR30" i="51"/>
  <c r="FQ30" i="51"/>
  <c r="FP30" i="51"/>
  <c r="FO30" i="51"/>
  <c r="FN30" i="51"/>
  <c r="FM30" i="51"/>
  <c r="FL30" i="51"/>
  <c r="FK30" i="51"/>
  <c r="FJ30" i="51"/>
  <c r="FI30" i="51"/>
  <c r="FH30" i="51"/>
  <c r="FG30" i="51"/>
  <c r="FF30" i="51"/>
  <c r="FE30" i="51"/>
  <c r="FD30" i="51"/>
  <c r="FC30" i="51"/>
  <c r="FB30" i="51"/>
  <c r="FA30" i="51"/>
  <c r="EZ30" i="51"/>
  <c r="EY30" i="51"/>
  <c r="EX30" i="51"/>
  <c r="EW30" i="51"/>
  <c r="EV30" i="51"/>
  <c r="EU30" i="51"/>
  <c r="ET30" i="51"/>
  <c r="ES30" i="51"/>
  <c r="ER30" i="51"/>
  <c r="EQ30" i="51"/>
  <c r="EP30" i="51"/>
  <c r="EO30" i="51"/>
  <c r="EN30" i="51"/>
  <c r="EM30" i="51"/>
  <c r="EL30" i="51"/>
  <c r="EK30" i="51"/>
  <c r="EJ30" i="51"/>
  <c r="EI30" i="51"/>
  <c r="EH30" i="51"/>
  <c r="EG30" i="51"/>
  <c r="EF30" i="51"/>
  <c r="EE30" i="51"/>
  <c r="ED30" i="51"/>
  <c r="EC30" i="51"/>
  <c r="EB30" i="51"/>
  <c r="EA30" i="51"/>
  <c r="DZ30" i="51"/>
  <c r="DY30" i="51"/>
  <c r="DX30" i="51"/>
  <c r="DW30" i="51"/>
  <c r="DV30" i="51"/>
  <c r="DU30" i="51"/>
  <c r="DT30" i="51"/>
  <c r="DS30" i="51"/>
  <c r="DR30" i="51"/>
  <c r="DQ30" i="51"/>
  <c r="DP30" i="51"/>
  <c r="DO30" i="51"/>
  <c r="DN30" i="51"/>
  <c r="DM30" i="51"/>
  <c r="DL30" i="51"/>
  <c r="DK30" i="51"/>
  <c r="DJ30" i="51"/>
  <c r="DI30" i="51"/>
  <c r="DH30" i="51"/>
  <c r="DG30" i="51"/>
  <c r="DF30" i="51"/>
  <c r="DE30" i="51"/>
  <c r="DD30" i="51"/>
  <c r="DC30" i="51"/>
  <c r="DB30" i="51"/>
  <c r="DA30" i="51"/>
  <c r="CZ30" i="51"/>
  <c r="CY30" i="51"/>
  <c r="CX30" i="51"/>
  <c r="CW30" i="51"/>
  <c r="CV30" i="51"/>
  <c r="CU30" i="51"/>
  <c r="CT30" i="51"/>
  <c r="CS30" i="51"/>
  <c r="CR30" i="51"/>
  <c r="CQ30" i="51"/>
  <c r="CP30" i="51"/>
  <c r="CO30" i="51"/>
  <c r="CN30" i="51"/>
  <c r="CM30" i="51"/>
  <c r="CL30" i="51"/>
  <c r="CK30" i="51"/>
  <c r="CJ30" i="51"/>
  <c r="CI30" i="51"/>
  <c r="CH30" i="51"/>
  <c r="CG30" i="51"/>
  <c r="CF30" i="51"/>
  <c r="CE30" i="51"/>
  <c r="CD30" i="51"/>
  <c r="CC30" i="51"/>
  <c r="CB30" i="51"/>
  <c r="CA30" i="51"/>
  <c r="BZ30" i="51"/>
  <c r="BY30" i="51"/>
  <c r="BX30" i="51"/>
  <c r="BW30" i="51"/>
  <c r="BV30" i="51"/>
  <c r="BU30" i="51"/>
  <c r="BT30" i="51"/>
  <c r="BS30" i="51"/>
  <c r="BR30" i="51"/>
  <c r="BQ30" i="51"/>
  <c r="BP30" i="51"/>
  <c r="BO30" i="51"/>
  <c r="BN30" i="51"/>
  <c r="BM30" i="51"/>
  <c r="BL30" i="51"/>
  <c r="BK30" i="51"/>
  <c r="BJ30" i="51"/>
  <c r="BI30" i="51"/>
  <c r="BH30" i="51"/>
  <c r="BG30" i="51"/>
  <c r="BF30" i="51"/>
  <c r="BE30" i="51"/>
  <c r="BD30" i="51"/>
  <c r="BC30" i="51"/>
  <c r="BB30" i="51"/>
  <c r="BA30" i="51"/>
  <c r="AZ30" i="51"/>
  <c r="AY30" i="51"/>
  <c r="AX30" i="51"/>
  <c r="AW30" i="51"/>
  <c r="AV30" i="51"/>
  <c r="AU30" i="51"/>
  <c r="AT30" i="51"/>
  <c r="AS30" i="51"/>
  <c r="AR30" i="51"/>
  <c r="AQ30" i="51"/>
  <c r="AP30" i="51"/>
  <c r="AO30" i="51"/>
  <c r="AN30" i="51"/>
  <c r="AM30" i="51"/>
  <c r="AL30" i="51"/>
  <c r="AK30" i="51"/>
  <c r="AJ30" i="51"/>
  <c r="AI30" i="51"/>
  <c r="AH30" i="51"/>
  <c r="AG30" i="51"/>
  <c r="AF30" i="51"/>
  <c r="AE30" i="51"/>
  <c r="AD30" i="51"/>
  <c r="AC30" i="51"/>
  <c r="AB30" i="51"/>
  <c r="AA30" i="51"/>
  <c r="Z30" i="51"/>
  <c r="Y30" i="51"/>
  <c r="X30" i="51"/>
  <c r="W30" i="51"/>
  <c r="V30" i="51"/>
  <c r="U30" i="51"/>
  <c r="T30" i="51"/>
  <c r="S30" i="51"/>
  <c r="R30" i="51"/>
  <c r="Q30" i="51"/>
  <c r="P30" i="51"/>
  <c r="O30" i="51"/>
  <c r="N30" i="51"/>
  <c r="M30" i="51"/>
  <c r="L30" i="51"/>
  <c r="K30" i="51"/>
  <c r="J30" i="51"/>
  <c r="I30" i="51"/>
  <c r="H30" i="51"/>
  <c r="G30" i="51"/>
  <c r="F30" i="51"/>
  <c r="IV29" i="51"/>
  <c r="IU29" i="51"/>
  <c r="IT29" i="51"/>
  <c r="IS29" i="51"/>
  <c r="IR29" i="51"/>
  <c r="IQ29" i="51"/>
  <c r="IP29" i="51"/>
  <c r="IO29" i="51"/>
  <c r="IN29" i="51"/>
  <c r="IM29" i="51"/>
  <c r="IL29" i="51"/>
  <c r="IK29" i="51"/>
  <c r="IJ29" i="51"/>
  <c r="II29" i="51"/>
  <c r="IH29" i="51"/>
  <c r="IG29" i="51"/>
  <c r="IF29" i="51"/>
  <c r="IE29" i="51"/>
  <c r="ID29" i="51"/>
  <c r="IC29" i="51"/>
  <c r="IB29" i="51"/>
  <c r="IA29" i="51"/>
  <c r="HZ29" i="51"/>
  <c r="HY29" i="51"/>
  <c r="HX29" i="51"/>
  <c r="HW29" i="51"/>
  <c r="HV29" i="51"/>
  <c r="HU29" i="51"/>
  <c r="HT29" i="51"/>
  <c r="HS29" i="51"/>
  <c r="HR29" i="51"/>
  <c r="HQ29" i="51"/>
  <c r="HP29" i="51"/>
  <c r="HO29" i="51"/>
  <c r="HN29" i="51"/>
  <c r="HM29" i="51"/>
  <c r="HL29" i="51"/>
  <c r="HK29" i="51"/>
  <c r="HJ29" i="51"/>
  <c r="HI29" i="51"/>
  <c r="HH29" i="51"/>
  <c r="HG29" i="51"/>
  <c r="HF29" i="51"/>
  <c r="HE29" i="51"/>
  <c r="HD29" i="51"/>
  <c r="HC29" i="51"/>
  <c r="HB29" i="51"/>
  <c r="HA29" i="51"/>
  <c r="GZ29" i="51"/>
  <c r="GY29" i="51"/>
  <c r="GX29" i="51"/>
  <c r="GW29" i="51"/>
  <c r="GV29" i="51"/>
  <c r="GU29" i="51"/>
  <c r="GT29" i="51"/>
  <c r="GS29" i="51"/>
  <c r="GR29" i="51"/>
  <c r="GQ29" i="51"/>
  <c r="GP29" i="51"/>
  <c r="GO29" i="51"/>
  <c r="GN29" i="51"/>
  <c r="GM29" i="51"/>
  <c r="GL29" i="51"/>
  <c r="GK29" i="51"/>
  <c r="GJ29" i="51"/>
  <c r="GI29" i="51"/>
  <c r="GH29" i="51"/>
  <c r="GG29" i="51"/>
  <c r="GF29" i="51"/>
  <c r="GE29" i="51"/>
  <c r="GD29" i="51"/>
  <c r="GC29" i="51"/>
  <c r="GB29" i="51"/>
  <c r="GA29" i="51"/>
  <c r="FZ29" i="51"/>
  <c r="FY29" i="51"/>
  <c r="FX29" i="51"/>
  <c r="FW29" i="51"/>
  <c r="FV29" i="51"/>
  <c r="FU29" i="51"/>
  <c r="FT29" i="51"/>
  <c r="FS29" i="51"/>
  <c r="FR29" i="51"/>
  <c r="FQ29" i="51"/>
  <c r="FP29" i="51"/>
  <c r="FO29" i="51"/>
  <c r="FN29" i="51"/>
  <c r="FM29" i="51"/>
  <c r="FL29" i="51"/>
  <c r="FK29" i="51"/>
  <c r="FJ29" i="51"/>
  <c r="FI29" i="51"/>
  <c r="FH29" i="51"/>
  <c r="FG29" i="51"/>
  <c r="FF29" i="51"/>
  <c r="FE29" i="51"/>
  <c r="FD29" i="51"/>
  <c r="FC29" i="51"/>
  <c r="FB29" i="51"/>
  <c r="FA29" i="51"/>
  <c r="EZ29" i="51"/>
  <c r="EY29" i="51"/>
  <c r="EX29" i="51"/>
  <c r="EW29" i="51"/>
  <c r="EV29" i="51"/>
  <c r="EU29" i="51"/>
  <c r="ET29" i="51"/>
  <c r="ES29" i="51"/>
  <c r="ER29" i="51"/>
  <c r="EQ29" i="51"/>
  <c r="EP29" i="51"/>
  <c r="EO29" i="51"/>
  <c r="EN29" i="51"/>
  <c r="EM29" i="51"/>
  <c r="EL29" i="51"/>
  <c r="EK29" i="51"/>
  <c r="EJ29" i="51"/>
  <c r="EI29" i="51"/>
  <c r="EH29" i="51"/>
  <c r="EG29" i="51"/>
  <c r="EF29" i="51"/>
  <c r="EE29" i="51"/>
  <c r="ED29" i="51"/>
  <c r="EC29" i="51"/>
  <c r="EB29" i="51"/>
  <c r="EA29" i="51"/>
  <c r="DZ29" i="51"/>
  <c r="DY29" i="51"/>
  <c r="DX29" i="51"/>
  <c r="DW29" i="51"/>
  <c r="DV29" i="51"/>
  <c r="DU29" i="51"/>
  <c r="DT29" i="51"/>
  <c r="DS29" i="51"/>
  <c r="DR29" i="51"/>
  <c r="DQ29" i="51"/>
  <c r="DP29" i="51"/>
  <c r="DO29" i="51"/>
  <c r="DN29" i="51"/>
  <c r="DM29" i="51"/>
  <c r="DL29" i="51"/>
  <c r="DK29" i="51"/>
  <c r="DJ29" i="51"/>
  <c r="DI29" i="51"/>
  <c r="DH29" i="51"/>
  <c r="DG29" i="51"/>
  <c r="DF29" i="51"/>
  <c r="DE29" i="51"/>
  <c r="DD29" i="51"/>
  <c r="DC29" i="51"/>
  <c r="DB29" i="51"/>
  <c r="DA29" i="51"/>
  <c r="CZ29" i="51"/>
  <c r="CY29" i="51"/>
  <c r="CX29" i="51"/>
  <c r="CW29" i="51"/>
  <c r="CV29" i="51"/>
  <c r="CU29" i="51"/>
  <c r="CT29" i="51"/>
  <c r="CS29" i="51"/>
  <c r="CR29" i="51"/>
  <c r="CQ29" i="51"/>
  <c r="CP29" i="51"/>
  <c r="CO29" i="51"/>
  <c r="CN29" i="51"/>
  <c r="CM29" i="51"/>
  <c r="CL29" i="51"/>
  <c r="CK29" i="51"/>
  <c r="CJ29" i="51"/>
  <c r="CI29" i="51"/>
  <c r="CH29" i="51"/>
  <c r="CG29" i="51"/>
  <c r="CF29" i="51"/>
  <c r="CE29" i="51"/>
  <c r="CD29" i="51"/>
  <c r="CC29" i="51"/>
  <c r="CB29" i="51"/>
  <c r="CA29" i="51"/>
  <c r="BZ29" i="51"/>
  <c r="BY29" i="51"/>
  <c r="BX29" i="51"/>
  <c r="BW29" i="51"/>
  <c r="BV29" i="51"/>
  <c r="BU29" i="51"/>
  <c r="BT29" i="51"/>
  <c r="BS29" i="51"/>
  <c r="BR29" i="51"/>
  <c r="BQ29" i="51"/>
  <c r="BP29" i="51"/>
  <c r="BO29" i="51"/>
  <c r="BN29" i="51"/>
  <c r="BM29" i="51"/>
  <c r="BL29" i="51"/>
  <c r="BK29" i="51"/>
  <c r="BJ29" i="51"/>
  <c r="BI29" i="51"/>
  <c r="BH29" i="51"/>
  <c r="BG29" i="51"/>
  <c r="BF29" i="51"/>
  <c r="BE29" i="51"/>
  <c r="BD29" i="51"/>
  <c r="BC29" i="51"/>
  <c r="BB29" i="51"/>
  <c r="BA29" i="51"/>
  <c r="AZ29" i="51"/>
  <c r="AY29" i="51"/>
  <c r="AX29" i="51"/>
  <c r="AW29" i="51"/>
  <c r="AV29" i="51"/>
  <c r="AU29" i="51"/>
  <c r="AT29" i="51"/>
  <c r="AS29" i="51"/>
  <c r="AR29" i="51"/>
  <c r="AQ29" i="51"/>
  <c r="AP29" i="51"/>
  <c r="AO29" i="51"/>
  <c r="AN29" i="51"/>
  <c r="AM29" i="51"/>
  <c r="AL29" i="51"/>
  <c r="AK29" i="51"/>
  <c r="AJ29" i="51"/>
  <c r="AI29" i="51"/>
  <c r="AH29" i="51"/>
  <c r="AG29" i="51"/>
  <c r="AF29" i="51"/>
  <c r="AE29" i="51"/>
  <c r="AD29" i="51"/>
  <c r="AC29" i="51"/>
  <c r="AB29" i="51"/>
  <c r="AA29" i="51"/>
  <c r="Z29" i="51"/>
  <c r="Y29" i="51"/>
  <c r="X29" i="51"/>
  <c r="W29" i="51"/>
  <c r="V29" i="51"/>
  <c r="U29" i="51"/>
  <c r="T29" i="51"/>
  <c r="S29" i="51"/>
  <c r="R29" i="51"/>
  <c r="Q29" i="51"/>
  <c r="P29" i="51"/>
  <c r="O29" i="51"/>
  <c r="N29" i="51"/>
  <c r="M29" i="51"/>
  <c r="L29" i="51"/>
  <c r="K29" i="51"/>
  <c r="J29" i="51"/>
  <c r="I29" i="51"/>
  <c r="H29" i="51"/>
  <c r="G29" i="51"/>
  <c r="F29" i="51"/>
  <c r="IV28" i="51"/>
  <c r="IU28" i="51"/>
  <c r="IT28" i="51"/>
  <c r="IS28" i="51"/>
  <c r="IR28" i="51"/>
  <c r="IQ28" i="51"/>
  <c r="IP28" i="51"/>
  <c r="IO28" i="51"/>
  <c r="IN28" i="51"/>
  <c r="IM28" i="51"/>
  <c r="IL28" i="51"/>
  <c r="IK28" i="51"/>
  <c r="IJ28" i="51"/>
  <c r="II28" i="51"/>
  <c r="IH28" i="51"/>
  <c r="IG28" i="51"/>
  <c r="IF28" i="51"/>
  <c r="IE28" i="51"/>
  <c r="ID28" i="51"/>
  <c r="IC28" i="51"/>
  <c r="IB28" i="51"/>
  <c r="IA28" i="51"/>
  <c r="HZ28" i="51"/>
  <c r="HY28" i="51"/>
  <c r="HX28" i="51"/>
  <c r="HW28" i="51"/>
  <c r="HV28" i="51"/>
  <c r="HU28" i="51"/>
  <c r="HT28" i="51"/>
  <c r="HS28" i="51"/>
  <c r="HR28" i="51"/>
  <c r="HQ28" i="51"/>
  <c r="HP28" i="51"/>
  <c r="HO28" i="51"/>
  <c r="HN28" i="51"/>
  <c r="HM28" i="51"/>
  <c r="HL28" i="51"/>
  <c r="HK28" i="51"/>
  <c r="HJ28" i="51"/>
  <c r="HI28" i="51"/>
  <c r="HH28" i="51"/>
  <c r="HG28" i="51"/>
  <c r="HF28" i="51"/>
  <c r="HE28" i="51"/>
  <c r="HD28" i="51"/>
  <c r="HC28" i="51"/>
  <c r="HB28" i="51"/>
  <c r="HA28" i="51"/>
  <c r="GZ28" i="51"/>
  <c r="GY28" i="51"/>
  <c r="GX28" i="51"/>
  <c r="GW28" i="51"/>
  <c r="GV28" i="51"/>
  <c r="GU28" i="51"/>
  <c r="GT28" i="51"/>
  <c r="GS28" i="51"/>
  <c r="GR28" i="51"/>
  <c r="GQ28" i="51"/>
  <c r="GP28" i="51"/>
  <c r="GO28" i="51"/>
  <c r="GN28" i="51"/>
  <c r="GM28" i="51"/>
  <c r="GL28" i="51"/>
  <c r="GK28" i="51"/>
  <c r="GJ28" i="51"/>
  <c r="GI28" i="51"/>
  <c r="GH28" i="51"/>
  <c r="GG28" i="51"/>
  <c r="GF28" i="51"/>
  <c r="GE28" i="51"/>
  <c r="GD28" i="51"/>
  <c r="GC28" i="51"/>
  <c r="GB28" i="51"/>
  <c r="GA28" i="51"/>
  <c r="FZ28" i="51"/>
  <c r="FY28" i="51"/>
  <c r="FX28" i="51"/>
  <c r="FW28" i="51"/>
  <c r="FV28" i="51"/>
  <c r="FU28" i="51"/>
  <c r="FT28" i="51"/>
  <c r="FS28" i="51"/>
  <c r="FR28" i="51"/>
  <c r="FQ28" i="51"/>
  <c r="FP28" i="51"/>
  <c r="FO28" i="51"/>
  <c r="FN28" i="51"/>
  <c r="FM28" i="51"/>
  <c r="FL28" i="51"/>
  <c r="FK28" i="51"/>
  <c r="FJ28" i="51"/>
  <c r="FI28" i="51"/>
  <c r="FH28" i="51"/>
  <c r="FG28" i="51"/>
  <c r="FF28" i="51"/>
  <c r="FE28" i="51"/>
  <c r="FD28" i="51"/>
  <c r="FC28" i="51"/>
  <c r="FB28" i="51"/>
  <c r="FA28" i="51"/>
  <c r="EZ28" i="51"/>
  <c r="EY28" i="51"/>
  <c r="EX28" i="51"/>
  <c r="EW28" i="51"/>
  <c r="EV28" i="51"/>
  <c r="EU28" i="51"/>
  <c r="ET28" i="51"/>
  <c r="ES28" i="51"/>
  <c r="ER28" i="51"/>
  <c r="EQ28" i="51"/>
  <c r="EP28" i="51"/>
  <c r="EO28" i="51"/>
  <c r="EN28" i="51"/>
  <c r="EM28" i="51"/>
  <c r="EL28" i="51"/>
  <c r="EK28" i="51"/>
  <c r="EJ28" i="51"/>
  <c r="EI28" i="51"/>
  <c r="EH28" i="51"/>
  <c r="EG28" i="51"/>
  <c r="EF28" i="51"/>
  <c r="EE28" i="51"/>
  <c r="ED28" i="51"/>
  <c r="EC28" i="51"/>
  <c r="EB28" i="51"/>
  <c r="EA28" i="51"/>
  <c r="DZ28" i="51"/>
  <c r="DY28" i="51"/>
  <c r="DX28" i="51"/>
  <c r="DW28" i="51"/>
  <c r="DV28" i="51"/>
  <c r="DU28" i="51"/>
  <c r="DT28" i="51"/>
  <c r="DS28" i="51"/>
  <c r="DR28" i="51"/>
  <c r="DQ28" i="51"/>
  <c r="DP28" i="51"/>
  <c r="DO28" i="51"/>
  <c r="DN28" i="51"/>
  <c r="DM28" i="51"/>
  <c r="DL28" i="51"/>
  <c r="DK28" i="51"/>
  <c r="DJ28" i="51"/>
  <c r="DI28" i="51"/>
  <c r="DH28" i="51"/>
  <c r="DG28" i="51"/>
  <c r="DF28" i="51"/>
  <c r="DE28" i="51"/>
  <c r="DD28" i="51"/>
  <c r="DC28" i="51"/>
  <c r="DB28" i="51"/>
  <c r="DA28" i="51"/>
  <c r="CZ28" i="51"/>
  <c r="CY28" i="51"/>
  <c r="CX28" i="51"/>
  <c r="CW28" i="51"/>
  <c r="CV28" i="51"/>
  <c r="CU28" i="51"/>
  <c r="CT28" i="51"/>
  <c r="CS28" i="51"/>
  <c r="CR28" i="51"/>
  <c r="CQ28" i="51"/>
  <c r="CP28" i="51"/>
  <c r="CO28" i="51"/>
  <c r="CN28" i="51"/>
  <c r="CM28" i="51"/>
  <c r="CL28" i="51"/>
  <c r="CK28" i="51"/>
  <c r="CJ28" i="51"/>
  <c r="CI28" i="51"/>
  <c r="CH28" i="51"/>
  <c r="CG28" i="51"/>
  <c r="CF28" i="51"/>
  <c r="CE28" i="51"/>
  <c r="CD28" i="51"/>
  <c r="CC28" i="51"/>
  <c r="CB28" i="51"/>
  <c r="CA28" i="51"/>
  <c r="BZ28" i="51"/>
  <c r="BY28" i="51"/>
  <c r="BX28" i="51"/>
  <c r="BW28" i="51"/>
  <c r="BV28" i="51"/>
  <c r="BU28" i="51"/>
  <c r="BT28" i="51"/>
  <c r="BS28" i="51"/>
  <c r="BR28" i="51"/>
  <c r="BQ28" i="51"/>
  <c r="BP28" i="51"/>
  <c r="BO28" i="51"/>
  <c r="BN28" i="51"/>
  <c r="BM28" i="51"/>
  <c r="BL28" i="51"/>
  <c r="BK28" i="51"/>
  <c r="BJ28" i="51"/>
  <c r="BI28" i="51"/>
  <c r="BH28" i="51"/>
  <c r="BG28" i="51"/>
  <c r="BF28" i="51"/>
  <c r="BE28" i="51"/>
  <c r="BD28" i="51"/>
  <c r="BC28" i="51"/>
  <c r="BB28" i="51"/>
  <c r="BA28" i="51"/>
  <c r="AZ28" i="51"/>
  <c r="AY28" i="51"/>
  <c r="AX28" i="51"/>
  <c r="AW28" i="51"/>
  <c r="AV28" i="51"/>
  <c r="AU28" i="51"/>
  <c r="AT28" i="51"/>
  <c r="AS28" i="51"/>
  <c r="AR28" i="51"/>
  <c r="AQ28" i="51"/>
  <c r="AP28" i="51"/>
  <c r="AO28" i="51"/>
  <c r="AN28" i="51"/>
  <c r="AM28" i="51"/>
  <c r="AL28" i="51"/>
  <c r="AK28" i="51"/>
  <c r="AJ28" i="51"/>
  <c r="AI28" i="51"/>
  <c r="AH28" i="51"/>
  <c r="AG28" i="51"/>
  <c r="AF28" i="51"/>
  <c r="AE28" i="51"/>
  <c r="AD28" i="51"/>
  <c r="AC28" i="51"/>
  <c r="AB28" i="51"/>
  <c r="AA28" i="51"/>
  <c r="Z28" i="51"/>
  <c r="Y28" i="51"/>
  <c r="X28" i="51"/>
  <c r="W28" i="51"/>
  <c r="V28" i="51"/>
  <c r="U28" i="51"/>
  <c r="T28" i="51"/>
  <c r="S28" i="51"/>
  <c r="R28" i="51"/>
  <c r="Q28" i="51"/>
  <c r="P28" i="51"/>
  <c r="O28" i="51"/>
  <c r="N28" i="51"/>
  <c r="M28" i="51"/>
  <c r="L28" i="51"/>
  <c r="K28" i="51"/>
  <c r="J28" i="51"/>
  <c r="I28" i="51"/>
  <c r="H28" i="51"/>
  <c r="G28" i="51"/>
  <c r="F28" i="51"/>
  <c r="IV27" i="51"/>
  <c r="IU27" i="51"/>
  <c r="IT27" i="51"/>
  <c r="IS27" i="51"/>
  <c r="IR27" i="51"/>
  <c r="IQ27" i="51"/>
  <c r="IP27" i="51"/>
  <c r="IO27" i="51"/>
  <c r="IN27" i="51"/>
  <c r="IM27" i="51"/>
  <c r="IL27" i="51"/>
  <c r="IK27" i="51"/>
  <c r="IJ27" i="51"/>
  <c r="II27" i="51"/>
  <c r="IH27" i="51"/>
  <c r="IG27" i="51"/>
  <c r="IF27" i="51"/>
  <c r="IE27" i="51"/>
  <c r="ID27" i="51"/>
  <c r="IC27" i="51"/>
  <c r="IB27" i="51"/>
  <c r="IA27" i="51"/>
  <c r="HZ27" i="51"/>
  <c r="HY27" i="51"/>
  <c r="HX27" i="51"/>
  <c r="HW27" i="51"/>
  <c r="HV27" i="51"/>
  <c r="HU27" i="51"/>
  <c r="HT27" i="51"/>
  <c r="HS27" i="51"/>
  <c r="HR27" i="51"/>
  <c r="HQ27" i="51"/>
  <c r="HP27" i="51"/>
  <c r="HO27" i="51"/>
  <c r="HN27" i="51"/>
  <c r="HM27" i="51"/>
  <c r="HL27" i="51"/>
  <c r="HK27" i="51"/>
  <c r="HJ27" i="51"/>
  <c r="HI27" i="51"/>
  <c r="HH27" i="51"/>
  <c r="HG27" i="51"/>
  <c r="HF27" i="51"/>
  <c r="HE27" i="51"/>
  <c r="HD27" i="51"/>
  <c r="HC27" i="51"/>
  <c r="HB27" i="51"/>
  <c r="HA27" i="51"/>
  <c r="GZ27" i="51"/>
  <c r="GY27" i="51"/>
  <c r="GX27" i="51"/>
  <c r="GW27" i="51"/>
  <c r="GV27" i="51"/>
  <c r="GU27" i="51"/>
  <c r="GT27" i="51"/>
  <c r="GS27" i="51"/>
  <c r="GR27" i="51"/>
  <c r="GQ27" i="51"/>
  <c r="GP27" i="51"/>
  <c r="GO27" i="51"/>
  <c r="GN27" i="51"/>
  <c r="GM27" i="51"/>
  <c r="GL27" i="51"/>
  <c r="GK27" i="51"/>
  <c r="GJ27" i="51"/>
  <c r="GI27" i="51"/>
  <c r="GH27" i="51"/>
  <c r="GG27" i="51"/>
  <c r="GF27" i="51"/>
  <c r="GE27" i="51"/>
  <c r="GD27" i="51"/>
  <c r="GC27" i="51"/>
  <c r="GB27" i="51"/>
  <c r="GA27" i="51"/>
  <c r="FZ27" i="51"/>
  <c r="FY27" i="51"/>
  <c r="FX27" i="51"/>
  <c r="FW27" i="51"/>
  <c r="FV27" i="51"/>
  <c r="FU27" i="51"/>
  <c r="FT27" i="51"/>
  <c r="FS27" i="51"/>
  <c r="FR27" i="51"/>
  <c r="FQ27" i="51"/>
  <c r="FP27" i="51"/>
  <c r="FO27" i="51"/>
  <c r="FN27" i="51"/>
  <c r="FM27" i="51"/>
  <c r="FL27" i="51"/>
  <c r="FK27" i="51"/>
  <c r="FJ27" i="51"/>
  <c r="FI27" i="51"/>
  <c r="FH27" i="51"/>
  <c r="FG27" i="51"/>
  <c r="FF27" i="51"/>
  <c r="FE27" i="51"/>
  <c r="FD27" i="51"/>
  <c r="FC27" i="51"/>
  <c r="FB27" i="51"/>
  <c r="FA27" i="51"/>
  <c r="EZ27" i="51"/>
  <c r="EY27" i="51"/>
  <c r="EX27" i="51"/>
  <c r="EW27" i="51"/>
  <c r="EV27" i="51"/>
  <c r="EU27" i="51"/>
  <c r="ET27" i="51"/>
  <c r="ES27" i="51"/>
  <c r="ER27" i="51"/>
  <c r="EQ27" i="51"/>
  <c r="EP27" i="51"/>
  <c r="EO27" i="51"/>
  <c r="EN27" i="51"/>
  <c r="EM27" i="51"/>
  <c r="EL27" i="51"/>
  <c r="EK27" i="51"/>
  <c r="EJ27" i="51"/>
  <c r="EI27" i="51"/>
  <c r="EH27" i="51"/>
  <c r="EG27" i="51"/>
  <c r="EF27" i="51"/>
  <c r="EE27" i="51"/>
  <c r="ED27" i="51"/>
  <c r="EC27" i="51"/>
  <c r="EB27" i="51"/>
  <c r="EA27" i="51"/>
  <c r="DZ27" i="51"/>
  <c r="DY27" i="51"/>
  <c r="DX27" i="51"/>
  <c r="DW27" i="51"/>
  <c r="DV27" i="51"/>
  <c r="DU27" i="51"/>
  <c r="DT27" i="51"/>
  <c r="DS27" i="51"/>
  <c r="DR27" i="51"/>
  <c r="DQ27" i="51"/>
  <c r="DP27" i="51"/>
  <c r="DO27" i="51"/>
  <c r="DN27" i="51"/>
  <c r="DM27" i="51"/>
  <c r="DL27" i="51"/>
  <c r="DK27" i="51"/>
  <c r="DJ27" i="51"/>
  <c r="DI27" i="51"/>
  <c r="DH27" i="51"/>
  <c r="DG27" i="51"/>
  <c r="DF27" i="51"/>
  <c r="DE27" i="51"/>
  <c r="DD27" i="51"/>
  <c r="DC27" i="51"/>
  <c r="DB27" i="51"/>
  <c r="DA27" i="51"/>
  <c r="CZ27" i="51"/>
  <c r="CY27" i="51"/>
  <c r="CX27" i="51"/>
  <c r="CW27" i="51"/>
  <c r="CV27" i="51"/>
  <c r="CU27" i="51"/>
  <c r="CT27" i="51"/>
  <c r="CS27" i="51"/>
  <c r="CR27" i="51"/>
  <c r="CQ27" i="51"/>
  <c r="CP27" i="51"/>
  <c r="CO27" i="51"/>
  <c r="CN27" i="51"/>
  <c r="CM27" i="51"/>
  <c r="CL27" i="51"/>
  <c r="CK27" i="51"/>
  <c r="CJ27" i="51"/>
  <c r="CI27" i="51"/>
  <c r="CH27" i="51"/>
  <c r="CG27" i="51"/>
  <c r="CF27" i="51"/>
  <c r="CE27" i="51"/>
  <c r="CD27" i="51"/>
  <c r="CC27" i="51"/>
  <c r="CB27" i="51"/>
  <c r="CA27" i="51"/>
  <c r="BZ27" i="51"/>
  <c r="BY27" i="51"/>
  <c r="BX27" i="51"/>
  <c r="BW27" i="51"/>
  <c r="BV27" i="51"/>
  <c r="BU27" i="51"/>
  <c r="BT27" i="51"/>
  <c r="BS27" i="51"/>
  <c r="BR27" i="51"/>
  <c r="BQ27" i="51"/>
  <c r="BP27" i="51"/>
  <c r="BO27" i="51"/>
  <c r="BN27" i="51"/>
  <c r="BM27" i="51"/>
  <c r="BL27" i="51"/>
  <c r="BK27" i="51"/>
  <c r="BJ27" i="51"/>
  <c r="BI27" i="51"/>
  <c r="BH27" i="51"/>
  <c r="BG27" i="51"/>
  <c r="BF27" i="51"/>
  <c r="BE27" i="51"/>
  <c r="BD27" i="51"/>
  <c r="BC27" i="51"/>
  <c r="BB27" i="51"/>
  <c r="BA27" i="51"/>
  <c r="AZ27" i="51"/>
  <c r="AY27" i="51"/>
  <c r="AX27" i="51"/>
  <c r="AW27" i="51"/>
  <c r="AV27" i="51"/>
  <c r="AU27" i="51"/>
  <c r="AT27" i="51"/>
  <c r="AS27" i="51"/>
  <c r="AR27" i="51"/>
  <c r="AQ27" i="51"/>
  <c r="AP27" i="51"/>
  <c r="AO27" i="51"/>
  <c r="AN27" i="51"/>
  <c r="AM27" i="51"/>
  <c r="AL27" i="51"/>
  <c r="AK27" i="51"/>
  <c r="AJ27" i="51"/>
  <c r="AI27" i="51"/>
  <c r="AH27" i="51"/>
  <c r="AG27" i="51"/>
  <c r="AF27" i="51"/>
  <c r="AE27" i="51"/>
  <c r="AD27" i="51"/>
  <c r="AC27" i="51"/>
  <c r="AB27" i="51"/>
  <c r="AA27" i="51"/>
  <c r="Z27" i="51"/>
  <c r="Y27" i="51"/>
  <c r="X27" i="51"/>
  <c r="W27" i="51"/>
  <c r="V27" i="51"/>
  <c r="U27" i="51"/>
  <c r="T27" i="51"/>
  <c r="S27" i="51"/>
  <c r="R27" i="51"/>
  <c r="Q27" i="51"/>
  <c r="P27" i="51"/>
  <c r="O27" i="51"/>
  <c r="N27" i="51"/>
  <c r="M27" i="51"/>
  <c r="L27" i="51"/>
  <c r="K27" i="51"/>
  <c r="J27" i="51"/>
  <c r="I27" i="51"/>
  <c r="H27" i="51"/>
  <c r="G27" i="51"/>
  <c r="F27" i="51"/>
  <c r="IV26" i="51"/>
  <c r="IU26" i="51"/>
  <c r="IT26" i="51"/>
  <c r="IS26" i="51"/>
  <c r="IR26" i="51"/>
  <c r="IQ26" i="51"/>
  <c r="IP26" i="51"/>
  <c r="IO26" i="51"/>
  <c r="IN26" i="51"/>
  <c r="IM26" i="51"/>
  <c r="IL26" i="51"/>
  <c r="IK26" i="51"/>
  <c r="IJ26" i="51"/>
  <c r="II26" i="51"/>
  <c r="IH26" i="51"/>
  <c r="IG26" i="51"/>
  <c r="IF26" i="51"/>
  <c r="IE26" i="51"/>
  <c r="ID26" i="51"/>
  <c r="IC26" i="51"/>
  <c r="IB26" i="51"/>
  <c r="IA26" i="51"/>
  <c r="HZ26" i="51"/>
  <c r="HY26" i="51"/>
  <c r="HX26" i="51"/>
  <c r="HW26" i="51"/>
  <c r="HV26" i="51"/>
  <c r="HU26" i="51"/>
  <c r="HT26" i="51"/>
  <c r="HS26" i="51"/>
  <c r="HR26" i="51"/>
  <c r="HQ26" i="51"/>
  <c r="HP26" i="51"/>
  <c r="HO26" i="51"/>
  <c r="HN26" i="51"/>
  <c r="HM26" i="51"/>
  <c r="HL26" i="51"/>
  <c r="HK26" i="51"/>
  <c r="HJ26" i="51"/>
  <c r="HI26" i="51"/>
  <c r="HH26" i="51"/>
  <c r="HG26" i="51"/>
  <c r="HF26" i="51"/>
  <c r="HE26" i="51"/>
  <c r="HD26" i="51"/>
  <c r="HC26" i="51"/>
  <c r="HB26" i="51"/>
  <c r="HA26" i="51"/>
  <c r="GZ26" i="51"/>
  <c r="GY26" i="51"/>
  <c r="GX26" i="51"/>
  <c r="GW26" i="51"/>
  <c r="GV26" i="51"/>
  <c r="GU26" i="51"/>
  <c r="GT26" i="51"/>
  <c r="GS26" i="51"/>
  <c r="GR26" i="51"/>
  <c r="GQ26" i="51"/>
  <c r="GP26" i="51"/>
  <c r="GO26" i="51"/>
  <c r="GN26" i="51"/>
  <c r="GM26" i="51"/>
  <c r="GL26" i="51"/>
  <c r="GK26" i="51"/>
  <c r="GJ26" i="51"/>
  <c r="GI26" i="51"/>
  <c r="GH26" i="51"/>
  <c r="GG26" i="51"/>
  <c r="GF26" i="51"/>
  <c r="GE26" i="51"/>
  <c r="GD26" i="51"/>
  <c r="GC26" i="51"/>
  <c r="GB26" i="51"/>
  <c r="GA26" i="51"/>
  <c r="FZ26" i="51"/>
  <c r="FY26" i="51"/>
  <c r="FX26" i="51"/>
  <c r="FW26" i="51"/>
  <c r="FV26" i="51"/>
  <c r="FU26" i="51"/>
  <c r="FT26" i="51"/>
  <c r="FS26" i="51"/>
  <c r="FR26" i="51"/>
  <c r="FQ26" i="51"/>
  <c r="FP26" i="51"/>
  <c r="FO26" i="51"/>
  <c r="FN26" i="51"/>
  <c r="FM26" i="51"/>
  <c r="FL26" i="51"/>
  <c r="FK26" i="51"/>
  <c r="FJ26" i="51"/>
  <c r="FI26" i="51"/>
  <c r="FH26" i="51"/>
  <c r="FG26" i="51"/>
  <c r="FF26" i="51"/>
  <c r="FE26" i="51"/>
  <c r="FD26" i="51"/>
  <c r="FC26" i="51"/>
  <c r="FB26" i="51"/>
  <c r="FA26" i="51"/>
  <c r="EZ26" i="51"/>
  <c r="EY26" i="51"/>
  <c r="EX26" i="51"/>
  <c r="EW26" i="51"/>
  <c r="EV26" i="51"/>
  <c r="EU26" i="51"/>
  <c r="ET26" i="51"/>
  <c r="ES26" i="51"/>
  <c r="ER26" i="51"/>
  <c r="EQ26" i="51"/>
  <c r="EP26" i="51"/>
  <c r="EO26" i="51"/>
  <c r="EN26" i="51"/>
  <c r="EM26" i="51"/>
  <c r="EL26" i="51"/>
  <c r="EK26" i="51"/>
  <c r="EJ26" i="51"/>
  <c r="EI26" i="51"/>
  <c r="EH26" i="51"/>
  <c r="EG26" i="51"/>
  <c r="EF26" i="51"/>
  <c r="EE26" i="51"/>
  <c r="ED26" i="51"/>
  <c r="EC26" i="51"/>
  <c r="EB26" i="51"/>
  <c r="EA26" i="51"/>
  <c r="DZ26" i="51"/>
  <c r="DY26" i="51"/>
  <c r="DX26" i="51"/>
  <c r="DW26" i="51"/>
  <c r="DV26" i="51"/>
  <c r="DU26" i="51"/>
  <c r="DT26" i="51"/>
  <c r="DS26" i="51"/>
  <c r="DR26" i="51"/>
  <c r="DQ26" i="51"/>
  <c r="DP26" i="51"/>
  <c r="DO26" i="51"/>
  <c r="DN26" i="51"/>
  <c r="DM26" i="51"/>
  <c r="DL26" i="51"/>
  <c r="DK26" i="51"/>
  <c r="DJ26" i="51"/>
  <c r="DI26" i="51"/>
  <c r="DH26" i="51"/>
  <c r="DG26" i="51"/>
  <c r="DF26" i="51"/>
  <c r="DE26" i="51"/>
  <c r="DD26" i="51"/>
  <c r="DC26" i="51"/>
  <c r="DB26" i="51"/>
  <c r="DA26" i="51"/>
  <c r="CZ26" i="51"/>
  <c r="CY26" i="51"/>
  <c r="CX26" i="51"/>
  <c r="CW26" i="51"/>
  <c r="CV26" i="51"/>
  <c r="CU26" i="51"/>
  <c r="CT26" i="51"/>
  <c r="CS26" i="51"/>
  <c r="CR26" i="51"/>
  <c r="CQ26" i="51"/>
  <c r="CP26" i="51"/>
  <c r="CO26" i="51"/>
  <c r="CN26" i="51"/>
  <c r="CM26" i="51"/>
  <c r="CL26" i="51"/>
  <c r="CK26" i="51"/>
  <c r="CJ26" i="51"/>
  <c r="CI26" i="51"/>
  <c r="CH26" i="51"/>
  <c r="CG26" i="51"/>
  <c r="CF26" i="51"/>
  <c r="CE26" i="51"/>
  <c r="CD26" i="51"/>
  <c r="CC26" i="51"/>
  <c r="CB26" i="51"/>
  <c r="CA26" i="51"/>
  <c r="BZ26" i="51"/>
  <c r="BY26" i="51"/>
  <c r="BX26" i="51"/>
  <c r="BW26" i="51"/>
  <c r="BV26" i="51"/>
  <c r="BU26" i="51"/>
  <c r="BT26" i="51"/>
  <c r="BS26" i="51"/>
  <c r="BR26" i="51"/>
  <c r="BQ26" i="51"/>
  <c r="BP26" i="51"/>
  <c r="BO26" i="51"/>
  <c r="BN26" i="51"/>
  <c r="BM26" i="51"/>
  <c r="BL26" i="51"/>
  <c r="BK26" i="51"/>
  <c r="BJ26" i="51"/>
  <c r="BI26" i="51"/>
  <c r="BH26" i="51"/>
  <c r="BG26" i="51"/>
  <c r="BF26" i="51"/>
  <c r="BE26" i="51"/>
  <c r="BD26" i="51"/>
  <c r="BC26" i="51"/>
  <c r="BB26" i="51"/>
  <c r="BA26" i="51"/>
  <c r="AZ26" i="51"/>
  <c r="AY26" i="51"/>
  <c r="AX26" i="51"/>
  <c r="AW26" i="51"/>
  <c r="AV26" i="51"/>
  <c r="AU26" i="51"/>
  <c r="AT26" i="51"/>
  <c r="AS26" i="51"/>
  <c r="AR26" i="51"/>
  <c r="AQ26" i="51"/>
  <c r="AP26" i="51"/>
  <c r="AO26" i="51"/>
  <c r="AN26" i="51"/>
  <c r="AM26" i="51"/>
  <c r="AL26" i="51"/>
  <c r="AK26" i="51"/>
  <c r="AJ26" i="51"/>
  <c r="AI26" i="51"/>
  <c r="AH26" i="51"/>
  <c r="AG26" i="51"/>
  <c r="AF26" i="51"/>
  <c r="AE26" i="51"/>
  <c r="AD26" i="51"/>
  <c r="AC26" i="51"/>
  <c r="AB26" i="51"/>
  <c r="AA26" i="51"/>
  <c r="Z26" i="51"/>
  <c r="Y26" i="51"/>
  <c r="X26" i="51"/>
  <c r="W26" i="51"/>
  <c r="V26" i="51"/>
  <c r="U26" i="51"/>
  <c r="T26" i="51"/>
  <c r="S26" i="51"/>
  <c r="R26" i="51"/>
  <c r="Q26" i="51"/>
  <c r="P26" i="51"/>
  <c r="O26" i="51"/>
  <c r="N26" i="51"/>
  <c r="M26" i="51"/>
  <c r="L26" i="51"/>
  <c r="K26" i="51"/>
  <c r="J26" i="51"/>
  <c r="I26" i="51"/>
  <c r="H26" i="51"/>
  <c r="G26" i="51"/>
  <c r="F26" i="51"/>
  <c r="IV25" i="51"/>
  <c r="IU25" i="51"/>
  <c r="IT25" i="51"/>
  <c r="IS25" i="51"/>
  <c r="IR25" i="51"/>
  <c r="IQ25" i="51"/>
  <c r="IP25" i="51"/>
  <c r="IO25" i="51"/>
  <c r="IN25" i="51"/>
  <c r="IM25" i="51"/>
  <c r="IL25" i="51"/>
  <c r="IK25" i="51"/>
  <c r="IJ25" i="51"/>
  <c r="II25" i="51"/>
  <c r="IH25" i="51"/>
  <c r="IG25" i="51"/>
  <c r="IF25" i="51"/>
  <c r="IE25" i="51"/>
  <c r="ID25" i="51"/>
  <c r="IC25" i="51"/>
  <c r="IB25" i="51"/>
  <c r="IA25" i="51"/>
  <c r="HZ25" i="51"/>
  <c r="HY25" i="51"/>
  <c r="HX25" i="51"/>
  <c r="HW25" i="51"/>
  <c r="HV25" i="51"/>
  <c r="HU25" i="51"/>
  <c r="HT25" i="51"/>
  <c r="HS25" i="51"/>
  <c r="HR25" i="51"/>
  <c r="HQ25" i="51"/>
  <c r="HP25" i="51"/>
  <c r="HO25" i="51"/>
  <c r="HN25" i="51"/>
  <c r="HM25" i="51"/>
  <c r="HL25" i="51"/>
  <c r="HK25" i="51"/>
  <c r="HJ25" i="51"/>
  <c r="HI25" i="51"/>
  <c r="HH25" i="51"/>
  <c r="HG25" i="51"/>
  <c r="HF25" i="51"/>
  <c r="HE25" i="51"/>
  <c r="HD25" i="51"/>
  <c r="HC25" i="51"/>
  <c r="HB25" i="51"/>
  <c r="HA25" i="51"/>
  <c r="GZ25" i="51"/>
  <c r="GY25" i="51"/>
  <c r="GX25" i="51"/>
  <c r="GW25" i="51"/>
  <c r="GV25" i="51"/>
  <c r="GU25" i="51"/>
  <c r="GT25" i="51"/>
  <c r="GS25" i="51"/>
  <c r="GR25" i="51"/>
  <c r="GQ25" i="51"/>
  <c r="GP25" i="51"/>
  <c r="GO25" i="51"/>
  <c r="GN25" i="51"/>
  <c r="GM25" i="51"/>
  <c r="GL25" i="51"/>
  <c r="GK25" i="51"/>
  <c r="GJ25" i="51"/>
  <c r="GI25" i="51"/>
  <c r="GH25" i="51"/>
  <c r="GG25" i="51"/>
  <c r="GF25" i="51"/>
  <c r="GE25" i="51"/>
  <c r="GD25" i="51"/>
  <c r="GC25" i="51"/>
  <c r="GB25" i="51"/>
  <c r="GA25" i="51"/>
  <c r="FZ25" i="51"/>
  <c r="FY25" i="51"/>
  <c r="FX25" i="51"/>
  <c r="FW25" i="51"/>
  <c r="FV25" i="51"/>
  <c r="FU25" i="51"/>
  <c r="FT25" i="51"/>
  <c r="FS25" i="51"/>
  <c r="FR25" i="51"/>
  <c r="FQ25" i="51"/>
  <c r="FP25" i="51"/>
  <c r="FO25" i="51"/>
  <c r="FN25" i="51"/>
  <c r="FM25" i="51"/>
  <c r="FL25" i="51"/>
  <c r="FK25" i="51"/>
  <c r="FJ25" i="51"/>
  <c r="FI25" i="51"/>
  <c r="FH25" i="51"/>
  <c r="FG25" i="51"/>
  <c r="FF25" i="51"/>
  <c r="FE25" i="51"/>
  <c r="FD25" i="51"/>
  <c r="FC25" i="51"/>
  <c r="FB25" i="51"/>
  <c r="FA25" i="51"/>
  <c r="EZ25" i="51"/>
  <c r="EY25" i="51"/>
  <c r="EX25" i="51"/>
  <c r="EW25" i="51"/>
  <c r="EV25" i="51"/>
  <c r="EU25" i="51"/>
  <c r="ET25" i="51"/>
  <c r="ES25" i="51"/>
  <c r="ER25" i="51"/>
  <c r="EQ25" i="51"/>
  <c r="EP25" i="51"/>
  <c r="EO25" i="51"/>
  <c r="EN25" i="51"/>
  <c r="EM25" i="51"/>
  <c r="EL25" i="51"/>
  <c r="EK25" i="51"/>
  <c r="EJ25" i="51"/>
  <c r="EI25" i="51"/>
  <c r="EH25" i="51"/>
  <c r="EG25" i="51"/>
  <c r="EF25" i="51"/>
  <c r="EE25" i="51"/>
  <c r="ED25" i="51"/>
  <c r="EC25" i="51"/>
  <c r="EB25" i="51"/>
  <c r="EA25" i="51"/>
  <c r="DZ25" i="51"/>
  <c r="DY25" i="51"/>
  <c r="DX25" i="51"/>
  <c r="DW25" i="51"/>
  <c r="DV25" i="51"/>
  <c r="DU25" i="51"/>
  <c r="DT25" i="51"/>
  <c r="DS25" i="51"/>
  <c r="DR25" i="51"/>
  <c r="DQ25" i="51"/>
  <c r="DP25" i="51"/>
  <c r="DO25" i="51"/>
  <c r="DN25" i="51"/>
  <c r="DM25" i="51"/>
  <c r="DL25" i="51"/>
  <c r="DK25" i="51"/>
  <c r="DJ25" i="51"/>
  <c r="DI25" i="51"/>
  <c r="DH25" i="51"/>
  <c r="DG25" i="51"/>
  <c r="DF25" i="51"/>
  <c r="DE25" i="51"/>
  <c r="DD25" i="51"/>
  <c r="DC25" i="51"/>
  <c r="DB25" i="51"/>
  <c r="DA25" i="51"/>
  <c r="CZ25" i="51"/>
  <c r="CY25" i="51"/>
  <c r="CX25" i="51"/>
  <c r="CW25" i="51"/>
  <c r="CV25" i="51"/>
  <c r="CU25" i="51"/>
  <c r="CT25" i="51"/>
  <c r="CS25" i="51"/>
  <c r="CR25" i="51"/>
  <c r="CQ25" i="51"/>
  <c r="CP25" i="51"/>
  <c r="CO25" i="51"/>
  <c r="CN25" i="51"/>
  <c r="CM25" i="51"/>
  <c r="CL25" i="51"/>
  <c r="CK25" i="51"/>
  <c r="CJ25" i="51"/>
  <c r="CI25" i="51"/>
  <c r="CH25" i="51"/>
  <c r="CG25" i="51"/>
  <c r="CF25" i="51"/>
  <c r="CE25" i="51"/>
  <c r="CD25" i="51"/>
  <c r="CC25" i="51"/>
  <c r="CB25" i="51"/>
  <c r="CA25" i="51"/>
  <c r="BZ25" i="51"/>
  <c r="BY25" i="51"/>
  <c r="BX25" i="51"/>
  <c r="BW25" i="51"/>
  <c r="BV25" i="51"/>
  <c r="BU25" i="51"/>
  <c r="BT25" i="51"/>
  <c r="BS25" i="51"/>
  <c r="BR25" i="51"/>
  <c r="BQ25" i="51"/>
  <c r="BP25" i="51"/>
  <c r="BO25" i="51"/>
  <c r="BN25" i="51"/>
  <c r="BM25" i="51"/>
  <c r="BL25" i="51"/>
  <c r="BK25" i="51"/>
  <c r="BJ25" i="51"/>
  <c r="BI25" i="51"/>
  <c r="BH25" i="51"/>
  <c r="BG25" i="51"/>
  <c r="BF25" i="51"/>
  <c r="BE25" i="51"/>
  <c r="BD25" i="51"/>
  <c r="BC25" i="51"/>
  <c r="BB25" i="51"/>
  <c r="BA25" i="51"/>
  <c r="AZ25" i="51"/>
  <c r="AY25" i="51"/>
  <c r="AX25" i="51"/>
  <c r="AW25" i="51"/>
  <c r="AV25" i="51"/>
  <c r="AU25" i="51"/>
  <c r="AT25" i="51"/>
  <c r="AS25" i="51"/>
  <c r="AR25" i="51"/>
  <c r="AQ25" i="51"/>
  <c r="AP25" i="51"/>
  <c r="AO25" i="51"/>
  <c r="AN25" i="51"/>
  <c r="AM25" i="51"/>
  <c r="AL25" i="51"/>
  <c r="AK25" i="51"/>
  <c r="AJ25" i="51"/>
  <c r="AI25" i="51"/>
  <c r="AH25" i="51"/>
  <c r="AG25" i="51"/>
  <c r="AF25" i="51"/>
  <c r="AE25" i="51"/>
  <c r="AD25" i="51"/>
  <c r="AC25" i="51"/>
  <c r="AB25" i="51"/>
  <c r="AA25" i="51"/>
  <c r="Z25" i="51"/>
  <c r="Y25" i="51"/>
  <c r="X25" i="51"/>
  <c r="W25" i="51"/>
  <c r="V25" i="51"/>
  <c r="U25" i="51"/>
  <c r="T25" i="51"/>
  <c r="S25" i="51"/>
  <c r="R25" i="51"/>
  <c r="Q25" i="51"/>
  <c r="P25" i="51"/>
  <c r="O25" i="51"/>
  <c r="N25" i="51"/>
  <c r="M25" i="51"/>
  <c r="L25" i="51"/>
  <c r="K25" i="51"/>
  <c r="J25" i="51"/>
  <c r="I25" i="51"/>
  <c r="H25" i="51"/>
  <c r="G25" i="51"/>
  <c r="F25" i="51"/>
  <c r="IV24" i="51"/>
  <c r="IU24" i="51"/>
  <c r="IT24" i="51"/>
  <c r="IS24" i="51"/>
  <c r="IR24" i="51"/>
  <c r="IQ24" i="51"/>
  <c r="IP24" i="51"/>
  <c r="IO24" i="51"/>
  <c r="IN24" i="51"/>
  <c r="IM24" i="51"/>
  <c r="IL24" i="51"/>
  <c r="IK24" i="51"/>
  <c r="IJ24" i="51"/>
  <c r="II24" i="51"/>
  <c r="IH24" i="51"/>
  <c r="IG24" i="51"/>
  <c r="IF24" i="51"/>
  <c r="IE24" i="51"/>
  <c r="ID24" i="51"/>
  <c r="IC24" i="51"/>
  <c r="IB24" i="51"/>
  <c r="IA24" i="51"/>
  <c r="HZ24" i="51"/>
  <c r="HY24" i="51"/>
  <c r="HX24" i="51"/>
  <c r="HW24" i="51"/>
  <c r="HV24" i="51"/>
  <c r="HU24" i="51"/>
  <c r="HT24" i="51"/>
  <c r="HS24" i="51"/>
  <c r="HR24" i="51"/>
  <c r="HQ24" i="51"/>
  <c r="HP24" i="51"/>
  <c r="HO24" i="51"/>
  <c r="HN24" i="51"/>
  <c r="HM24" i="51"/>
  <c r="HL24" i="51"/>
  <c r="HK24" i="51"/>
  <c r="HJ24" i="51"/>
  <c r="HI24" i="51"/>
  <c r="HH24" i="51"/>
  <c r="HG24" i="51"/>
  <c r="HF24" i="51"/>
  <c r="HE24" i="51"/>
  <c r="HD24" i="51"/>
  <c r="HC24" i="51"/>
  <c r="HB24" i="51"/>
  <c r="HA24" i="51"/>
  <c r="GZ24" i="51"/>
  <c r="GY24" i="51"/>
  <c r="GX24" i="51"/>
  <c r="GW24" i="51"/>
  <c r="GV24" i="51"/>
  <c r="GU24" i="51"/>
  <c r="GT24" i="51"/>
  <c r="GS24" i="51"/>
  <c r="GR24" i="51"/>
  <c r="GQ24" i="51"/>
  <c r="GP24" i="51"/>
  <c r="GO24" i="51"/>
  <c r="GN24" i="51"/>
  <c r="GM24" i="51"/>
  <c r="GL24" i="51"/>
  <c r="GK24" i="51"/>
  <c r="GJ24" i="51"/>
  <c r="GI24" i="51"/>
  <c r="GH24" i="51"/>
  <c r="GG24" i="51"/>
  <c r="GF24" i="51"/>
  <c r="GE24" i="51"/>
  <c r="GD24" i="51"/>
  <c r="GC24" i="51"/>
  <c r="GB24" i="51"/>
  <c r="GA24" i="51"/>
  <c r="FZ24" i="51"/>
  <c r="FY24" i="51"/>
  <c r="FX24" i="51"/>
  <c r="FW24" i="51"/>
  <c r="FV24" i="51"/>
  <c r="FU24" i="51"/>
  <c r="FT24" i="51"/>
  <c r="FS24" i="51"/>
  <c r="FR24" i="51"/>
  <c r="FQ24" i="51"/>
  <c r="FP24" i="51"/>
  <c r="FO24" i="51"/>
  <c r="FN24" i="51"/>
  <c r="FM24" i="51"/>
  <c r="FL24" i="51"/>
  <c r="FK24" i="51"/>
  <c r="FJ24" i="51"/>
  <c r="FI24" i="51"/>
  <c r="FH24" i="51"/>
  <c r="FG24" i="51"/>
  <c r="FF24" i="51"/>
  <c r="FE24" i="51"/>
  <c r="FD24" i="51"/>
  <c r="FC24" i="51"/>
  <c r="FB24" i="51"/>
  <c r="FA24" i="51"/>
  <c r="EZ24" i="51"/>
  <c r="EY24" i="51"/>
  <c r="EX24" i="51"/>
  <c r="EW24" i="51"/>
  <c r="EV24" i="51"/>
  <c r="EU24" i="51"/>
  <c r="ET24" i="51"/>
  <c r="ES24" i="51"/>
  <c r="ER24" i="51"/>
  <c r="EQ24" i="51"/>
  <c r="EP24" i="51"/>
  <c r="EO24" i="51"/>
  <c r="EN24" i="51"/>
  <c r="EM24" i="51"/>
  <c r="EL24" i="51"/>
  <c r="EK24" i="51"/>
  <c r="EJ24" i="51"/>
  <c r="EI24" i="51"/>
  <c r="EH24" i="51"/>
  <c r="EG24" i="51"/>
  <c r="EF24" i="51"/>
  <c r="EE24" i="51"/>
  <c r="ED24" i="51"/>
  <c r="EC24" i="51"/>
  <c r="EB24" i="51"/>
  <c r="EA24" i="51"/>
  <c r="DZ24" i="51"/>
  <c r="DY24" i="51"/>
  <c r="DX24" i="51"/>
  <c r="DW24" i="51"/>
  <c r="DV24" i="51"/>
  <c r="DU24" i="51"/>
  <c r="DT24" i="51"/>
  <c r="DS24" i="51"/>
  <c r="DR24" i="51"/>
  <c r="DQ24" i="51"/>
  <c r="DP24" i="51"/>
  <c r="DO24" i="51"/>
  <c r="DN24" i="51"/>
  <c r="DM24" i="51"/>
  <c r="DL24" i="51"/>
  <c r="DK24" i="51"/>
  <c r="DJ24" i="51"/>
  <c r="DI24" i="51"/>
  <c r="DH24" i="51"/>
  <c r="DG24" i="51"/>
  <c r="DF24" i="51"/>
  <c r="DE24" i="51"/>
  <c r="DD24" i="51"/>
  <c r="DC24" i="51"/>
  <c r="DB24" i="51"/>
  <c r="DA24" i="51"/>
  <c r="CZ24" i="51"/>
  <c r="CY24" i="51"/>
  <c r="CX24" i="51"/>
  <c r="CW24" i="51"/>
  <c r="CV24" i="51"/>
  <c r="CU24" i="51"/>
  <c r="CT24" i="51"/>
  <c r="CS24" i="51"/>
  <c r="CR24" i="51"/>
  <c r="CQ24" i="51"/>
  <c r="CP24" i="51"/>
  <c r="CO24" i="51"/>
  <c r="CN24" i="51"/>
  <c r="CM24" i="51"/>
  <c r="CL24" i="51"/>
  <c r="CK24" i="51"/>
  <c r="CJ24" i="51"/>
  <c r="CI24" i="51"/>
  <c r="CH24" i="51"/>
  <c r="CG24" i="51"/>
  <c r="CF24" i="51"/>
  <c r="CE24" i="51"/>
  <c r="CD24" i="51"/>
  <c r="CC24" i="51"/>
  <c r="CB24" i="51"/>
  <c r="CA24" i="51"/>
  <c r="BZ24" i="51"/>
  <c r="BY24" i="51"/>
  <c r="BX24" i="51"/>
  <c r="BW24" i="51"/>
  <c r="BV24" i="51"/>
  <c r="BU24" i="51"/>
  <c r="BT24" i="51"/>
  <c r="BS24" i="51"/>
  <c r="BR24" i="51"/>
  <c r="BQ24" i="51"/>
  <c r="BP24" i="51"/>
  <c r="BO24" i="51"/>
  <c r="BN24" i="51"/>
  <c r="BM24" i="51"/>
  <c r="BL24" i="51"/>
  <c r="BK24" i="51"/>
  <c r="BJ24" i="51"/>
  <c r="BI24" i="51"/>
  <c r="BH24" i="51"/>
  <c r="BG24" i="51"/>
  <c r="BF24" i="51"/>
  <c r="BE24" i="51"/>
  <c r="BD24" i="51"/>
  <c r="BC24" i="51"/>
  <c r="BB24" i="51"/>
  <c r="BA24" i="51"/>
  <c r="AZ24" i="51"/>
  <c r="AY24" i="51"/>
  <c r="AX24" i="51"/>
  <c r="AW24" i="51"/>
  <c r="AV24" i="51"/>
  <c r="AU24" i="51"/>
  <c r="AT24" i="51"/>
  <c r="AS24" i="51"/>
  <c r="AR24" i="51"/>
  <c r="AQ24" i="51"/>
  <c r="AP24" i="51"/>
  <c r="AO24" i="51"/>
  <c r="AN24" i="51"/>
  <c r="AM24" i="51"/>
  <c r="AL24" i="51"/>
  <c r="AK24" i="51"/>
  <c r="AJ24" i="51"/>
  <c r="AI24" i="51"/>
  <c r="AH24" i="51"/>
  <c r="AG24" i="51"/>
  <c r="AF24" i="51"/>
  <c r="AE24" i="51"/>
  <c r="AD24" i="51"/>
  <c r="AC24" i="51"/>
  <c r="AB24" i="51"/>
  <c r="AA24" i="51"/>
  <c r="Z24" i="51"/>
  <c r="Y24" i="51"/>
  <c r="X24" i="51"/>
  <c r="W24" i="51"/>
  <c r="V24" i="51"/>
  <c r="U24" i="51"/>
  <c r="T24" i="51"/>
  <c r="S24" i="51"/>
  <c r="R24" i="51"/>
  <c r="Q24" i="51"/>
  <c r="P24" i="51"/>
  <c r="O24" i="51"/>
  <c r="N24" i="51"/>
  <c r="M24" i="51"/>
  <c r="L24" i="51"/>
  <c r="K24" i="51"/>
  <c r="J24" i="51"/>
  <c r="I24" i="51"/>
  <c r="H24" i="51"/>
  <c r="G24" i="51"/>
  <c r="F24" i="51"/>
  <c r="IV23" i="51"/>
  <c r="IU23" i="51"/>
  <c r="IT23" i="51"/>
  <c r="IS23" i="51"/>
  <c r="IR23" i="51"/>
  <c r="IQ23" i="51"/>
  <c r="IP23" i="51"/>
  <c r="IO23" i="51"/>
  <c r="IN23" i="51"/>
  <c r="IM23" i="51"/>
  <c r="IL23" i="51"/>
  <c r="IK23" i="51"/>
  <c r="IJ23" i="51"/>
  <c r="II23" i="51"/>
  <c r="IH23" i="51"/>
  <c r="IG23" i="51"/>
  <c r="IF23" i="51"/>
  <c r="IE23" i="51"/>
  <c r="ID23" i="51"/>
  <c r="IC23" i="51"/>
  <c r="IB23" i="51"/>
  <c r="IA23" i="51"/>
  <c r="HZ23" i="51"/>
  <c r="HY23" i="51"/>
  <c r="HX23" i="51"/>
  <c r="HW23" i="51"/>
  <c r="HV23" i="51"/>
  <c r="HU23" i="51"/>
  <c r="HT23" i="51"/>
  <c r="HS23" i="51"/>
  <c r="HR23" i="51"/>
  <c r="HQ23" i="51"/>
  <c r="HP23" i="51"/>
  <c r="HO23" i="51"/>
  <c r="HN23" i="51"/>
  <c r="HM23" i="51"/>
  <c r="HL23" i="51"/>
  <c r="HK23" i="51"/>
  <c r="HJ23" i="51"/>
  <c r="HI23" i="51"/>
  <c r="HH23" i="51"/>
  <c r="HG23" i="51"/>
  <c r="HF23" i="51"/>
  <c r="HE23" i="51"/>
  <c r="HD23" i="51"/>
  <c r="HC23" i="51"/>
  <c r="HB23" i="51"/>
  <c r="HA23" i="51"/>
  <c r="GZ23" i="51"/>
  <c r="GY23" i="51"/>
  <c r="GX23" i="51"/>
  <c r="GW23" i="51"/>
  <c r="GV23" i="51"/>
  <c r="GU23" i="51"/>
  <c r="GT23" i="51"/>
  <c r="GS23" i="51"/>
  <c r="GR23" i="51"/>
  <c r="GQ23" i="51"/>
  <c r="GP23" i="51"/>
  <c r="GO23" i="51"/>
  <c r="GN23" i="51"/>
  <c r="GM23" i="51"/>
  <c r="GL23" i="51"/>
  <c r="GK23" i="51"/>
  <c r="GJ23" i="51"/>
  <c r="GI23" i="51"/>
  <c r="GH23" i="51"/>
  <c r="GG23" i="51"/>
  <c r="GF23" i="51"/>
  <c r="GE23" i="51"/>
  <c r="GD23" i="51"/>
  <c r="GC23" i="51"/>
  <c r="GB23" i="51"/>
  <c r="GA23" i="51"/>
  <c r="FZ23" i="51"/>
  <c r="FY23" i="51"/>
  <c r="FX23" i="51"/>
  <c r="FW23" i="51"/>
  <c r="FV23" i="51"/>
  <c r="FU23" i="51"/>
  <c r="FT23" i="51"/>
  <c r="FS23" i="51"/>
  <c r="FR23" i="51"/>
  <c r="FQ23" i="51"/>
  <c r="FP23" i="51"/>
  <c r="FO23" i="51"/>
  <c r="FN23" i="51"/>
  <c r="FM23" i="51"/>
  <c r="FL23" i="51"/>
  <c r="FK23" i="51"/>
  <c r="FJ23" i="51"/>
  <c r="FI23" i="51"/>
  <c r="FH23" i="51"/>
  <c r="FG23" i="51"/>
  <c r="FF23" i="51"/>
  <c r="FE23" i="51"/>
  <c r="FD23" i="51"/>
  <c r="FC23" i="51"/>
  <c r="FB23" i="51"/>
  <c r="FA23" i="51"/>
  <c r="EZ23" i="51"/>
  <c r="EY23" i="51"/>
  <c r="EX23" i="51"/>
  <c r="EW23" i="51"/>
  <c r="EV23" i="51"/>
  <c r="EU23" i="51"/>
  <c r="ET23" i="51"/>
  <c r="ES23" i="51"/>
  <c r="ER23" i="51"/>
  <c r="EQ23" i="51"/>
  <c r="EP23" i="51"/>
  <c r="EO23" i="51"/>
  <c r="EN23" i="51"/>
  <c r="EM23" i="51"/>
  <c r="EL23" i="51"/>
  <c r="EK23" i="51"/>
  <c r="EJ23" i="51"/>
  <c r="EI23" i="51"/>
  <c r="EH23" i="51"/>
  <c r="EG23" i="51"/>
  <c r="EF23" i="51"/>
  <c r="EE23" i="51"/>
  <c r="ED23" i="51"/>
  <c r="EC23" i="51"/>
  <c r="EB23" i="51"/>
  <c r="EA23" i="51"/>
  <c r="DZ23" i="51"/>
  <c r="DY23" i="51"/>
  <c r="DX23" i="51"/>
  <c r="DW23" i="51"/>
  <c r="DV23" i="51"/>
  <c r="DU23" i="51"/>
  <c r="DT23" i="51"/>
  <c r="DS23" i="51"/>
  <c r="DR23" i="51"/>
  <c r="DQ23" i="51"/>
  <c r="DP23" i="51"/>
  <c r="DO23" i="51"/>
  <c r="DN23" i="51"/>
  <c r="DM23" i="51"/>
  <c r="DL23" i="51"/>
  <c r="DK23" i="51"/>
  <c r="DJ23" i="51"/>
  <c r="DI23" i="51"/>
  <c r="DH23" i="51"/>
  <c r="DG23" i="51"/>
  <c r="DF23" i="51"/>
  <c r="DE23" i="51"/>
  <c r="DD23" i="51"/>
  <c r="DC23" i="51"/>
  <c r="DB23" i="51"/>
  <c r="DA23" i="51"/>
  <c r="CZ23" i="51"/>
  <c r="CY23" i="51"/>
  <c r="CX23" i="51"/>
  <c r="CW23" i="51"/>
  <c r="CV23" i="51"/>
  <c r="CU23" i="51"/>
  <c r="CT23" i="51"/>
  <c r="CS23" i="51"/>
  <c r="CR23" i="51"/>
  <c r="CQ23" i="51"/>
  <c r="CP23" i="51"/>
  <c r="CO23" i="51"/>
  <c r="CN23" i="51"/>
  <c r="CM23" i="51"/>
  <c r="CL23" i="51"/>
  <c r="CK23" i="51"/>
  <c r="CJ23" i="51"/>
  <c r="CI23" i="51"/>
  <c r="CH23" i="51"/>
  <c r="CG23" i="51"/>
  <c r="CF23" i="51"/>
  <c r="CE23" i="51"/>
  <c r="CD23" i="51"/>
  <c r="CC23" i="51"/>
  <c r="CB23" i="51"/>
  <c r="CA23" i="51"/>
  <c r="BZ23" i="51"/>
  <c r="BY23" i="51"/>
  <c r="BX23" i="51"/>
  <c r="BW23" i="51"/>
  <c r="BV23" i="51"/>
  <c r="BU23" i="51"/>
  <c r="BT23" i="51"/>
  <c r="BS23" i="51"/>
  <c r="BR23" i="51"/>
  <c r="BQ23" i="51"/>
  <c r="BP23" i="51"/>
  <c r="BO23" i="51"/>
  <c r="BN23" i="51"/>
  <c r="BM23" i="51"/>
  <c r="BL23" i="51"/>
  <c r="BK23" i="51"/>
  <c r="BJ23" i="51"/>
  <c r="BI23" i="51"/>
  <c r="BH23" i="51"/>
  <c r="BG23" i="51"/>
  <c r="BF23" i="51"/>
  <c r="BE23" i="51"/>
  <c r="BD23" i="51"/>
  <c r="BC23" i="51"/>
  <c r="BB23" i="51"/>
  <c r="BA23" i="51"/>
  <c r="AZ23" i="51"/>
  <c r="AY23" i="51"/>
  <c r="AX23" i="51"/>
  <c r="AW23" i="51"/>
  <c r="AV23" i="51"/>
  <c r="AU23" i="51"/>
  <c r="AT23" i="51"/>
  <c r="AS23" i="51"/>
  <c r="AR23" i="51"/>
  <c r="AQ23" i="51"/>
  <c r="AP23" i="51"/>
  <c r="AO23" i="51"/>
  <c r="AN23" i="51"/>
  <c r="AM23" i="51"/>
  <c r="AL23" i="51"/>
  <c r="AK23" i="51"/>
  <c r="AJ23" i="51"/>
  <c r="AI23" i="51"/>
  <c r="AH23" i="51"/>
  <c r="AG23" i="51"/>
  <c r="AF23" i="51"/>
  <c r="AE23" i="51"/>
  <c r="AD23" i="51"/>
  <c r="AC23" i="51"/>
  <c r="AB23" i="51"/>
  <c r="AA23" i="51"/>
  <c r="Z23" i="51"/>
  <c r="Y23" i="51"/>
  <c r="X23" i="51"/>
  <c r="W23" i="51"/>
  <c r="V23" i="51"/>
  <c r="U23" i="51"/>
  <c r="T23" i="51"/>
  <c r="S23" i="51"/>
  <c r="R23" i="51"/>
  <c r="Q23" i="51"/>
  <c r="P23" i="51"/>
  <c r="O23" i="51"/>
  <c r="N23" i="51"/>
  <c r="M23" i="51"/>
  <c r="L23" i="51"/>
  <c r="K23" i="51"/>
  <c r="J23" i="51"/>
  <c r="I23" i="51"/>
  <c r="H23" i="51"/>
  <c r="G23" i="51"/>
  <c r="F23" i="51"/>
  <c r="IV22" i="51"/>
  <c r="IU22" i="51"/>
  <c r="IT22" i="51"/>
  <c r="IS22" i="51"/>
  <c r="IR22" i="51"/>
  <c r="IQ22" i="51"/>
  <c r="IP22" i="51"/>
  <c r="IO22" i="51"/>
  <c r="IN22" i="51"/>
  <c r="IM22" i="51"/>
  <c r="IL22" i="51"/>
  <c r="IK22" i="51"/>
  <c r="IJ22" i="51"/>
  <c r="II22" i="51"/>
  <c r="IH22" i="51"/>
  <c r="IG22" i="51"/>
  <c r="IF22" i="51"/>
  <c r="IE22" i="51"/>
  <c r="ID22" i="51"/>
  <c r="IC22" i="51"/>
  <c r="IB22" i="51"/>
  <c r="IA22" i="51"/>
  <c r="HZ22" i="51"/>
  <c r="HY22" i="51"/>
  <c r="HX22" i="51"/>
  <c r="HW22" i="51"/>
  <c r="HV22" i="51"/>
  <c r="HU22" i="51"/>
  <c r="HT22" i="51"/>
  <c r="HS22" i="51"/>
  <c r="HR22" i="51"/>
  <c r="HQ22" i="51"/>
  <c r="HP22" i="51"/>
  <c r="HO22" i="51"/>
  <c r="HN22" i="51"/>
  <c r="HM22" i="51"/>
  <c r="HL22" i="51"/>
  <c r="HK22" i="51"/>
  <c r="HJ22" i="51"/>
  <c r="HI22" i="51"/>
  <c r="HH22" i="51"/>
  <c r="HG22" i="51"/>
  <c r="HF22" i="51"/>
  <c r="HE22" i="51"/>
  <c r="HD22" i="51"/>
  <c r="HC22" i="51"/>
  <c r="HB22" i="51"/>
  <c r="HA22" i="51"/>
  <c r="GZ22" i="51"/>
  <c r="GY22" i="51"/>
  <c r="GX22" i="51"/>
  <c r="GW22" i="51"/>
  <c r="GV22" i="51"/>
  <c r="GU22" i="51"/>
  <c r="GT22" i="51"/>
  <c r="GS22" i="51"/>
  <c r="GR22" i="51"/>
  <c r="GQ22" i="51"/>
  <c r="GP22" i="51"/>
  <c r="GO22" i="51"/>
  <c r="GN22" i="51"/>
  <c r="GM22" i="51"/>
  <c r="GL22" i="51"/>
  <c r="GK22" i="51"/>
  <c r="GJ22" i="51"/>
  <c r="GI22" i="51"/>
  <c r="GH22" i="51"/>
  <c r="GG22" i="51"/>
  <c r="GF22" i="51"/>
  <c r="GE22" i="51"/>
  <c r="GD22" i="51"/>
  <c r="GC22" i="51"/>
  <c r="GB22" i="51"/>
  <c r="GA22" i="51"/>
  <c r="FZ22" i="51"/>
  <c r="FY22" i="51"/>
  <c r="FX22" i="51"/>
  <c r="FW22" i="51"/>
  <c r="FV22" i="51"/>
  <c r="FU22" i="51"/>
  <c r="FT22" i="51"/>
  <c r="FS22" i="51"/>
  <c r="FR22" i="51"/>
  <c r="FQ22" i="51"/>
  <c r="FP22" i="51"/>
  <c r="FO22" i="51"/>
  <c r="FN22" i="51"/>
  <c r="FM22" i="51"/>
  <c r="FL22" i="51"/>
  <c r="FK22" i="51"/>
  <c r="FJ22" i="51"/>
  <c r="FI22" i="51"/>
  <c r="FH22" i="51"/>
  <c r="FG22" i="51"/>
  <c r="FF22" i="51"/>
  <c r="FE22" i="51"/>
  <c r="FD22" i="51"/>
  <c r="FC22" i="51"/>
  <c r="FB22" i="51"/>
  <c r="FA22" i="51"/>
  <c r="EZ22" i="51"/>
  <c r="EY22" i="51"/>
  <c r="EX22" i="51"/>
  <c r="EW22" i="51"/>
  <c r="EV22" i="51"/>
  <c r="EU22" i="51"/>
  <c r="ET22" i="51"/>
  <c r="ES22" i="51"/>
  <c r="ER22" i="51"/>
  <c r="EQ22" i="51"/>
  <c r="EP22" i="51"/>
  <c r="EO22" i="51"/>
  <c r="EN22" i="51"/>
  <c r="EM22" i="51"/>
  <c r="EL22" i="51"/>
  <c r="EK22" i="51"/>
  <c r="EJ22" i="51"/>
  <c r="EI22" i="51"/>
  <c r="EH22" i="51"/>
  <c r="EG22" i="51"/>
  <c r="EF22" i="51"/>
  <c r="EE22" i="51"/>
  <c r="ED22" i="51"/>
  <c r="EC22" i="51"/>
  <c r="EB22" i="51"/>
  <c r="EA22" i="51"/>
  <c r="DZ22" i="51"/>
  <c r="DY22" i="51"/>
  <c r="DX22" i="51"/>
  <c r="DW22" i="51"/>
  <c r="DV22" i="51"/>
  <c r="DU22" i="51"/>
  <c r="DT22" i="51"/>
  <c r="DS22" i="51"/>
  <c r="DR22" i="51"/>
  <c r="DQ22" i="51"/>
  <c r="DP22" i="51"/>
  <c r="DO22" i="51"/>
  <c r="DN22" i="51"/>
  <c r="DM22" i="51"/>
  <c r="DL22" i="51"/>
  <c r="DK22" i="51"/>
  <c r="DJ22" i="51"/>
  <c r="DI22" i="51"/>
  <c r="DH22" i="51"/>
  <c r="DG22" i="51"/>
  <c r="DF22" i="51"/>
  <c r="DE22" i="51"/>
  <c r="DD22" i="51"/>
  <c r="DC22" i="51"/>
  <c r="DB22" i="51"/>
  <c r="DA22" i="51"/>
  <c r="CZ22" i="51"/>
  <c r="CY22" i="51"/>
  <c r="CX22" i="51"/>
  <c r="CW22" i="51"/>
  <c r="CV22" i="51"/>
  <c r="CU22" i="51"/>
  <c r="CT22" i="51"/>
  <c r="CS22" i="51"/>
  <c r="CR22" i="51"/>
  <c r="CQ22" i="51"/>
  <c r="CP22" i="51"/>
  <c r="CO22" i="51"/>
  <c r="CN22" i="51"/>
  <c r="CM22" i="51"/>
  <c r="CL22" i="51"/>
  <c r="CK22" i="51"/>
  <c r="CJ22" i="51"/>
  <c r="CI22" i="51"/>
  <c r="CH22" i="51"/>
  <c r="CG22" i="51"/>
  <c r="CF22" i="51"/>
  <c r="CE22" i="51"/>
  <c r="CD22" i="51"/>
  <c r="CC22" i="51"/>
  <c r="CB22" i="51"/>
  <c r="CA22" i="51"/>
  <c r="BZ22" i="51"/>
  <c r="BY22" i="51"/>
  <c r="BX22" i="51"/>
  <c r="BW22" i="51"/>
  <c r="BV22" i="51"/>
  <c r="BU22" i="51"/>
  <c r="BT22" i="51"/>
  <c r="BS22" i="51"/>
  <c r="BR22" i="51"/>
  <c r="BQ22" i="51"/>
  <c r="BP22" i="51"/>
  <c r="BO22" i="51"/>
  <c r="BN22" i="51"/>
  <c r="BM22" i="51"/>
  <c r="BL22" i="51"/>
  <c r="BK22" i="51"/>
  <c r="BJ22" i="51"/>
  <c r="BI22" i="51"/>
  <c r="BH22" i="51"/>
  <c r="BG22" i="51"/>
  <c r="BF22" i="51"/>
  <c r="BE22" i="51"/>
  <c r="BD22" i="51"/>
  <c r="BC22" i="51"/>
  <c r="BB22" i="51"/>
  <c r="BA22" i="51"/>
  <c r="AZ22" i="51"/>
  <c r="AY22" i="51"/>
  <c r="AX22" i="51"/>
  <c r="AW22" i="51"/>
  <c r="AV22" i="51"/>
  <c r="AU22" i="51"/>
  <c r="AT22" i="51"/>
  <c r="AS22" i="51"/>
  <c r="AR22" i="51"/>
  <c r="AQ22" i="51"/>
  <c r="AP22" i="51"/>
  <c r="AO22" i="51"/>
  <c r="AN22" i="51"/>
  <c r="AM22" i="51"/>
  <c r="AL22" i="51"/>
  <c r="AK22" i="51"/>
  <c r="AJ22" i="51"/>
  <c r="AI22" i="51"/>
  <c r="AH22" i="51"/>
  <c r="AG22" i="51"/>
  <c r="AF22" i="51"/>
  <c r="AE22" i="51"/>
  <c r="AD22" i="51"/>
  <c r="AC22" i="51"/>
  <c r="AB22" i="51"/>
  <c r="AA22" i="51"/>
  <c r="Z22" i="51"/>
  <c r="Y22" i="51"/>
  <c r="X22" i="51"/>
  <c r="W22" i="51"/>
  <c r="V22" i="51"/>
  <c r="U22" i="51"/>
  <c r="T22" i="51"/>
  <c r="S22" i="51"/>
  <c r="R22" i="51"/>
  <c r="Q22" i="51"/>
  <c r="P22" i="51"/>
  <c r="O22" i="51"/>
  <c r="N22" i="51"/>
  <c r="M22" i="51"/>
  <c r="L22" i="51"/>
  <c r="K22" i="51"/>
  <c r="J22" i="51"/>
  <c r="I22" i="51"/>
  <c r="H22" i="51"/>
  <c r="G22" i="51"/>
  <c r="F22" i="51"/>
  <c r="IV21" i="51"/>
  <c r="IU21" i="51"/>
  <c r="IT21" i="51"/>
  <c r="IS21" i="51"/>
  <c r="IR21" i="51"/>
  <c r="IQ21" i="51"/>
  <c r="IP21" i="51"/>
  <c r="IO21" i="51"/>
  <c r="IN21" i="51"/>
  <c r="IM21" i="51"/>
  <c r="IL21" i="51"/>
  <c r="IK21" i="51"/>
  <c r="IJ21" i="51"/>
  <c r="II21" i="51"/>
  <c r="IH21" i="51"/>
  <c r="IG21" i="51"/>
  <c r="IF21" i="51"/>
  <c r="IE21" i="51"/>
  <c r="ID21" i="51"/>
  <c r="IC21" i="51"/>
  <c r="IB21" i="51"/>
  <c r="IA21" i="51"/>
  <c r="HZ21" i="51"/>
  <c r="HY21" i="51"/>
  <c r="HX21" i="51"/>
  <c r="HW21" i="51"/>
  <c r="HV21" i="51"/>
  <c r="HU21" i="51"/>
  <c r="HT21" i="51"/>
  <c r="HS21" i="51"/>
  <c r="HR21" i="51"/>
  <c r="HQ21" i="51"/>
  <c r="HP21" i="51"/>
  <c r="HO21" i="51"/>
  <c r="HN21" i="51"/>
  <c r="HM21" i="51"/>
  <c r="HL21" i="51"/>
  <c r="HK21" i="51"/>
  <c r="HJ21" i="51"/>
  <c r="HI21" i="51"/>
  <c r="HH21" i="51"/>
  <c r="HG21" i="51"/>
  <c r="HF21" i="51"/>
  <c r="HE21" i="51"/>
  <c r="HD21" i="51"/>
  <c r="HC21" i="51"/>
  <c r="HB21" i="51"/>
  <c r="HA21" i="51"/>
  <c r="GZ21" i="51"/>
  <c r="GY21" i="51"/>
  <c r="GX21" i="51"/>
  <c r="GW21" i="51"/>
  <c r="GV21" i="51"/>
  <c r="GU21" i="51"/>
  <c r="GT21" i="51"/>
  <c r="GS21" i="51"/>
  <c r="GR21" i="51"/>
  <c r="GQ21" i="51"/>
  <c r="GP21" i="51"/>
  <c r="GO21" i="51"/>
  <c r="GN21" i="51"/>
  <c r="GM21" i="51"/>
  <c r="GL21" i="51"/>
  <c r="GK21" i="51"/>
  <c r="GJ21" i="51"/>
  <c r="GI21" i="51"/>
  <c r="GH21" i="51"/>
  <c r="GG21" i="51"/>
  <c r="GF21" i="51"/>
  <c r="GE21" i="51"/>
  <c r="GD21" i="51"/>
  <c r="GC21" i="51"/>
  <c r="GB21" i="51"/>
  <c r="GA21" i="51"/>
  <c r="FZ21" i="51"/>
  <c r="FY21" i="51"/>
  <c r="FX21" i="51"/>
  <c r="FW21" i="51"/>
  <c r="FV21" i="51"/>
  <c r="FU21" i="51"/>
  <c r="FT21" i="51"/>
  <c r="FS21" i="51"/>
  <c r="FR21" i="51"/>
  <c r="FQ21" i="51"/>
  <c r="FP21" i="51"/>
  <c r="FO21" i="51"/>
  <c r="FN21" i="51"/>
  <c r="FM21" i="51"/>
  <c r="FL21" i="51"/>
  <c r="FK21" i="51"/>
  <c r="FJ21" i="51"/>
  <c r="FI21" i="51"/>
  <c r="FH21" i="51"/>
  <c r="FG21" i="51"/>
  <c r="FF21" i="51"/>
  <c r="FE21" i="51"/>
  <c r="FD21" i="51"/>
  <c r="FC21" i="51"/>
  <c r="FB21" i="51"/>
  <c r="FA21" i="51"/>
  <c r="EZ21" i="51"/>
  <c r="EY21" i="51"/>
  <c r="EX21" i="51"/>
  <c r="EW21" i="51"/>
  <c r="EV21" i="51"/>
  <c r="EU21" i="51"/>
  <c r="ET21" i="51"/>
  <c r="ES21" i="51"/>
  <c r="ER21" i="51"/>
  <c r="EQ21" i="51"/>
  <c r="EP21" i="51"/>
  <c r="EO21" i="51"/>
  <c r="EN21" i="51"/>
  <c r="EM21" i="51"/>
  <c r="EL21" i="51"/>
  <c r="EK21" i="51"/>
  <c r="EJ21" i="51"/>
  <c r="EI21" i="51"/>
  <c r="EH21" i="51"/>
  <c r="EG21" i="51"/>
  <c r="EF21" i="51"/>
  <c r="EE21" i="51"/>
  <c r="ED21" i="51"/>
  <c r="EC21" i="51"/>
  <c r="EB21" i="51"/>
  <c r="EA21" i="51"/>
  <c r="DZ21" i="51"/>
  <c r="DY21" i="51"/>
  <c r="DX21" i="51"/>
  <c r="DW21" i="51"/>
  <c r="DV21" i="51"/>
  <c r="DU21" i="51"/>
  <c r="DT21" i="51"/>
  <c r="DS21" i="51"/>
  <c r="DR21" i="51"/>
  <c r="DQ21" i="51"/>
  <c r="DP21" i="51"/>
  <c r="DO21" i="51"/>
  <c r="DN21" i="51"/>
  <c r="DM21" i="51"/>
  <c r="DL21" i="51"/>
  <c r="DK21" i="51"/>
  <c r="DJ21" i="51"/>
  <c r="DI21" i="51"/>
  <c r="DH21" i="51"/>
  <c r="DG21" i="51"/>
  <c r="DF21" i="51"/>
  <c r="DE21" i="51"/>
  <c r="DD21" i="51"/>
  <c r="DC21" i="51"/>
  <c r="DB21" i="51"/>
  <c r="DA21" i="51"/>
  <c r="CZ21" i="51"/>
  <c r="CY21" i="51"/>
  <c r="CX21" i="51"/>
  <c r="CW21" i="51"/>
  <c r="CV21" i="51"/>
  <c r="CU21" i="51"/>
  <c r="CT21" i="51"/>
  <c r="CS21" i="51"/>
  <c r="CR21" i="51"/>
  <c r="CQ21" i="51"/>
  <c r="CP21" i="51"/>
  <c r="CO21" i="51"/>
  <c r="CN21" i="51"/>
  <c r="CM21" i="51"/>
  <c r="CL21" i="51"/>
  <c r="CK21" i="51"/>
  <c r="CJ21" i="51"/>
  <c r="CI21" i="51"/>
  <c r="CH21" i="51"/>
  <c r="CG21" i="51"/>
  <c r="CF21" i="51"/>
  <c r="CE21" i="51"/>
  <c r="CD21" i="51"/>
  <c r="CC21" i="51"/>
  <c r="CB21" i="51"/>
  <c r="CA21" i="51"/>
  <c r="BZ21" i="51"/>
  <c r="BY21" i="51"/>
  <c r="BX21" i="51"/>
  <c r="BW21" i="51"/>
  <c r="BV21" i="51"/>
  <c r="BU21" i="51"/>
  <c r="BT21" i="51"/>
  <c r="BS21" i="51"/>
  <c r="BR21" i="51"/>
  <c r="BQ21" i="51"/>
  <c r="BP21" i="51"/>
  <c r="BO21" i="51"/>
  <c r="BN21" i="51"/>
  <c r="BM21" i="51"/>
  <c r="BL21" i="51"/>
  <c r="BK21" i="51"/>
  <c r="BJ21" i="51"/>
  <c r="BI21" i="51"/>
  <c r="BH21" i="51"/>
  <c r="BG21" i="51"/>
  <c r="BF21" i="51"/>
  <c r="BE21" i="51"/>
  <c r="BD21" i="51"/>
  <c r="BC21" i="51"/>
  <c r="BB21" i="51"/>
  <c r="BA21" i="51"/>
  <c r="AZ21" i="51"/>
  <c r="AY21" i="51"/>
  <c r="AX21" i="51"/>
  <c r="AW21" i="51"/>
  <c r="AV21" i="51"/>
  <c r="AU21" i="51"/>
  <c r="AT21" i="51"/>
  <c r="AS21" i="51"/>
  <c r="AR21" i="51"/>
  <c r="AQ21" i="51"/>
  <c r="AP21" i="51"/>
  <c r="AO21" i="51"/>
  <c r="AN21" i="51"/>
  <c r="AM21" i="51"/>
  <c r="AL21" i="51"/>
  <c r="AK21" i="51"/>
  <c r="AJ21" i="51"/>
  <c r="AI21" i="51"/>
  <c r="AH21" i="51"/>
  <c r="AG21" i="51"/>
  <c r="AF21" i="51"/>
  <c r="AE21" i="51"/>
  <c r="AD21" i="51"/>
  <c r="AC21" i="51"/>
  <c r="AB21" i="51"/>
  <c r="AA21" i="51"/>
  <c r="Z21" i="51"/>
  <c r="Y21" i="51"/>
  <c r="X21" i="51"/>
  <c r="W21" i="51"/>
  <c r="V21" i="51"/>
  <c r="U21" i="51"/>
  <c r="T21" i="51"/>
  <c r="S21" i="51"/>
  <c r="R21" i="51"/>
  <c r="Q21" i="51"/>
  <c r="P21" i="51"/>
  <c r="O21" i="51"/>
  <c r="N21" i="51"/>
  <c r="M21" i="51"/>
  <c r="L21" i="51"/>
  <c r="K21" i="51"/>
  <c r="J21" i="51"/>
  <c r="I21" i="51"/>
  <c r="H21" i="51"/>
  <c r="G21" i="51"/>
  <c r="F21" i="51"/>
  <c r="IV20" i="51"/>
  <c r="IU20" i="51"/>
  <c r="IT20" i="51"/>
  <c r="IS20" i="51"/>
  <c r="IR20" i="51"/>
  <c r="IQ20" i="51"/>
  <c r="IP20" i="51"/>
  <c r="IO20" i="51"/>
  <c r="IN20" i="51"/>
  <c r="IM20" i="51"/>
  <c r="IL20" i="51"/>
  <c r="IK20" i="51"/>
  <c r="IJ20" i="51"/>
  <c r="II20" i="51"/>
  <c r="IH20" i="51"/>
  <c r="IG20" i="51"/>
  <c r="IF20" i="51"/>
  <c r="IE20" i="51"/>
  <c r="ID20" i="51"/>
  <c r="IC20" i="51"/>
  <c r="IB20" i="51"/>
  <c r="IA20" i="51"/>
  <c r="HZ20" i="51"/>
  <c r="HY20" i="51"/>
  <c r="HX20" i="51"/>
  <c r="HW20" i="51"/>
  <c r="HV20" i="51"/>
  <c r="HU20" i="51"/>
  <c r="HT20" i="51"/>
  <c r="HS20" i="51"/>
  <c r="HR20" i="51"/>
  <c r="HQ20" i="51"/>
  <c r="HP20" i="51"/>
  <c r="HO20" i="51"/>
  <c r="HN20" i="51"/>
  <c r="HM20" i="51"/>
  <c r="HL20" i="51"/>
  <c r="HK20" i="51"/>
  <c r="HJ20" i="51"/>
  <c r="HI20" i="51"/>
  <c r="HH20" i="51"/>
  <c r="HG20" i="51"/>
  <c r="HF20" i="51"/>
  <c r="HE20" i="51"/>
  <c r="HD20" i="51"/>
  <c r="HC20" i="51"/>
  <c r="HB20" i="51"/>
  <c r="HA20" i="51"/>
  <c r="GZ20" i="51"/>
  <c r="GY20" i="51"/>
  <c r="GX20" i="51"/>
  <c r="GW20" i="51"/>
  <c r="GV20" i="51"/>
  <c r="GU20" i="51"/>
  <c r="GT20" i="51"/>
  <c r="GS20" i="51"/>
  <c r="GR20" i="51"/>
  <c r="GQ20" i="51"/>
  <c r="GP20" i="51"/>
  <c r="GO20" i="51"/>
  <c r="GN20" i="51"/>
  <c r="GM20" i="51"/>
  <c r="GL20" i="51"/>
  <c r="GK20" i="51"/>
  <c r="GJ20" i="51"/>
  <c r="GI20" i="51"/>
  <c r="GH20" i="51"/>
  <c r="GG20" i="51"/>
  <c r="GF20" i="51"/>
  <c r="GE20" i="51"/>
  <c r="GD20" i="51"/>
  <c r="GC20" i="51"/>
  <c r="GB20" i="51"/>
  <c r="GA20" i="51"/>
  <c r="FZ20" i="51"/>
  <c r="FY20" i="51"/>
  <c r="FX20" i="51"/>
  <c r="FW20" i="51"/>
  <c r="FV20" i="51"/>
  <c r="FU20" i="51"/>
  <c r="FT20" i="51"/>
  <c r="FS20" i="51"/>
  <c r="FR20" i="51"/>
  <c r="FQ20" i="51"/>
  <c r="FP20" i="51"/>
  <c r="FO20" i="51"/>
  <c r="FN20" i="51"/>
  <c r="FM20" i="51"/>
  <c r="FL20" i="51"/>
  <c r="FK20" i="51"/>
  <c r="FJ20" i="51"/>
  <c r="FI20" i="51"/>
  <c r="FH20" i="51"/>
  <c r="FG20" i="51"/>
  <c r="FF20" i="51"/>
  <c r="FE20" i="51"/>
  <c r="FD20" i="51"/>
  <c r="FC20" i="51"/>
  <c r="FB20" i="51"/>
  <c r="FA20" i="51"/>
  <c r="EZ20" i="51"/>
  <c r="EY20" i="51"/>
  <c r="EX20" i="51"/>
  <c r="EW20" i="51"/>
  <c r="EV20" i="51"/>
  <c r="EU20" i="51"/>
  <c r="ET20" i="51"/>
  <c r="ES20" i="51"/>
  <c r="ER20" i="51"/>
  <c r="EQ20" i="51"/>
  <c r="EP20" i="51"/>
  <c r="EO20" i="51"/>
  <c r="EN20" i="51"/>
  <c r="EM20" i="51"/>
  <c r="EL20" i="51"/>
  <c r="EK20" i="51"/>
  <c r="EJ20" i="51"/>
  <c r="EI20" i="51"/>
  <c r="EH20" i="51"/>
  <c r="EG20" i="51"/>
  <c r="EF20" i="51"/>
  <c r="EE20" i="51"/>
  <c r="ED20" i="51"/>
  <c r="EC20" i="51"/>
  <c r="EB20" i="51"/>
  <c r="EA20" i="51"/>
  <c r="DZ20" i="51"/>
  <c r="DY20" i="51"/>
  <c r="DX20" i="51"/>
  <c r="DW20" i="51"/>
  <c r="DV20" i="51"/>
  <c r="DU20" i="51"/>
  <c r="DT20" i="51"/>
  <c r="DS20" i="51"/>
  <c r="DR20" i="51"/>
  <c r="DQ20" i="51"/>
  <c r="DP20" i="51"/>
  <c r="DO20" i="51"/>
  <c r="DN20" i="51"/>
  <c r="DM20" i="51"/>
  <c r="DL20" i="51"/>
  <c r="DK20" i="51"/>
  <c r="DJ20" i="51"/>
  <c r="DI20" i="51"/>
  <c r="DH20" i="51"/>
  <c r="DG20" i="51"/>
  <c r="DF20" i="51"/>
  <c r="DE20" i="51"/>
  <c r="DD20" i="51"/>
  <c r="DC20" i="51"/>
  <c r="DB20" i="51"/>
  <c r="DA20" i="51"/>
  <c r="CZ20" i="51"/>
  <c r="CY20" i="51"/>
  <c r="CX20" i="51"/>
  <c r="CW20" i="51"/>
  <c r="CV20" i="51"/>
  <c r="CU20" i="51"/>
  <c r="CT20" i="51"/>
  <c r="CS20" i="51"/>
  <c r="CR20" i="51"/>
  <c r="CQ20" i="51"/>
  <c r="CP20" i="51"/>
  <c r="CO20" i="51"/>
  <c r="CN20" i="51"/>
  <c r="CM20" i="51"/>
  <c r="CL20" i="51"/>
  <c r="CK20" i="51"/>
  <c r="CJ20" i="51"/>
  <c r="CI20" i="51"/>
  <c r="CH20" i="51"/>
  <c r="CG20" i="51"/>
  <c r="CF20" i="51"/>
  <c r="CE20" i="51"/>
  <c r="CD20" i="51"/>
  <c r="CC20" i="51"/>
  <c r="CB20" i="51"/>
  <c r="CA20" i="51"/>
  <c r="BZ20" i="51"/>
  <c r="BY20" i="51"/>
  <c r="BX20" i="51"/>
  <c r="BW20" i="51"/>
  <c r="BV20" i="51"/>
  <c r="BU20" i="51"/>
  <c r="BT20" i="51"/>
  <c r="BS20" i="51"/>
  <c r="BR20" i="51"/>
  <c r="BQ20" i="51"/>
  <c r="BP20" i="51"/>
  <c r="BO20" i="51"/>
  <c r="BN20" i="51"/>
  <c r="BM20" i="51"/>
  <c r="BL20" i="51"/>
  <c r="BK20" i="51"/>
  <c r="BJ20" i="51"/>
  <c r="BI20" i="51"/>
  <c r="BH20" i="51"/>
  <c r="BG20" i="51"/>
  <c r="BF20" i="51"/>
  <c r="BE20" i="51"/>
  <c r="BD20" i="51"/>
  <c r="BC20" i="51"/>
  <c r="BB20" i="51"/>
  <c r="BA20" i="51"/>
  <c r="AZ20" i="51"/>
  <c r="AY20" i="51"/>
  <c r="AX20" i="51"/>
  <c r="AW20" i="51"/>
  <c r="AV20" i="51"/>
  <c r="AU20" i="51"/>
  <c r="AT20" i="51"/>
  <c r="AS20" i="51"/>
  <c r="AR20" i="51"/>
  <c r="AQ20" i="51"/>
  <c r="AP20" i="51"/>
  <c r="AO20" i="51"/>
  <c r="AN20" i="51"/>
  <c r="AM20" i="51"/>
  <c r="AL20" i="51"/>
  <c r="AK20" i="51"/>
  <c r="AJ20" i="51"/>
  <c r="AI20" i="51"/>
  <c r="AH20" i="51"/>
  <c r="AG20" i="51"/>
  <c r="AF20" i="51"/>
  <c r="AE20" i="51"/>
  <c r="AD20" i="51"/>
  <c r="AC20" i="51"/>
  <c r="AB20" i="51"/>
  <c r="AA20" i="51"/>
  <c r="Z20" i="51"/>
  <c r="Y20" i="51"/>
  <c r="X20" i="51"/>
  <c r="W20" i="51"/>
  <c r="V20" i="51"/>
  <c r="U20" i="51"/>
  <c r="T20" i="51"/>
  <c r="S20" i="51"/>
  <c r="R20" i="51"/>
  <c r="Q20" i="51"/>
  <c r="P20" i="51"/>
  <c r="O20" i="51"/>
  <c r="N20" i="51"/>
  <c r="M20" i="51"/>
  <c r="L20" i="51"/>
  <c r="K20" i="51"/>
  <c r="J20" i="51"/>
  <c r="I20" i="51"/>
  <c r="H20" i="51"/>
  <c r="G20" i="51"/>
  <c r="F20" i="51"/>
  <c r="IV19" i="51"/>
  <c r="IU19" i="51"/>
  <c r="IT19" i="51"/>
  <c r="IS19" i="51"/>
  <c r="IR19" i="51"/>
  <c r="IQ19" i="51"/>
  <c r="IP19" i="51"/>
  <c r="IO19" i="51"/>
  <c r="IN19" i="51"/>
  <c r="IM19" i="51"/>
  <c r="IL19" i="51"/>
  <c r="IK19" i="51"/>
  <c r="IJ19" i="51"/>
  <c r="II19" i="51"/>
  <c r="IH19" i="51"/>
  <c r="IG19" i="51"/>
  <c r="IF19" i="51"/>
  <c r="IE19" i="51"/>
  <c r="ID19" i="51"/>
  <c r="IC19" i="51"/>
  <c r="IB19" i="51"/>
  <c r="IA19" i="51"/>
  <c r="HZ19" i="51"/>
  <c r="HY19" i="51"/>
  <c r="HX19" i="51"/>
  <c r="HW19" i="51"/>
  <c r="HV19" i="51"/>
  <c r="HU19" i="51"/>
  <c r="HT19" i="51"/>
  <c r="HS19" i="51"/>
  <c r="HR19" i="51"/>
  <c r="HQ19" i="51"/>
  <c r="HP19" i="51"/>
  <c r="HO19" i="51"/>
  <c r="HN19" i="51"/>
  <c r="HM19" i="51"/>
  <c r="HL19" i="51"/>
  <c r="HK19" i="51"/>
  <c r="HJ19" i="51"/>
  <c r="HI19" i="51"/>
  <c r="HH19" i="51"/>
  <c r="HG19" i="51"/>
  <c r="HF19" i="51"/>
  <c r="HE19" i="51"/>
  <c r="HD19" i="51"/>
  <c r="HC19" i="51"/>
  <c r="HB19" i="51"/>
  <c r="HA19" i="51"/>
  <c r="GZ19" i="51"/>
  <c r="GY19" i="51"/>
  <c r="GX19" i="51"/>
  <c r="GW19" i="51"/>
  <c r="GV19" i="51"/>
  <c r="GU19" i="51"/>
  <c r="GT19" i="51"/>
  <c r="GS19" i="51"/>
  <c r="GR19" i="51"/>
  <c r="GQ19" i="51"/>
  <c r="GP19" i="51"/>
  <c r="GO19" i="51"/>
  <c r="GN19" i="51"/>
  <c r="GM19" i="51"/>
  <c r="GL19" i="51"/>
  <c r="GK19" i="51"/>
  <c r="GJ19" i="51"/>
  <c r="GI19" i="51"/>
  <c r="GH19" i="51"/>
  <c r="GG19" i="51"/>
  <c r="GF19" i="51"/>
  <c r="GE19" i="51"/>
  <c r="GD19" i="51"/>
  <c r="GC19" i="51"/>
  <c r="GB19" i="51"/>
  <c r="GA19" i="51"/>
  <c r="FZ19" i="51"/>
  <c r="FY19" i="51"/>
  <c r="FX19" i="51"/>
  <c r="FW19" i="51"/>
  <c r="FV19" i="51"/>
  <c r="FU19" i="51"/>
  <c r="FT19" i="51"/>
  <c r="FS19" i="51"/>
  <c r="FR19" i="51"/>
  <c r="FQ19" i="51"/>
  <c r="FP19" i="51"/>
  <c r="FO19" i="51"/>
  <c r="FN19" i="51"/>
  <c r="FM19" i="51"/>
  <c r="FL19" i="51"/>
  <c r="FK19" i="51"/>
  <c r="FJ19" i="51"/>
  <c r="FI19" i="51"/>
  <c r="FH19" i="51"/>
  <c r="FG19" i="51"/>
  <c r="FF19" i="51"/>
  <c r="FE19" i="51"/>
  <c r="FD19" i="51"/>
  <c r="FC19" i="51"/>
  <c r="FB19" i="51"/>
  <c r="FA19" i="51"/>
  <c r="EZ19" i="51"/>
  <c r="EY19" i="51"/>
  <c r="EX19" i="51"/>
  <c r="EW19" i="51"/>
  <c r="EV19" i="51"/>
  <c r="EU19" i="51"/>
  <c r="ET19" i="51"/>
  <c r="ES19" i="51"/>
  <c r="ER19" i="51"/>
  <c r="EQ19" i="51"/>
  <c r="EP19" i="51"/>
  <c r="EO19" i="51"/>
  <c r="EN19" i="51"/>
  <c r="EM19" i="51"/>
  <c r="EL19" i="51"/>
  <c r="EK19" i="51"/>
  <c r="EJ19" i="51"/>
  <c r="EI19" i="51"/>
  <c r="EH19" i="51"/>
  <c r="EG19" i="51"/>
  <c r="EF19" i="51"/>
  <c r="EE19" i="51"/>
  <c r="ED19" i="51"/>
  <c r="EC19" i="51"/>
  <c r="EB19" i="51"/>
  <c r="EA19" i="51"/>
  <c r="DZ19" i="51"/>
  <c r="DY19" i="51"/>
  <c r="DX19" i="51"/>
  <c r="DW19" i="51"/>
  <c r="DV19" i="51"/>
  <c r="DU19" i="51"/>
  <c r="DT19" i="51"/>
  <c r="DS19" i="51"/>
  <c r="DR19" i="51"/>
  <c r="DQ19" i="51"/>
  <c r="DP19" i="51"/>
  <c r="DO19" i="51"/>
  <c r="DN19" i="51"/>
  <c r="DM19" i="51"/>
  <c r="DL19" i="51"/>
  <c r="DK19" i="51"/>
  <c r="DJ19" i="51"/>
  <c r="DI19" i="51"/>
  <c r="DH19" i="51"/>
  <c r="DG19" i="51"/>
  <c r="DF19" i="51"/>
  <c r="DE19" i="51"/>
  <c r="DD19" i="51"/>
  <c r="DC19" i="51"/>
  <c r="DB19" i="51"/>
  <c r="DA19" i="51"/>
  <c r="CZ19" i="51"/>
  <c r="CY19" i="51"/>
  <c r="CX19" i="51"/>
  <c r="CW19" i="51"/>
  <c r="CV19" i="51"/>
  <c r="CU19" i="51"/>
  <c r="CT19" i="51"/>
  <c r="CS19" i="51"/>
  <c r="CR19" i="51"/>
  <c r="CQ19" i="51"/>
  <c r="CP19" i="51"/>
  <c r="CO19" i="51"/>
  <c r="CN19" i="51"/>
  <c r="CM19" i="51"/>
  <c r="CL19" i="51"/>
  <c r="CK19" i="51"/>
  <c r="CJ19" i="51"/>
  <c r="CI19" i="51"/>
  <c r="CH19" i="51"/>
  <c r="CG19" i="51"/>
  <c r="CF19" i="51"/>
  <c r="CE19" i="51"/>
  <c r="CD19" i="51"/>
  <c r="CC19" i="51"/>
  <c r="CB19" i="51"/>
  <c r="CA19" i="51"/>
  <c r="BZ19" i="51"/>
  <c r="BY19" i="51"/>
  <c r="BX19" i="51"/>
  <c r="BW19" i="51"/>
  <c r="BV19" i="51"/>
  <c r="BU19" i="51"/>
  <c r="BT19" i="51"/>
  <c r="BS19" i="51"/>
  <c r="BR19" i="51"/>
  <c r="BQ19" i="51"/>
  <c r="BP19" i="51"/>
  <c r="BO19" i="51"/>
  <c r="BN19" i="51"/>
  <c r="BM19" i="51"/>
  <c r="BL19" i="51"/>
  <c r="BK19" i="51"/>
  <c r="BJ19" i="51"/>
  <c r="BI19" i="51"/>
  <c r="BH19" i="51"/>
  <c r="BG19" i="51"/>
  <c r="BF19" i="51"/>
  <c r="BE19" i="51"/>
  <c r="BD19" i="51"/>
  <c r="BC19" i="51"/>
  <c r="BB19" i="51"/>
  <c r="BA19" i="51"/>
  <c r="AZ19" i="51"/>
  <c r="AY19" i="51"/>
  <c r="AX19" i="51"/>
  <c r="AW19" i="51"/>
  <c r="AV19" i="51"/>
  <c r="AU19" i="51"/>
  <c r="AT19" i="51"/>
  <c r="AS19" i="51"/>
  <c r="AR19" i="51"/>
  <c r="AQ19" i="51"/>
  <c r="AP19" i="51"/>
  <c r="AO19" i="51"/>
  <c r="AN19" i="51"/>
  <c r="AM19" i="51"/>
  <c r="AL19" i="51"/>
  <c r="AK19" i="51"/>
  <c r="AJ19" i="51"/>
  <c r="AI19" i="51"/>
  <c r="AH19" i="51"/>
  <c r="AG19" i="51"/>
  <c r="AF19" i="51"/>
  <c r="AE19" i="51"/>
  <c r="AD19" i="51"/>
  <c r="AC19" i="51"/>
  <c r="AB19" i="51"/>
  <c r="AA19" i="51"/>
  <c r="Z19" i="51"/>
  <c r="Y19" i="51"/>
  <c r="X19" i="51"/>
  <c r="W19" i="51"/>
  <c r="V19" i="51"/>
  <c r="U19" i="51"/>
  <c r="T19" i="51"/>
  <c r="S19" i="51"/>
  <c r="R19" i="51"/>
  <c r="Q19" i="51"/>
  <c r="P19" i="51"/>
  <c r="O19" i="51"/>
  <c r="N19" i="51"/>
  <c r="M19" i="51"/>
  <c r="L19" i="51"/>
  <c r="K19" i="51"/>
  <c r="J19" i="51"/>
  <c r="I19" i="51"/>
  <c r="H19" i="51"/>
  <c r="G19" i="51"/>
  <c r="F19" i="51"/>
  <c r="IV18" i="51"/>
  <c r="IU18" i="51"/>
  <c r="IT18" i="51"/>
  <c r="IS18" i="51"/>
  <c r="IR18" i="51"/>
  <c r="IQ18" i="51"/>
  <c r="IP18" i="51"/>
  <c r="IO18" i="51"/>
  <c r="IN18" i="51"/>
  <c r="IM18" i="51"/>
  <c r="IL18" i="51"/>
  <c r="IK18" i="51"/>
  <c r="IJ18" i="51"/>
  <c r="II18" i="51"/>
  <c r="IH18" i="51"/>
  <c r="IG18" i="51"/>
  <c r="IF18" i="51"/>
  <c r="IE18" i="51"/>
  <c r="ID18" i="51"/>
  <c r="IC18" i="51"/>
  <c r="IB18" i="51"/>
  <c r="IA18" i="51"/>
  <c r="HZ18" i="51"/>
  <c r="HY18" i="51"/>
  <c r="HX18" i="51"/>
  <c r="HW18" i="51"/>
  <c r="HV18" i="51"/>
  <c r="HU18" i="51"/>
  <c r="HT18" i="51"/>
  <c r="HS18" i="51"/>
  <c r="HR18" i="51"/>
  <c r="HQ18" i="51"/>
  <c r="HP18" i="51"/>
  <c r="HO18" i="51"/>
  <c r="HN18" i="51"/>
  <c r="HM18" i="51"/>
  <c r="HL18" i="51"/>
  <c r="HK18" i="51"/>
  <c r="HJ18" i="51"/>
  <c r="HI18" i="51"/>
  <c r="HH18" i="51"/>
  <c r="HG18" i="51"/>
  <c r="HF18" i="51"/>
  <c r="HE18" i="51"/>
  <c r="HD18" i="51"/>
  <c r="HC18" i="51"/>
  <c r="HB18" i="51"/>
  <c r="HA18" i="51"/>
  <c r="GZ18" i="51"/>
  <c r="GY18" i="51"/>
  <c r="GX18" i="51"/>
  <c r="GW18" i="51"/>
  <c r="GV18" i="51"/>
  <c r="GU18" i="51"/>
  <c r="GT18" i="51"/>
  <c r="GS18" i="51"/>
  <c r="GR18" i="51"/>
  <c r="GQ18" i="51"/>
  <c r="GP18" i="51"/>
  <c r="GO18" i="51"/>
  <c r="GN18" i="51"/>
  <c r="GM18" i="51"/>
  <c r="GL18" i="51"/>
  <c r="GK18" i="51"/>
  <c r="GJ18" i="51"/>
  <c r="GI18" i="51"/>
  <c r="GH18" i="51"/>
  <c r="GG18" i="51"/>
  <c r="GF18" i="51"/>
  <c r="GE18" i="51"/>
  <c r="GD18" i="51"/>
  <c r="GC18" i="51"/>
  <c r="GB18" i="51"/>
  <c r="GA18" i="51"/>
  <c r="FZ18" i="51"/>
  <c r="FY18" i="51"/>
  <c r="FX18" i="51"/>
  <c r="FW18" i="51"/>
  <c r="FV18" i="51"/>
  <c r="FU18" i="51"/>
  <c r="FT18" i="51"/>
  <c r="FS18" i="51"/>
  <c r="FR18" i="51"/>
  <c r="FQ18" i="51"/>
  <c r="FP18" i="51"/>
  <c r="FO18" i="51"/>
  <c r="FN18" i="51"/>
  <c r="FM18" i="51"/>
  <c r="FL18" i="51"/>
  <c r="FK18" i="51"/>
  <c r="FJ18" i="51"/>
  <c r="FI18" i="51"/>
  <c r="FH18" i="51"/>
  <c r="FG18" i="51"/>
  <c r="FF18" i="51"/>
  <c r="FE18" i="51"/>
  <c r="FD18" i="51"/>
  <c r="FC18" i="51"/>
  <c r="FB18" i="51"/>
  <c r="FA18" i="51"/>
  <c r="EZ18" i="51"/>
  <c r="EY18" i="51"/>
  <c r="EX18" i="51"/>
  <c r="EW18" i="51"/>
  <c r="EV18" i="51"/>
  <c r="EU18" i="51"/>
  <c r="ET18" i="51"/>
  <c r="ES18" i="51"/>
  <c r="ER18" i="51"/>
  <c r="EQ18" i="51"/>
  <c r="EP18" i="51"/>
  <c r="EO18" i="51"/>
  <c r="EN18" i="51"/>
  <c r="EM18" i="51"/>
  <c r="EL18" i="51"/>
  <c r="EK18" i="51"/>
  <c r="EJ18" i="51"/>
  <c r="EI18" i="51"/>
  <c r="EH18" i="51"/>
  <c r="EG18" i="51"/>
  <c r="EF18" i="51"/>
  <c r="EE18" i="51"/>
  <c r="ED18" i="51"/>
  <c r="EC18" i="51"/>
  <c r="EB18" i="51"/>
  <c r="EA18" i="51"/>
  <c r="DZ18" i="51"/>
  <c r="DY18" i="51"/>
  <c r="DX18" i="51"/>
  <c r="DW18" i="51"/>
  <c r="DV18" i="51"/>
  <c r="DU18" i="51"/>
  <c r="DT18" i="51"/>
  <c r="DS18" i="51"/>
  <c r="DR18" i="51"/>
  <c r="DQ18" i="51"/>
  <c r="DP18" i="51"/>
  <c r="DO18" i="51"/>
  <c r="DN18" i="51"/>
  <c r="DM18" i="51"/>
  <c r="DL18" i="51"/>
  <c r="DK18" i="51"/>
  <c r="DJ18" i="51"/>
  <c r="DI18" i="51"/>
  <c r="DH18" i="51"/>
  <c r="DG18" i="51"/>
  <c r="DF18" i="51"/>
  <c r="DE18" i="51"/>
  <c r="DD18" i="51"/>
  <c r="DC18" i="51"/>
  <c r="DB18" i="51"/>
  <c r="DA18" i="51"/>
  <c r="CZ18" i="51"/>
  <c r="CY18" i="51"/>
  <c r="CX18" i="51"/>
  <c r="CW18" i="51"/>
  <c r="CV18" i="51"/>
  <c r="CU18" i="51"/>
  <c r="CT18" i="51"/>
  <c r="CS18" i="51"/>
  <c r="CR18" i="51"/>
  <c r="CQ18" i="51"/>
  <c r="CP18" i="51"/>
  <c r="CO18" i="51"/>
  <c r="CN18" i="51"/>
  <c r="CM18" i="51"/>
  <c r="CL18" i="51"/>
  <c r="CK18" i="51"/>
  <c r="CJ18" i="51"/>
  <c r="CI18" i="51"/>
  <c r="CH18" i="51"/>
  <c r="CG18" i="51"/>
  <c r="CF18" i="51"/>
  <c r="CE18" i="51"/>
  <c r="CD18" i="51"/>
  <c r="CC18" i="51"/>
  <c r="CB18" i="51"/>
  <c r="CA18" i="51"/>
  <c r="BZ18" i="51"/>
  <c r="BY18" i="51"/>
  <c r="BX18" i="51"/>
  <c r="BW18" i="51"/>
  <c r="BV18" i="51"/>
  <c r="BU18" i="51"/>
  <c r="BT18" i="51"/>
  <c r="BS18" i="51"/>
  <c r="BR18" i="51"/>
  <c r="BQ18" i="51"/>
  <c r="BP18" i="51"/>
  <c r="BO18" i="51"/>
  <c r="BN18" i="51"/>
  <c r="BM18" i="51"/>
  <c r="BL18" i="51"/>
  <c r="BK18" i="51"/>
  <c r="BJ18" i="51"/>
  <c r="BI18" i="51"/>
  <c r="BH18" i="51"/>
  <c r="BG18" i="51"/>
  <c r="BF18" i="51"/>
  <c r="BE18" i="51"/>
  <c r="BD18" i="51"/>
  <c r="BC18" i="51"/>
  <c r="BB18" i="51"/>
  <c r="BA18" i="51"/>
  <c r="AZ18" i="51"/>
  <c r="AY18" i="51"/>
  <c r="AX18" i="51"/>
  <c r="AW18" i="51"/>
  <c r="AV18" i="51"/>
  <c r="AU18" i="51"/>
  <c r="AT18" i="51"/>
  <c r="AS18" i="51"/>
  <c r="AR18" i="51"/>
  <c r="AQ18" i="51"/>
  <c r="AP18" i="51"/>
  <c r="AO18" i="51"/>
  <c r="AN18" i="51"/>
  <c r="AM18" i="51"/>
  <c r="AL18" i="51"/>
  <c r="AK18" i="51"/>
  <c r="AJ18" i="51"/>
  <c r="AI18" i="51"/>
  <c r="AH18" i="51"/>
  <c r="AG18" i="51"/>
  <c r="AF18" i="51"/>
  <c r="AE18" i="51"/>
  <c r="AD18" i="51"/>
  <c r="AC18" i="51"/>
  <c r="AB18" i="51"/>
  <c r="AA18" i="51"/>
  <c r="Z18" i="51"/>
  <c r="Y18" i="51"/>
  <c r="X18" i="51"/>
  <c r="W18" i="51"/>
  <c r="V18" i="51"/>
  <c r="U18" i="51"/>
  <c r="T18" i="51"/>
  <c r="S18" i="51"/>
  <c r="R18" i="51"/>
  <c r="Q18" i="51"/>
  <c r="P18" i="51"/>
  <c r="O18" i="51"/>
  <c r="N18" i="51"/>
  <c r="M18" i="51"/>
  <c r="L18" i="51"/>
  <c r="K18" i="51"/>
  <c r="J18" i="51"/>
  <c r="I18" i="51"/>
  <c r="H18" i="51"/>
  <c r="G18" i="51"/>
  <c r="F18" i="51"/>
  <c r="IV17" i="51"/>
  <c r="IU17" i="51"/>
  <c r="IT17" i="51"/>
  <c r="IS17" i="51"/>
  <c r="IR17" i="51"/>
  <c r="IQ17" i="51"/>
  <c r="IP17" i="51"/>
  <c r="IO17" i="51"/>
  <c r="IN17" i="51"/>
  <c r="IM17" i="51"/>
  <c r="IL17" i="51"/>
  <c r="IK17" i="51"/>
  <c r="IJ17" i="51"/>
  <c r="II17" i="51"/>
  <c r="IH17" i="51"/>
  <c r="IG17" i="51"/>
  <c r="IF17" i="51"/>
  <c r="IE17" i="51"/>
  <c r="ID17" i="51"/>
  <c r="IC17" i="51"/>
  <c r="IB17" i="51"/>
  <c r="IA17" i="51"/>
  <c r="HZ17" i="51"/>
  <c r="HY17" i="51"/>
  <c r="HX17" i="51"/>
  <c r="HW17" i="51"/>
  <c r="HV17" i="51"/>
  <c r="HU17" i="51"/>
  <c r="HT17" i="51"/>
  <c r="HS17" i="51"/>
  <c r="HR17" i="51"/>
  <c r="HQ17" i="51"/>
  <c r="HP17" i="51"/>
  <c r="HO17" i="51"/>
  <c r="HN17" i="51"/>
  <c r="HM17" i="51"/>
  <c r="HL17" i="51"/>
  <c r="HK17" i="51"/>
  <c r="HJ17" i="51"/>
  <c r="HI17" i="51"/>
  <c r="HH17" i="51"/>
  <c r="HG17" i="51"/>
  <c r="HF17" i="51"/>
  <c r="HE17" i="51"/>
  <c r="HD17" i="51"/>
  <c r="HC17" i="51"/>
  <c r="HB17" i="51"/>
  <c r="HA17" i="51"/>
  <c r="GZ17" i="51"/>
  <c r="GY17" i="51"/>
  <c r="GX17" i="51"/>
  <c r="GW17" i="51"/>
  <c r="GV17" i="51"/>
  <c r="GU17" i="51"/>
  <c r="GT17" i="51"/>
  <c r="GS17" i="51"/>
  <c r="GR17" i="51"/>
  <c r="GQ17" i="51"/>
  <c r="GP17" i="51"/>
  <c r="GO17" i="51"/>
  <c r="GN17" i="51"/>
  <c r="GM17" i="51"/>
  <c r="GL17" i="51"/>
  <c r="GK17" i="51"/>
  <c r="GJ17" i="51"/>
  <c r="GI17" i="51"/>
  <c r="GH17" i="51"/>
  <c r="GG17" i="51"/>
  <c r="GF17" i="51"/>
  <c r="GE17" i="51"/>
  <c r="GD17" i="51"/>
  <c r="GC17" i="51"/>
  <c r="GB17" i="51"/>
  <c r="GA17" i="51"/>
  <c r="FZ17" i="51"/>
  <c r="FY17" i="51"/>
  <c r="FX17" i="51"/>
  <c r="FW17" i="51"/>
  <c r="FV17" i="51"/>
  <c r="FU17" i="51"/>
  <c r="FT17" i="51"/>
  <c r="FS17" i="51"/>
  <c r="FR17" i="51"/>
  <c r="FQ17" i="51"/>
  <c r="FP17" i="51"/>
  <c r="FO17" i="51"/>
  <c r="FN17" i="51"/>
  <c r="FM17" i="51"/>
  <c r="FL17" i="51"/>
  <c r="FK17" i="51"/>
  <c r="FJ17" i="51"/>
  <c r="FI17" i="51"/>
  <c r="FH17" i="51"/>
  <c r="FG17" i="51"/>
  <c r="FF17" i="51"/>
  <c r="FE17" i="51"/>
  <c r="FD17" i="51"/>
  <c r="FC17" i="51"/>
  <c r="FB17" i="51"/>
  <c r="FA17" i="51"/>
  <c r="EZ17" i="51"/>
  <c r="EY17" i="51"/>
  <c r="EX17" i="51"/>
  <c r="EW17" i="51"/>
  <c r="EV17" i="51"/>
  <c r="EU17" i="51"/>
  <c r="ET17" i="51"/>
  <c r="ES17" i="51"/>
  <c r="ER17" i="51"/>
  <c r="EQ17" i="51"/>
  <c r="EP17" i="51"/>
  <c r="EO17" i="51"/>
  <c r="EN17" i="51"/>
  <c r="EM17" i="51"/>
  <c r="EL17" i="51"/>
  <c r="EK17" i="51"/>
  <c r="EJ17" i="51"/>
  <c r="EI17" i="51"/>
  <c r="EH17" i="51"/>
  <c r="EG17" i="51"/>
  <c r="EF17" i="51"/>
  <c r="EE17" i="51"/>
  <c r="ED17" i="51"/>
  <c r="EC17" i="51"/>
  <c r="EB17" i="51"/>
  <c r="EA17" i="51"/>
  <c r="DZ17" i="51"/>
  <c r="DY17" i="51"/>
  <c r="DX17" i="51"/>
  <c r="DW17" i="51"/>
  <c r="DV17" i="51"/>
  <c r="DU17" i="51"/>
  <c r="DT17" i="51"/>
  <c r="DS17" i="51"/>
  <c r="DR17" i="51"/>
  <c r="DQ17" i="51"/>
  <c r="DP17" i="51"/>
  <c r="DO17" i="51"/>
  <c r="DN17" i="51"/>
  <c r="DM17" i="51"/>
  <c r="DL17" i="51"/>
  <c r="DK17" i="51"/>
  <c r="DJ17" i="51"/>
  <c r="DI17" i="51"/>
  <c r="DH17" i="51"/>
  <c r="DG17" i="51"/>
  <c r="DF17" i="51"/>
  <c r="DE17" i="51"/>
  <c r="DD17" i="51"/>
  <c r="DC17" i="51"/>
  <c r="DB17" i="51"/>
  <c r="DA17" i="51"/>
  <c r="CZ17" i="51"/>
  <c r="CY17" i="51"/>
  <c r="CX17" i="51"/>
  <c r="CW17" i="51"/>
  <c r="CV17" i="51"/>
  <c r="CU17" i="51"/>
  <c r="CT17" i="51"/>
  <c r="CS17" i="51"/>
  <c r="CR17" i="51"/>
  <c r="CQ17" i="51"/>
  <c r="CP17" i="51"/>
  <c r="CO17" i="51"/>
  <c r="CN17" i="51"/>
  <c r="CM17" i="51"/>
  <c r="CL17" i="51"/>
  <c r="CK17" i="51"/>
  <c r="CJ17" i="51"/>
  <c r="CI17" i="51"/>
  <c r="CH17" i="51"/>
  <c r="CG17" i="51"/>
  <c r="CF17" i="51"/>
  <c r="CE17" i="51"/>
  <c r="CD17" i="51"/>
  <c r="CC17" i="51"/>
  <c r="CB17" i="51"/>
  <c r="CA17" i="51"/>
  <c r="BZ17" i="51"/>
  <c r="BY17" i="51"/>
  <c r="BX17" i="51"/>
  <c r="BW17" i="51"/>
  <c r="BV17" i="51"/>
  <c r="BU17" i="51"/>
  <c r="BT17" i="51"/>
  <c r="BS17" i="51"/>
  <c r="BR17" i="51"/>
  <c r="BQ17" i="51"/>
  <c r="BP17" i="51"/>
  <c r="BO17" i="51"/>
  <c r="BN17" i="51"/>
  <c r="BM17" i="51"/>
  <c r="BL17" i="51"/>
  <c r="BK17" i="51"/>
  <c r="BJ17" i="51"/>
  <c r="BI17" i="51"/>
  <c r="BH17" i="51"/>
  <c r="BG17" i="51"/>
  <c r="BF17" i="51"/>
  <c r="BE17" i="51"/>
  <c r="BD17" i="51"/>
  <c r="BC17" i="51"/>
  <c r="BB17" i="51"/>
  <c r="BA17" i="51"/>
  <c r="AZ17" i="51"/>
  <c r="AY17" i="51"/>
  <c r="AX17" i="51"/>
  <c r="AW17" i="51"/>
  <c r="AV17" i="51"/>
  <c r="AU17" i="51"/>
  <c r="AT17" i="51"/>
  <c r="AS17" i="51"/>
  <c r="AR17" i="51"/>
  <c r="AQ17" i="51"/>
  <c r="AP17" i="51"/>
  <c r="AO17" i="51"/>
  <c r="AN17" i="51"/>
  <c r="AM17" i="51"/>
  <c r="AL17" i="51"/>
  <c r="AK17" i="51"/>
  <c r="AJ17" i="51"/>
  <c r="AI17" i="51"/>
  <c r="AH17" i="51"/>
  <c r="AG17" i="51"/>
  <c r="AF17" i="51"/>
  <c r="AE17" i="51"/>
  <c r="AD17" i="51"/>
  <c r="AC17" i="51"/>
  <c r="AB17" i="51"/>
  <c r="AA17" i="51"/>
  <c r="Z17" i="51"/>
  <c r="Y17" i="51"/>
  <c r="X17" i="51"/>
  <c r="W17" i="51"/>
  <c r="V17" i="51"/>
  <c r="U17" i="51"/>
  <c r="T17" i="51"/>
  <c r="S17" i="51"/>
  <c r="R17" i="51"/>
  <c r="Q17" i="51"/>
  <c r="P17" i="51"/>
  <c r="O17" i="51"/>
  <c r="N17" i="51"/>
  <c r="M17" i="51"/>
  <c r="L17" i="51"/>
  <c r="K17" i="51"/>
  <c r="J17" i="51"/>
  <c r="I17" i="51"/>
  <c r="H17" i="51"/>
  <c r="G17" i="51"/>
  <c r="F17" i="51"/>
  <c r="IV16" i="51"/>
  <c r="IU16" i="51"/>
  <c r="IT16" i="51"/>
  <c r="IS16" i="51"/>
  <c r="IR16" i="51"/>
  <c r="IQ16" i="51"/>
  <c r="IP16" i="51"/>
  <c r="IO16" i="51"/>
  <c r="IN16" i="51"/>
  <c r="IM16" i="51"/>
  <c r="IL16" i="51"/>
  <c r="IK16" i="51"/>
  <c r="IJ16" i="51"/>
  <c r="II16" i="51"/>
  <c r="IH16" i="51"/>
  <c r="IG16" i="51"/>
  <c r="IF16" i="51"/>
  <c r="IE16" i="51"/>
  <c r="ID16" i="51"/>
  <c r="IC16" i="51"/>
  <c r="IB16" i="51"/>
  <c r="IA16" i="51"/>
  <c r="HZ16" i="51"/>
  <c r="HY16" i="51"/>
  <c r="HX16" i="51"/>
  <c r="HW16" i="51"/>
  <c r="HV16" i="51"/>
  <c r="HU16" i="51"/>
  <c r="HT16" i="51"/>
  <c r="HS16" i="51"/>
  <c r="HR16" i="51"/>
  <c r="HQ16" i="51"/>
  <c r="HP16" i="51"/>
  <c r="HO16" i="51"/>
  <c r="HN16" i="51"/>
  <c r="HM16" i="51"/>
  <c r="HL16" i="51"/>
  <c r="HK16" i="51"/>
  <c r="HJ16" i="51"/>
  <c r="HI16" i="51"/>
  <c r="HH16" i="51"/>
  <c r="HG16" i="51"/>
  <c r="HF16" i="51"/>
  <c r="HE16" i="51"/>
  <c r="HD16" i="51"/>
  <c r="HC16" i="51"/>
  <c r="HB16" i="51"/>
  <c r="HA16" i="51"/>
  <c r="GZ16" i="51"/>
  <c r="GY16" i="51"/>
  <c r="GX16" i="51"/>
  <c r="GW16" i="51"/>
  <c r="GV16" i="51"/>
  <c r="GU16" i="51"/>
  <c r="GT16" i="51"/>
  <c r="GS16" i="51"/>
  <c r="GR16" i="51"/>
  <c r="GQ16" i="51"/>
  <c r="GP16" i="51"/>
  <c r="GO16" i="51"/>
  <c r="GN16" i="51"/>
  <c r="GM16" i="51"/>
  <c r="GL16" i="51"/>
  <c r="GK16" i="51"/>
  <c r="GJ16" i="51"/>
  <c r="GI16" i="51"/>
  <c r="GH16" i="51"/>
  <c r="GG16" i="51"/>
  <c r="GF16" i="51"/>
  <c r="GE16" i="51"/>
  <c r="GD16" i="51"/>
  <c r="GC16" i="51"/>
  <c r="GB16" i="51"/>
  <c r="GA16" i="51"/>
  <c r="FZ16" i="51"/>
  <c r="FY16" i="51"/>
  <c r="FX16" i="51"/>
  <c r="FW16" i="51"/>
  <c r="FV16" i="51"/>
  <c r="FU16" i="51"/>
  <c r="FT16" i="51"/>
  <c r="FS16" i="51"/>
  <c r="FR16" i="51"/>
  <c r="FQ16" i="51"/>
  <c r="FP16" i="51"/>
  <c r="FO16" i="51"/>
  <c r="FN16" i="51"/>
  <c r="FM16" i="51"/>
  <c r="FL16" i="51"/>
  <c r="FK16" i="51"/>
  <c r="FJ16" i="51"/>
  <c r="FI16" i="51"/>
  <c r="FH16" i="51"/>
  <c r="FG16" i="51"/>
  <c r="FF16" i="51"/>
  <c r="FE16" i="51"/>
  <c r="FD16" i="51"/>
  <c r="FC16" i="51"/>
  <c r="FB16" i="51"/>
  <c r="FA16" i="51"/>
  <c r="EZ16" i="51"/>
  <c r="EY16" i="51"/>
  <c r="EX16" i="51"/>
  <c r="EW16" i="51"/>
  <c r="EV16" i="51"/>
  <c r="EU16" i="51"/>
  <c r="ET16" i="51"/>
  <c r="ES16" i="51"/>
  <c r="ER16" i="51"/>
  <c r="EQ16" i="51"/>
  <c r="EP16" i="51"/>
  <c r="EO16" i="51"/>
  <c r="EN16" i="51"/>
  <c r="EM16" i="51"/>
  <c r="EL16" i="51"/>
  <c r="EK16" i="51"/>
  <c r="EJ16" i="51"/>
  <c r="EI16" i="51"/>
  <c r="EH16" i="51"/>
  <c r="EG16" i="51"/>
  <c r="EF16" i="51"/>
  <c r="EE16" i="51"/>
  <c r="ED16" i="51"/>
  <c r="EC16" i="51"/>
  <c r="EB16" i="51"/>
  <c r="EA16" i="51"/>
  <c r="DZ16" i="51"/>
  <c r="DY16" i="51"/>
  <c r="DX16" i="51"/>
  <c r="DW16" i="51"/>
  <c r="DV16" i="51"/>
  <c r="DU16" i="51"/>
  <c r="DT16" i="51"/>
  <c r="DS16" i="51"/>
  <c r="DR16" i="51"/>
  <c r="DQ16" i="51"/>
  <c r="DP16" i="51"/>
  <c r="DO16" i="51"/>
  <c r="DN16" i="51"/>
  <c r="DM16" i="51"/>
  <c r="DL16" i="51"/>
  <c r="DK16" i="51"/>
  <c r="DJ16" i="51"/>
  <c r="DI16" i="51"/>
  <c r="DH16" i="51"/>
  <c r="DG16" i="51"/>
  <c r="DF16" i="51"/>
  <c r="DE16" i="51"/>
  <c r="DD16" i="51"/>
  <c r="DC16" i="51"/>
  <c r="DB16" i="51"/>
  <c r="DA16" i="51"/>
  <c r="CZ16" i="51"/>
  <c r="CY16" i="51"/>
  <c r="CX16" i="51"/>
  <c r="CW16" i="51"/>
  <c r="CV16" i="51"/>
  <c r="CU16" i="51"/>
  <c r="CT16" i="51"/>
  <c r="CS16" i="51"/>
  <c r="CR16" i="51"/>
  <c r="CQ16" i="51"/>
  <c r="CP16" i="51"/>
  <c r="CO16" i="51"/>
  <c r="CN16" i="51"/>
  <c r="CM16" i="51"/>
  <c r="CL16" i="51"/>
  <c r="CK16" i="51"/>
  <c r="CJ16" i="51"/>
  <c r="CI16" i="51"/>
  <c r="CH16" i="51"/>
  <c r="CG16" i="51"/>
  <c r="CF16" i="51"/>
  <c r="CE16" i="51"/>
  <c r="CD16" i="51"/>
  <c r="CC16" i="51"/>
  <c r="CB16" i="51"/>
  <c r="CA16" i="51"/>
  <c r="BZ16" i="51"/>
  <c r="BY16" i="51"/>
  <c r="BX16" i="51"/>
  <c r="BW16" i="51"/>
  <c r="BV16" i="51"/>
  <c r="BU16" i="51"/>
  <c r="BT16" i="51"/>
  <c r="BS16" i="51"/>
  <c r="BR16" i="51"/>
  <c r="BQ16" i="51"/>
  <c r="BP16" i="51"/>
  <c r="BO16" i="51"/>
  <c r="BN16" i="51"/>
  <c r="BM16" i="51"/>
  <c r="BL16" i="51"/>
  <c r="BK16" i="51"/>
  <c r="BJ16" i="51"/>
  <c r="BI16" i="51"/>
  <c r="BH16" i="51"/>
  <c r="BG16" i="51"/>
  <c r="BF16" i="51"/>
  <c r="BE16" i="51"/>
  <c r="BD16" i="51"/>
  <c r="BC16" i="51"/>
  <c r="BB16" i="51"/>
  <c r="BA16" i="51"/>
  <c r="AZ16" i="51"/>
  <c r="AY16" i="51"/>
  <c r="AX16" i="51"/>
  <c r="AW16" i="51"/>
  <c r="AV16" i="51"/>
  <c r="AU16" i="51"/>
  <c r="AT16" i="51"/>
  <c r="AS16" i="51"/>
  <c r="AR16" i="51"/>
  <c r="AQ16" i="51"/>
  <c r="AP16" i="51"/>
  <c r="AO16" i="51"/>
  <c r="AN16" i="51"/>
  <c r="AM16" i="51"/>
  <c r="AL16" i="51"/>
  <c r="AK16" i="51"/>
  <c r="AJ16" i="51"/>
  <c r="AI16" i="51"/>
  <c r="AH16" i="51"/>
  <c r="AG16" i="51"/>
  <c r="AF16" i="51"/>
  <c r="AE16" i="51"/>
  <c r="AD16" i="51"/>
  <c r="AC16" i="51"/>
  <c r="AB16" i="51"/>
  <c r="AA16" i="51"/>
  <c r="Z16" i="51"/>
  <c r="Y16" i="51"/>
  <c r="X16" i="51"/>
  <c r="W16" i="51"/>
  <c r="V16" i="51"/>
  <c r="U16" i="51"/>
  <c r="T16" i="51"/>
  <c r="S16" i="51"/>
  <c r="R16" i="51"/>
  <c r="Q16" i="51"/>
  <c r="P16" i="51"/>
  <c r="O16" i="51"/>
  <c r="N16" i="51"/>
  <c r="M16" i="51"/>
  <c r="L16" i="51"/>
  <c r="K16" i="51"/>
  <c r="J16" i="51"/>
  <c r="I16" i="51"/>
  <c r="H16" i="51"/>
  <c r="G16" i="51"/>
  <c r="F16" i="51"/>
  <c r="IV15" i="51"/>
  <c r="IU15" i="51"/>
  <c r="IT15" i="51"/>
  <c r="IS15" i="51"/>
  <c r="IR15" i="51"/>
  <c r="IQ15" i="51"/>
  <c r="IP15" i="51"/>
  <c r="IO15" i="51"/>
  <c r="IN15" i="51"/>
  <c r="IM15" i="51"/>
  <c r="IL15" i="51"/>
  <c r="IK15" i="51"/>
  <c r="IJ15" i="51"/>
  <c r="II15" i="51"/>
  <c r="IH15" i="51"/>
  <c r="IG15" i="51"/>
  <c r="IF15" i="51"/>
  <c r="IE15" i="51"/>
  <c r="ID15" i="51"/>
  <c r="IC15" i="51"/>
  <c r="IB15" i="51"/>
  <c r="IA15" i="51"/>
  <c r="HZ15" i="51"/>
  <c r="HY15" i="51"/>
  <c r="HX15" i="51"/>
  <c r="HW15" i="51"/>
  <c r="HV15" i="51"/>
  <c r="HU15" i="51"/>
  <c r="HT15" i="51"/>
  <c r="HS15" i="51"/>
  <c r="HR15" i="51"/>
  <c r="HQ15" i="51"/>
  <c r="HP15" i="51"/>
  <c r="HO15" i="51"/>
  <c r="HN15" i="51"/>
  <c r="HM15" i="51"/>
  <c r="HL15" i="51"/>
  <c r="HK15" i="51"/>
  <c r="HJ15" i="51"/>
  <c r="HI15" i="51"/>
  <c r="HH15" i="51"/>
  <c r="HG15" i="51"/>
  <c r="HF15" i="51"/>
  <c r="HE15" i="51"/>
  <c r="HD15" i="51"/>
  <c r="HC15" i="51"/>
  <c r="HB15" i="51"/>
  <c r="HA15" i="51"/>
  <c r="GZ15" i="51"/>
  <c r="GY15" i="51"/>
  <c r="GX15" i="51"/>
  <c r="GW15" i="51"/>
  <c r="GV15" i="51"/>
  <c r="GU15" i="51"/>
  <c r="GT15" i="51"/>
  <c r="GS15" i="51"/>
  <c r="GR15" i="51"/>
  <c r="GQ15" i="51"/>
  <c r="GP15" i="51"/>
  <c r="GO15" i="51"/>
  <c r="GN15" i="51"/>
  <c r="GM15" i="51"/>
  <c r="GL15" i="51"/>
  <c r="GK15" i="51"/>
  <c r="GJ15" i="51"/>
  <c r="GI15" i="51"/>
  <c r="GH15" i="51"/>
  <c r="GG15" i="51"/>
  <c r="GF15" i="51"/>
  <c r="GE15" i="51"/>
  <c r="GD15" i="51"/>
  <c r="GC15" i="51"/>
  <c r="GB15" i="51"/>
  <c r="GA15" i="51"/>
  <c r="FZ15" i="51"/>
  <c r="FY15" i="51"/>
  <c r="FX15" i="51"/>
  <c r="FW15" i="51"/>
  <c r="FV15" i="51"/>
  <c r="FU15" i="51"/>
  <c r="FT15" i="51"/>
  <c r="FS15" i="51"/>
  <c r="FR15" i="51"/>
  <c r="FQ15" i="51"/>
  <c r="FP15" i="51"/>
  <c r="FO15" i="51"/>
  <c r="FN15" i="51"/>
  <c r="FM15" i="51"/>
  <c r="FL15" i="51"/>
  <c r="FK15" i="51"/>
  <c r="FJ15" i="51"/>
  <c r="FI15" i="51"/>
  <c r="FH15" i="51"/>
  <c r="FG15" i="51"/>
  <c r="FF15" i="51"/>
  <c r="FE15" i="51"/>
  <c r="FD15" i="51"/>
  <c r="FC15" i="51"/>
  <c r="FB15" i="51"/>
  <c r="FA15" i="51"/>
  <c r="EZ15" i="51"/>
  <c r="EY15" i="51"/>
  <c r="EX15" i="51"/>
  <c r="EW15" i="51"/>
  <c r="EV15" i="51"/>
  <c r="EU15" i="51"/>
  <c r="ET15" i="51"/>
  <c r="ES15" i="51"/>
  <c r="ER15" i="51"/>
  <c r="EQ15" i="51"/>
  <c r="EP15" i="51"/>
  <c r="EO15" i="51"/>
  <c r="EN15" i="51"/>
  <c r="EM15" i="51"/>
  <c r="EL15" i="51"/>
  <c r="EK15" i="51"/>
  <c r="EJ15" i="51"/>
  <c r="EI15" i="51"/>
  <c r="EH15" i="51"/>
  <c r="EG15" i="51"/>
  <c r="EF15" i="51"/>
  <c r="EE15" i="51"/>
  <c r="ED15" i="51"/>
  <c r="EC15" i="51"/>
  <c r="EB15" i="51"/>
  <c r="EA15" i="51"/>
  <c r="DZ15" i="51"/>
  <c r="DY15" i="51"/>
  <c r="DX15" i="51"/>
  <c r="DW15" i="51"/>
  <c r="DV15" i="51"/>
  <c r="DU15" i="51"/>
  <c r="DT15" i="51"/>
  <c r="DS15" i="51"/>
  <c r="DR15" i="51"/>
  <c r="DQ15" i="51"/>
  <c r="DP15" i="51"/>
  <c r="DO15" i="51"/>
  <c r="DN15" i="51"/>
  <c r="DM15" i="51"/>
  <c r="DL15" i="51"/>
  <c r="DK15" i="51"/>
  <c r="DJ15" i="51"/>
  <c r="DI15" i="51"/>
  <c r="DH15" i="51"/>
  <c r="DG15" i="51"/>
  <c r="DF15" i="51"/>
  <c r="DE15" i="51"/>
  <c r="DD15" i="51"/>
  <c r="DC15" i="51"/>
  <c r="DB15" i="51"/>
  <c r="DA15" i="51"/>
  <c r="CZ15" i="51"/>
  <c r="CY15" i="51"/>
  <c r="CX15" i="51"/>
  <c r="CW15" i="51"/>
  <c r="CV15" i="51"/>
  <c r="CU15" i="51"/>
  <c r="CT15" i="51"/>
  <c r="CS15" i="51"/>
  <c r="CR15" i="51"/>
  <c r="CQ15" i="51"/>
  <c r="CP15" i="51"/>
  <c r="CO15" i="51"/>
  <c r="CN15" i="51"/>
  <c r="CM15" i="51"/>
  <c r="CL15" i="51"/>
  <c r="CK15" i="51"/>
  <c r="CJ15" i="51"/>
  <c r="CI15" i="51"/>
  <c r="CH15" i="51"/>
  <c r="CG15" i="51"/>
  <c r="CF15" i="51"/>
  <c r="CE15" i="51"/>
  <c r="CD15" i="51"/>
  <c r="CC15" i="51"/>
  <c r="CB15" i="51"/>
  <c r="CA15" i="51"/>
  <c r="BZ15" i="51"/>
  <c r="BY15" i="51"/>
  <c r="BX15" i="51"/>
  <c r="BW15" i="51"/>
  <c r="BV15" i="51"/>
  <c r="BU15" i="51"/>
  <c r="BT15" i="51"/>
  <c r="BS15" i="51"/>
  <c r="BR15" i="51"/>
  <c r="BQ15" i="51"/>
  <c r="BP15" i="51"/>
  <c r="BO15" i="51"/>
  <c r="BN15" i="51"/>
  <c r="BM15" i="51"/>
  <c r="BL15" i="51"/>
  <c r="BK15" i="51"/>
  <c r="BJ15" i="51"/>
  <c r="BI15" i="51"/>
  <c r="BH15" i="51"/>
  <c r="BG15" i="51"/>
  <c r="BF15" i="51"/>
  <c r="BE15" i="51"/>
  <c r="BD15" i="51"/>
  <c r="BC15" i="51"/>
  <c r="BB15" i="51"/>
  <c r="BA15" i="51"/>
  <c r="AZ15" i="51"/>
  <c r="AY15" i="51"/>
  <c r="AX15" i="51"/>
  <c r="AW15" i="51"/>
  <c r="AV15" i="51"/>
  <c r="AU15" i="51"/>
  <c r="AT15" i="51"/>
  <c r="AS15" i="51"/>
  <c r="AR15" i="51"/>
  <c r="AQ15" i="51"/>
  <c r="AP15" i="51"/>
  <c r="AO15" i="51"/>
  <c r="AN15" i="51"/>
  <c r="AM15" i="51"/>
  <c r="AL15" i="51"/>
  <c r="AK15" i="51"/>
  <c r="AJ15" i="51"/>
  <c r="AI15" i="51"/>
  <c r="AH15" i="51"/>
  <c r="AG15" i="51"/>
  <c r="AF15" i="51"/>
  <c r="AE15" i="51"/>
  <c r="AD15" i="51"/>
  <c r="AC15" i="51"/>
  <c r="AB15" i="51"/>
  <c r="AA15" i="51"/>
  <c r="Z15" i="51"/>
  <c r="Y15" i="51"/>
  <c r="X15" i="51"/>
  <c r="W15" i="51"/>
  <c r="V15" i="51"/>
  <c r="U15" i="51"/>
  <c r="T15" i="51"/>
  <c r="S15" i="51"/>
  <c r="R15" i="51"/>
  <c r="Q15" i="51"/>
  <c r="P15" i="51"/>
  <c r="O15" i="51"/>
  <c r="N15" i="51"/>
  <c r="M15" i="51"/>
  <c r="L15" i="51"/>
  <c r="K15" i="51"/>
  <c r="J15" i="51"/>
  <c r="I15" i="51"/>
  <c r="H15" i="51"/>
  <c r="G15" i="51"/>
  <c r="F15" i="51"/>
  <c r="IV14" i="51"/>
  <c r="IU14" i="51"/>
  <c r="IT14" i="51"/>
  <c r="IS14" i="51"/>
  <c r="IR14" i="51"/>
  <c r="IQ14" i="51"/>
  <c r="IP14" i="51"/>
  <c r="IO14" i="51"/>
  <c r="IN14" i="51"/>
  <c r="IM14" i="51"/>
  <c r="IL14" i="51"/>
  <c r="IK14" i="51"/>
  <c r="IJ14" i="51"/>
  <c r="II14" i="51"/>
  <c r="IH14" i="51"/>
  <c r="IG14" i="51"/>
  <c r="IF14" i="51"/>
  <c r="IE14" i="51"/>
  <c r="ID14" i="51"/>
  <c r="IC14" i="51"/>
  <c r="IB14" i="51"/>
  <c r="IA14" i="51"/>
  <c r="HZ14" i="51"/>
  <c r="HY14" i="51"/>
  <c r="HX14" i="51"/>
  <c r="HW14" i="51"/>
  <c r="HV14" i="51"/>
  <c r="HU14" i="51"/>
  <c r="HT14" i="51"/>
  <c r="HS14" i="51"/>
  <c r="HR14" i="51"/>
  <c r="HQ14" i="51"/>
  <c r="HP14" i="51"/>
  <c r="HO14" i="51"/>
  <c r="HN14" i="51"/>
  <c r="HM14" i="51"/>
  <c r="HL14" i="51"/>
  <c r="HK14" i="51"/>
  <c r="HJ14" i="51"/>
  <c r="HI14" i="51"/>
  <c r="HH14" i="51"/>
  <c r="HG14" i="51"/>
  <c r="HF14" i="51"/>
  <c r="HE14" i="51"/>
  <c r="HD14" i="51"/>
  <c r="HC14" i="51"/>
  <c r="HB14" i="51"/>
  <c r="HA14" i="51"/>
  <c r="GZ14" i="51"/>
  <c r="GY14" i="51"/>
  <c r="GX14" i="51"/>
  <c r="GW14" i="51"/>
  <c r="GV14" i="51"/>
  <c r="GU14" i="51"/>
  <c r="GT14" i="51"/>
  <c r="GS14" i="51"/>
  <c r="GR14" i="51"/>
  <c r="GQ14" i="51"/>
  <c r="GP14" i="51"/>
  <c r="GO14" i="51"/>
  <c r="GN14" i="51"/>
  <c r="GM14" i="51"/>
  <c r="GL14" i="51"/>
  <c r="GK14" i="51"/>
  <c r="GJ14" i="51"/>
  <c r="GI14" i="51"/>
  <c r="GH14" i="51"/>
  <c r="GG14" i="51"/>
  <c r="GF14" i="51"/>
  <c r="GE14" i="51"/>
  <c r="GD14" i="51"/>
  <c r="GC14" i="51"/>
  <c r="GB14" i="51"/>
  <c r="GA14" i="51"/>
  <c r="FZ14" i="51"/>
  <c r="FY14" i="51"/>
  <c r="FX14" i="51"/>
  <c r="FW14" i="51"/>
  <c r="FV14" i="51"/>
  <c r="FU14" i="51"/>
  <c r="FT14" i="51"/>
  <c r="FS14" i="51"/>
  <c r="FR14" i="51"/>
  <c r="FQ14" i="51"/>
  <c r="FP14" i="51"/>
  <c r="FO14" i="51"/>
  <c r="FN14" i="51"/>
  <c r="FM14" i="51"/>
  <c r="FL14" i="51"/>
  <c r="FK14" i="51"/>
  <c r="FJ14" i="51"/>
  <c r="FI14" i="51"/>
  <c r="FH14" i="51"/>
  <c r="FG14" i="51"/>
  <c r="FF14" i="51"/>
  <c r="FE14" i="51"/>
  <c r="FD14" i="51"/>
  <c r="FC14" i="51"/>
  <c r="FB14" i="51"/>
  <c r="FA14" i="51"/>
  <c r="EZ14" i="51"/>
  <c r="EY14" i="51"/>
  <c r="EX14" i="51"/>
  <c r="EW14" i="51"/>
  <c r="EV14" i="51"/>
  <c r="EU14" i="51"/>
  <c r="ET14" i="51"/>
  <c r="ES14" i="51"/>
  <c r="ER14" i="51"/>
  <c r="EQ14" i="51"/>
  <c r="EP14" i="51"/>
  <c r="EO14" i="51"/>
  <c r="EN14" i="51"/>
  <c r="EM14" i="51"/>
  <c r="EL14" i="51"/>
  <c r="EK14" i="51"/>
  <c r="EJ14" i="51"/>
  <c r="EI14" i="51"/>
  <c r="EH14" i="51"/>
  <c r="EG14" i="51"/>
  <c r="EF14" i="51"/>
  <c r="EE14" i="51"/>
  <c r="ED14" i="51"/>
  <c r="EC14" i="51"/>
  <c r="EB14" i="51"/>
  <c r="EA14" i="51"/>
  <c r="DZ14" i="51"/>
  <c r="DY14" i="51"/>
  <c r="DX14" i="51"/>
  <c r="DW14" i="51"/>
  <c r="DV14" i="51"/>
  <c r="DU14" i="51"/>
  <c r="DT14" i="51"/>
  <c r="DS14" i="51"/>
  <c r="DR14" i="51"/>
  <c r="DQ14" i="51"/>
  <c r="DP14" i="51"/>
  <c r="DO14" i="51"/>
  <c r="DN14" i="51"/>
  <c r="DM14" i="51"/>
  <c r="DL14" i="51"/>
  <c r="DK14" i="51"/>
  <c r="DJ14" i="51"/>
  <c r="DI14" i="51"/>
  <c r="DH14" i="51"/>
  <c r="DG14" i="51"/>
  <c r="DF14" i="51"/>
  <c r="DE14" i="51"/>
  <c r="DD14" i="51"/>
  <c r="DC14" i="51"/>
  <c r="DB14" i="51"/>
  <c r="DA14" i="51"/>
  <c r="CZ14" i="51"/>
  <c r="CY14" i="51"/>
  <c r="CX14" i="51"/>
  <c r="CW14" i="51"/>
  <c r="CV14" i="51"/>
  <c r="CU14" i="51"/>
  <c r="CT14" i="51"/>
  <c r="CS14" i="51"/>
  <c r="CR14" i="51"/>
  <c r="CQ14" i="51"/>
  <c r="CP14" i="51"/>
  <c r="CO14" i="51"/>
  <c r="CN14" i="51"/>
  <c r="CM14" i="51"/>
  <c r="CL14" i="51"/>
  <c r="CK14" i="51"/>
  <c r="CJ14" i="51"/>
  <c r="CI14" i="51"/>
  <c r="CH14" i="51"/>
  <c r="CG14" i="51"/>
  <c r="CF14" i="51"/>
  <c r="CE14" i="51"/>
  <c r="CD14" i="51"/>
  <c r="CC14" i="51"/>
  <c r="CB14" i="51"/>
  <c r="CA14" i="51"/>
  <c r="BZ14" i="51"/>
  <c r="BY14" i="51"/>
  <c r="BX14" i="51"/>
  <c r="BW14" i="51"/>
  <c r="BV14" i="51"/>
  <c r="BU14" i="51"/>
  <c r="BT14" i="51"/>
  <c r="BS14" i="51"/>
  <c r="BR14" i="51"/>
  <c r="BQ14" i="51"/>
  <c r="BP14" i="51"/>
  <c r="BO14" i="51"/>
  <c r="BN14" i="51"/>
  <c r="BM14" i="51"/>
  <c r="BL14" i="51"/>
  <c r="BK14" i="51"/>
  <c r="BJ14" i="51"/>
  <c r="BI14" i="51"/>
  <c r="BH14" i="51"/>
  <c r="BG14" i="51"/>
  <c r="BF14" i="51"/>
  <c r="BE14" i="51"/>
  <c r="BD14" i="51"/>
  <c r="BC14" i="51"/>
  <c r="BB14" i="51"/>
  <c r="BA14" i="51"/>
  <c r="AZ14" i="51"/>
  <c r="AY14" i="51"/>
  <c r="AX14" i="51"/>
  <c r="AW14" i="51"/>
  <c r="AV14" i="51"/>
  <c r="AU14" i="51"/>
  <c r="AT14" i="51"/>
  <c r="AS14" i="51"/>
  <c r="AR14" i="51"/>
  <c r="AQ14" i="51"/>
  <c r="AP14" i="51"/>
  <c r="AO14" i="51"/>
  <c r="AN14" i="51"/>
  <c r="AM14" i="51"/>
  <c r="AL14" i="51"/>
  <c r="AK14" i="51"/>
  <c r="AJ14" i="51"/>
  <c r="AI14" i="51"/>
  <c r="AH14" i="51"/>
  <c r="AG14" i="51"/>
  <c r="AF14" i="51"/>
  <c r="AE14" i="51"/>
  <c r="AD14" i="51"/>
  <c r="AC14" i="51"/>
  <c r="AB14" i="51"/>
  <c r="AA14" i="51"/>
  <c r="Z14" i="51"/>
  <c r="Y14" i="51"/>
  <c r="X14" i="51"/>
  <c r="W14" i="51"/>
  <c r="V14" i="51"/>
  <c r="U14" i="51"/>
  <c r="T14" i="51"/>
  <c r="S14" i="51"/>
  <c r="R14" i="51"/>
  <c r="Q14" i="51"/>
  <c r="P14" i="51"/>
  <c r="O14" i="51"/>
  <c r="N14" i="51"/>
  <c r="M14" i="51"/>
  <c r="L14" i="51"/>
  <c r="K14" i="51"/>
  <c r="J14" i="51"/>
  <c r="I14" i="51"/>
  <c r="H14" i="51"/>
  <c r="G14" i="51"/>
  <c r="F14" i="51"/>
  <c r="IV13" i="51"/>
  <c r="IU13" i="51"/>
  <c r="IT13" i="51"/>
  <c r="IS13" i="51"/>
  <c r="IR13" i="51"/>
  <c r="IQ13" i="51"/>
  <c r="IP13" i="51"/>
  <c r="IO13" i="51"/>
  <c r="IN13" i="51"/>
  <c r="IM13" i="51"/>
  <c r="IL13" i="51"/>
  <c r="IK13" i="51"/>
  <c r="IJ13" i="51"/>
  <c r="II13" i="51"/>
  <c r="IH13" i="51"/>
  <c r="IG13" i="51"/>
  <c r="IF13" i="51"/>
  <c r="IE13" i="51"/>
  <c r="ID13" i="51"/>
  <c r="IC13" i="51"/>
  <c r="IB13" i="51"/>
  <c r="IA13" i="51"/>
  <c r="HZ13" i="51"/>
  <c r="HY13" i="51"/>
  <c r="HX13" i="51"/>
  <c r="HW13" i="51"/>
  <c r="HV13" i="51"/>
  <c r="HU13" i="51"/>
  <c r="HT13" i="51"/>
  <c r="HS13" i="51"/>
  <c r="HR13" i="51"/>
  <c r="HQ13" i="51"/>
  <c r="HP13" i="51"/>
  <c r="HO13" i="51"/>
  <c r="HN13" i="51"/>
  <c r="HM13" i="51"/>
  <c r="HL13" i="51"/>
  <c r="HK13" i="51"/>
  <c r="HJ13" i="51"/>
  <c r="HI13" i="51"/>
  <c r="HH13" i="51"/>
  <c r="HG13" i="51"/>
  <c r="HF13" i="51"/>
  <c r="HE13" i="51"/>
  <c r="HD13" i="51"/>
  <c r="HC13" i="51"/>
  <c r="HB13" i="51"/>
  <c r="HA13" i="51"/>
  <c r="GZ13" i="51"/>
  <c r="GY13" i="51"/>
  <c r="GX13" i="51"/>
  <c r="GW13" i="51"/>
  <c r="GV13" i="51"/>
  <c r="GU13" i="51"/>
  <c r="GT13" i="51"/>
  <c r="GS13" i="51"/>
  <c r="GR13" i="51"/>
  <c r="GQ13" i="51"/>
  <c r="GP13" i="51"/>
  <c r="GO13" i="51"/>
  <c r="GN13" i="51"/>
  <c r="GM13" i="51"/>
  <c r="GL13" i="51"/>
  <c r="GK13" i="51"/>
  <c r="GJ13" i="51"/>
  <c r="GI13" i="51"/>
  <c r="GH13" i="51"/>
  <c r="GG13" i="51"/>
  <c r="GF13" i="51"/>
  <c r="GE13" i="51"/>
  <c r="GD13" i="51"/>
  <c r="GC13" i="51"/>
  <c r="GB13" i="51"/>
  <c r="GA13" i="51"/>
  <c r="FZ13" i="51"/>
  <c r="FY13" i="51"/>
  <c r="FX13" i="51"/>
  <c r="FW13" i="51"/>
  <c r="FV13" i="51"/>
  <c r="FU13" i="51"/>
  <c r="FT13" i="51"/>
  <c r="FS13" i="51"/>
  <c r="FR13" i="51"/>
  <c r="FQ13" i="51"/>
  <c r="FP13" i="51"/>
  <c r="FO13" i="51"/>
  <c r="FN13" i="51"/>
  <c r="FM13" i="51"/>
  <c r="FL13" i="51"/>
  <c r="FK13" i="51"/>
  <c r="FJ13" i="51"/>
  <c r="FI13" i="51"/>
  <c r="FH13" i="51"/>
  <c r="FG13" i="51"/>
  <c r="FF13" i="51"/>
  <c r="FE13" i="51"/>
  <c r="FD13" i="51"/>
  <c r="FC13" i="51"/>
  <c r="FB13" i="51"/>
  <c r="FA13" i="51"/>
  <c r="EZ13" i="51"/>
  <c r="EY13" i="51"/>
  <c r="EX13" i="51"/>
  <c r="EW13" i="51"/>
  <c r="EV13" i="51"/>
  <c r="EU13" i="51"/>
  <c r="ET13" i="51"/>
  <c r="ES13" i="51"/>
  <c r="ER13" i="51"/>
  <c r="EQ13" i="51"/>
  <c r="EP13" i="51"/>
  <c r="EO13" i="51"/>
  <c r="EN13" i="51"/>
  <c r="EM13" i="51"/>
  <c r="EL13" i="51"/>
  <c r="EK13" i="51"/>
  <c r="EJ13" i="51"/>
  <c r="EI13" i="51"/>
  <c r="EH13" i="51"/>
  <c r="EG13" i="51"/>
  <c r="EF13" i="51"/>
  <c r="EE13" i="51"/>
  <c r="ED13" i="51"/>
  <c r="EC13" i="51"/>
  <c r="EB13" i="51"/>
  <c r="EA13" i="51"/>
  <c r="DZ13" i="51"/>
  <c r="DY13" i="51"/>
  <c r="DX13" i="51"/>
  <c r="DW13" i="51"/>
  <c r="DV13" i="51"/>
  <c r="DU13" i="51"/>
  <c r="DT13" i="51"/>
  <c r="DS13" i="51"/>
  <c r="DR13" i="51"/>
  <c r="DQ13" i="51"/>
  <c r="DP13" i="51"/>
  <c r="DO13" i="51"/>
  <c r="DN13" i="51"/>
  <c r="DM13" i="51"/>
  <c r="DL13" i="51"/>
  <c r="DK13" i="51"/>
  <c r="DJ13" i="51"/>
  <c r="DI13" i="51"/>
  <c r="DH13" i="51"/>
  <c r="DG13" i="51"/>
  <c r="DF13" i="51"/>
  <c r="DE13" i="51"/>
  <c r="DD13" i="51"/>
  <c r="DC13" i="51"/>
  <c r="DB13" i="51"/>
  <c r="DA13" i="51"/>
  <c r="CZ13" i="51"/>
  <c r="CY13" i="51"/>
  <c r="CX13" i="51"/>
  <c r="CW13" i="51"/>
  <c r="CV13" i="51"/>
  <c r="CU13" i="51"/>
  <c r="CT13" i="51"/>
  <c r="CS13" i="51"/>
  <c r="CR13" i="51"/>
  <c r="CQ13" i="51"/>
  <c r="CP13" i="51"/>
  <c r="CO13" i="51"/>
  <c r="CN13" i="51"/>
  <c r="CM13" i="51"/>
  <c r="CL13" i="51"/>
  <c r="CK13" i="51"/>
  <c r="CJ13" i="51"/>
  <c r="CI13" i="51"/>
  <c r="CH13" i="51"/>
  <c r="CG13" i="51"/>
  <c r="CF13" i="51"/>
  <c r="CE13" i="51"/>
  <c r="CD13" i="51"/>
  <c r="CC13" i="51"/>
  <c r="CB13" i="51"/>
  <c r="CA13" i="51"/>
  <c r="BZ13" i="51"/>
  <c r="BY13" i="51"/>
  <c r="BX13" i="51"/>
  <c r="BW13" i="51"/>
  <c r="BV13" i="51"/>
  <c r="BU13" i="51"/>
  <c r="BT13" i="51"/>
  <c r="BS13" i="51"/>
  <c r="BR13" i="51"/>
  <c r="BQ13" i="51"/>
  <c r="BP13" i="51"/>
  <c r="BO13" i="51"/>
  <c r="BN13" i="51"/>
  <c r="BM13" i="51"/>
  <c r="BL13" i="51"/>
  <c r="BK13" i="51"/>
  <c r="BJ13" i="51"/>
  <c r="BI13" i="51"/>
  <c r="BH13" i="51"/>
  <c r="BG13" i="51"/>
  <c r="BF13" i="51"/>
  <c r="BE13" i="51"/>
  <c r="BD13" i="51"/>
  <c r="BC13" i="51"/>
  <c r="BB13" i="51"/>
  <c r="BA13" i="51"/>
  <c r="AZ13" i="51"/>
  <c r="AY13" i="51"/>
  <c r="AX13" i="51"/>
  <c r="AW13" i="51"/>
  <c r="AV13" i="51"/>
  <c r="AU13" i="51"/>
  <c r="AT13" i="51"/>
  <c r="AS13" i="51"/>
  <c r="AR13" i="51"/>
  <c r="AQ13" i="51"/>
  <c r="AP13" i="51"/>
  <c r="AO13" i="51"/>
  <c r="AN13" i="51"/>
  <c r="AM13" i="51"/>
  <c r="AL13" i="51"/>
  <c r="AK13" i="51"/>
  <c r="AJ13" i="51"/>
  <c r="AI13" i="51"/>
  <c r="AH13" i="51"/>
  <c r="AG13" i="51"/>
  <c r="AF13" i="51"/>
  <c r="AE13" i="51"/>
  <c r="AD13" i="51"/>
  <c r="AC13" i="51"/>
  <c r="AB13" i="51"/>
  <c r="AA13" i="51"/>
  <c r="Z13" i="51"/>
  <c r="Y13" i="51"/>
  <c r="X13" i="51"/>
  <c r="W13" i="51"/>
  <c r="V13" i="51"/>
  <c r="U13" i="51"/>
  <c r="T13" i="51"/>
  <c r="S13" i="51"/>
  <c r="R13" i="51"/>
  <c r="Q13" i="51"/>
  <c r="P13" i="51"/>
  <c r="O13" i="51"/>
  <c r="N13" i="51"/>
  <c r="M13" i="51"/>
  <c r="L13" i="51"/>
  <c r="K13" i="51"/>
  <c r="J13" i="51"/>
  <c r="I13" i="51"/>
  <c r="H13" i="51"/>
  <c r="G13" i="51"/>
  <c r="F13" i="51"/>
  <c r="IV12" i="51"/>
  <c r="IU12" i="51"/>
  <c r="IT12" i="51"/>
  <c r="IS12" i="51"/>
  <c r="IR12" i="51"/>
  <c r="IQ12" i="51"/>
  <c r="IP12" i="51"/>
  <c r="IO12" i="51"/>
  <c r="IN12" i="51"/>
  <c r="IM12" i="51"/>
  <c r="IL12" i="51"/>
  <c r="IK12" i="51"/>
  <c r="IJ12" i="51"/>
  <c r="II12" i="51"/>
  <c r="IH12" i="51"/>
  <c r="IG12" i="51"/>
  <c r="IF12" i="51"/>
  <c r="IE12" i="51"/>
  <c r="ID12" i="51"/>
  <c r="IC12" i="51"/>
  <c r="IB12" i="51"/>
  <c r="IA12" i="51"/>
  <c r="HZ12" i="51"/>
  <c r="HY12" i="51"/>
  <c r="HX12" i="51"/>
  <c r="HW12" i="51"/>
  <c r="HV12" i="51"/>
  <c r="HU12" i="51"/>
  <c r="HT12" i="51"/>
  <c r="HS12" i="51"/>
  <c r="HR12" i="51"/>
  <c r="HQ12" i="51"/>
  <c r="HP12" i="51"/>
  <c r="HO12" i="51"/>
  <c r="HN12" i="51"/>
  <c r="HM12" i="51"/>
  <c r="HL12" i="51"/>
  <c r="HK12" i="51"/>
  <c r="HJ12" i="51"/>
  <c r="HI12" i="51"/>
  <c r="HH12" i="51"/>
  <c r="HG12" i="51"/>
  <c r="HF12" i="51"/>
  <c r="HE12" i="51"/>
  <c r="HD12" i="51"/>
  <c r="HC12" i="51"/>
  <c r="HB12" i="51"/>
  <c r="HA12" i="51"/>
  <c r="GZ12" i="51"/>
  <c r="GY12" i="51"/>
  <c r="GX12" i="51"/>
  <c r="GW12" i="51"/>
  <c r="GV12" i="51"/>
  <c r="GU12" i="51"/>
  <c r="GT12" i="51"/>
  <c r="GS12" i="51"/>
  <c r="GR12" i="51"/>
  <c r="GQ12" i="51"/>
  <c r="GP12" i="51"/>
  <c r="GO12" i="51"/>
  <c r="GN12" i="51"/>
  <c r="GM12" i="51"/>
  <c r="GL12" i="51"/>
  <c r="GK12" i="51"/>
  <c r="GJ12" i="51"/>
  <c r="GI12" i="51"/>
  <c r="GH12" i="51"/>
  <c r="GG12" i="51"/>
  <c r="GF12" i="51"/>
  <c r="GE12" i="51"/>
  <c r="GD12" i="51"/>
  <c r="GC12" i="51"/>
  <c r="GB12" i="51"/>
  <c r="GA12" i="51"/>
  <c r="FZ12" i="51"/>
  <c r="FY12" i="51"/>
  <c r="FX12" i="51"/>
  <c r="FW12" i="51"/>
  <c r="FV12" i="51"/>
  <c r="FU12" i="51"/>
  <c r="FT12" i="51"/>
  <c r="FS12" i="51"/>
  <c r="FR12" i="51"/>
  <c r="FQ12" i="51"/>
  <c r="FP12" i="51"/>
  <c r="FO12" i="51"/>
  <c r="FN12" i="51"/>
  <c r="FM12" i="51"/>
  <c r="FL12" i="51"/>
  <c r="FK12" i="51"/>
  <c r="FJ12" i="51"/>
  <c r="FI12" i="51"/>
  <c r="FH12" i="51"/>
  <c r="FG12" i="51"/>
  <c r="FF12" i="51"/>
  <c r="FE12" i="51"/>
  <c r="FD12" i="51"/>
  <c r="FC12" i="51"/>
  <c r="FB12" i="51"/>
  <c r="FA12" i="51"/>
  <c r="EZ12" i="51"/>
  <c r="EY12" i="51"/>
  <c r="EX12" i="51"/>
  <c r="EW12" i="51"/>
  <c r="EV12" i="51"/>
  <c r="EU12" i="51"/>
  <c r="ET12" i="51"/>
  <c r="ES12" i="51"/>
  <c r="ER12" i="51"/>
  <c r="EQ12" i="51"/>
  <c r="EP12" i="51"/>
  <c r="EO12" i="51"/>
  <c r="EN12" i="51"/>
  <c r="EM12" i="51"/>
  <c r="EL12" i="51"/>
  <c r="EK12" i="51"/>
  <c r="EJ12" i="51"/>
  <c r="EI12" i="51"/>
  <c r="EH12" i="51"/>
  <c r="EG12" i="51"/>
  <c r="EF12" i="51"/>
  <c r="EE12" i="51"/>
  <c r="ED12" i="51"/>
  <c r="EC12" i="51"/>
  <c r="EB12" i="51"/>
  <c r="EA12" i="51"/>
  <c r="DZ12" i="51"/>
  <c r="DY12" i="51"/>
  <c r="DX12" i="51"/>
  <c r="DW12" i="51"/>
  <c r="DV12" i="51"/>
  <c r="DU12" i="51"/>
  <c r="DT12" i="51"/>
  <c r="DS12" i="51"/>
  <c r="DR12" i="51"/>
  <c r="DQ12" i="51"/>
  <c r="DP12" i="51"/>
  <c r="DO12" i="51"/>
  <c r="DN12" i="51"/>
  <c r="DM12" i="51"/>
  <c r="DL12" i="51"/>
  <c r="DK12" i="51"/>
  <c r="DJ12" i="51"/>
  <c r="DI12" i="51"/>
  <c r="DH12" i="51"/>
  <c r="DG12" i="51"/>
  <c r="DF12" i="51"/>
  <c r="DE12" i="51"/>
  <c r="DD12" i="51"/>
  <c r="DC12" i="51"/>
  <c r="DB12" i="51"/>
  <c r="DA12" i="51"/>
  <c r="CZ12" i="51"/>
  <c r="CY12" i="51"/>
  <c r="CX12" i="51"/>
  <c r="CW12" i="51"/>
  <c r="CV12" i="51"/>
  <c r="CU12" i="51"/>
  <c r="CT12" i="51"/>
  <c r="CS12" i="51"/>
  <c r="CR12" i="51"/>
  <c r="CQ12" i="51"/>
  <c r="CP12" i="51"/>
  <c r="CO12" i="51"/>
  <c r="CN12" i="51"/>
  <c r="CM12" i="51"/>
  <c r="CL12" i="51"/>
  <c r="CK12" i="51"/>
  <c r="CJ12" i="51"/>
  <c r="CI12" i="51"/>
  <c r="CH12" i="51"/>
  <c r="CG12" i="51"/>
  <c r="CF12" i="51"/>
  <c r="CE12" i="51"/>
  <c r="CD12" i="51"/>
  <c r="CC12" i="51"/>
  <c r="CB12" i="51"/>
  <c r="CA12" i="51"/>
  <c r="BZ12" i="51"/>
  <c r="BY12" i="51"/>
  <c r="BX12" i="51"/>
  <c r="BW12" i="51"/>
  <c r="BV12" i="51"/>
  <c r="BU12" i="51"/>
  <c r="BT12" i="51"/>
  <c r="BS12" i="51"/>
  <c r="BR12" i="51"/>
  <c r="BQ12" i="51"/>
  <c r="BP12" i="51"/>
  <c r="BO12" i="51"/>
  <c r="BN12" i="51"/>
  <c r="BM12" i="51"/>
  <c r="BL12" i="51"/>
  <c r="BK12" i="51"/>
  <c r="BJ12" i="51"/>
  <c r="BI12" i="51"/>
  <c r="BH12" i="51"/>
  <c r="BG12" i="51"/>
  <c r="BF12" i="51"/>
  <c r="BE12" i="51"/>
  <c r="BD12" i="51"/>
  <c r="BC12" i="51"/>
  <c r="BB12" i="51"/>
  <c r="BA12" i="51"/>
  <c r="AZ12" i="51"/>
  <c r="AY12" i="51"/>
  <c r="AX12" i="51"/>
  <c r="AW12" i="51"/>
  <c r="AV12" i="51"/>
  <c r="AU12" i="51"/>
  <c r="AT12" i="51"/>
  <c r="AS12" i="51"/>
  <c r="AR12" i="51"/>
  <c r="AQ12" i="51"/>
  <c r="AP12" i="51"/>
  <c r="AO12" i="51"/>
  <c r="AN12" i="51"/>
  <c r="AM12" i="51"/>
  <c r="AL12" i="51"/>
  <c r="AK12" i="51"/>
  <c r="AJ12" i="51"/>
  <c r="AI12" i="51"/>
  <c r="AH12" i="51"/>
  <c r="AG12" i="51"/>
  <c r="AF12" i="51"/>
  <c r="AE12" i="51"/>
  <c r="AD12" i="51"/>
  <c r="AC12" i="51"/>
  <c r="AB12" i="51"/>
  <c r="AA12" i="51"/>
  <c r="Z12" i="51"/>
  <c r="Y12" i="51"/>
  <c r="X12" i="51"/>
  <c r="W12" i="51"/>
  <c r="V12" i="51"/>
  <c r="U12" i="51"/>
  <c r="T12" i="51"/>
  <c r="S12" i="51"/>
  <c r="R12" i="51"/>
  <c r="Q12" i="51"/>
  <c r="P12" i="51"/>
  <c r="O12" i="51"/>
  <c r="N12" i="51"/>
  <c r="M12" i="51"/>
  <c r="L12" i="51"/>
  <c r="K12" i="51"/>
  <c r="J12" i="51"/>
  <c r="I12" i="51"/>
  <c r="H12" i="51"/>
  <c r="G12" i="51"/>
  <c r="F12" i="51"/>
  <c r="IV11" i="51"/>
  <c r="IU11" i="51"/>
  <c r="IT11" i="51"/>
  <c r="IS11" i="51"/>
  <c r="IR11" i="51"/>
  <c r="IQ11" i="51"/>
  <c r="IP11" i="51"/>
  <c r="IO11" i="51"/>
  <c r="IN11" i="51"/>
  <c r="IM11" i="51"/>
  <c r="IL11" i="51"/>
  <c r="IK11" i="51"/>
  <c r="IJ11" i="51"/>
  <c r="II11" i="51"/>
  <c r="IH11" i="51"/>
  <c r="IG11" i="51"/>
  <c r="IF11" i="51"/>
  <c r="IE11" i="51"/>
  <c r="ID11" i="51"/>
  <c r="IC11" i="51"/>
  <c r="IB11" i="51"/>
  <c r="IA11" i="51"/>
  <c r="HZ11" i="51"/>
  <c r="HY11" i="51"/>
  <c r="HX11" i="51"/>
  <c r="HW11" i="51"/>
  <c r="HV11" i="51"/>
  <c r="HU11" i="51"/>
  <c r="HT11" i="51"/>
  <c r="HS11" i="51"/>
  <c r="HR11" i="51"/>
  <c r="HQ11" i="51"/>
  <c r="HP11" i="51"/>
  <c r="HO11" i="51"/>
  <c r="HN11" i="51"/>
  <c r="HM11" i="51"/>
  <c r="HL11" i="51"/>
  <c r="HK11" i="51"/>
  <c r="HJ11" i="51"/>
  <c r="HI11" i="51"/>
  <c r="HH11" i="51"/>
  <c r="HG11" i="51"/>
  <c r="HF11" i="51"/>
  <c r="HE11" i="51"/>
  <c r="HD11" i="51"/>
  <c r="HC11" i="51"/>
  <c r="HB11" i="51"/>
  <c r="HA11" i="51"/>
  <c r="GZ11" i="51"/>
  <c r="GY11" i="51"/>
  <c r="GX11" i="51"/>
  <c r="GW11" i="51"/>
  <c r="GV11" i="51"/>
  <c r="GU11" i="51"/>
  <c r="GT11" i="51"/>
  <c r="GS11" i="51"/>
  <c r="GR11" i="51"/>
  <c r="GQ11" i="51"/>
  <c r="GP11" i="51"/>
  <c r="GO11" i="51"/>
  <c r="GN11" i="51"/>
  <c r="GM11" i="51"/>
  <c r="GL11" i="51"/>
  <c r="GK11" i="51"/>
  <c r="GJ11" i="51"/>
  <c r="GI11" i="51"/>
  <c r="GH11" i="51"/>
  <c r="GG11" i="51"/>
  <c r="GF11" i="51"/>
  <c r="GE11" i="51"/>
  <c r="GD11" i="51"/>
  <c r="GC11" i="51"/>
  <c r="GB11" i="51"/>
  <c r="GA11" i="51"/>
  <c r="FZ11" i="51"/>
  <c r="FY11" i="51"/>
  <c r="FX11" i="51"/>
  <c r="FW11" i="51"/>
  <c r="FV11" i="51"/>
  <c r="FU11" i="51"/>
  <c r="FT11" i="51"/>
  <c r="FS11" i="51"/>
  <c r="FR11" i="51"/>
  <c r="FQ11" i="51"/>
  <c r="FP11" i="51"/>
  <c r="FO11" i="51"/>
  <c r="FN11" i="51"/>
  <c r="FM11" i="51"/>
  <c r="FL11" i="51"/>
  <c r="FK11" i="51"/>
  <c r="FJ11" i="51"/>
  <c r="FI11" i="51"/>
  <c r="FH11" i="51"/>
  <c r="FG11" i="51"/>
  <c r="FF11" i="51"/>
  <c r="FE11" i="51"/>
  <c r="FD11" i="51"/>
  <c r="FC11" i="51"/>
  <c r="FB11" i="51"/>
  <c r="FA11" i="51"/>
  <c r="EZ11" i="51"/>
  <c r="EY11" i="51"/>
  <c r="EX11" i="51"/>
  <c r="EW11" i="51"/>
  <c r="EV11" i="51"/>
  <c r="EU11" i="51"/>
  <c r="ET11" i="51"/>
  <c r="ES11" i="51"/>
  <c r="ER11" i="51"/>
  <c r="EQ11" i="51"/>
  <c r="EP11" i="51"/>
  <c r="EO11" i="51"/>
  <c r="EN11" i="51"/>
  <c r="EM11" i="51"/>
  <c r="EL11" i="51"/>
  <c r="EK11" i="51"/>
  <c r="EJ11" i="51"/>
  <c r="EI11" i="51"/>
  <c r="EH11" i="51"/>
  <c r="EG11" i="51"/>
  <c r="EF11" i="51"/>
  <c r="EE11" i="51"/>
  <c r="ED11" i="51"/>
  <c r="EC11" i="51"/>
  <c r="EB11" i="51"/>
  <c r="EA11" i="51"/>
  <c r="DZ11" i="51"/>
  <c r="DY11" i="51"/>
  <c r="DX11" i="51"/>
  <c r="DW11" i="51"/>
  <c r="DV11" i="51"/>
  <c r="DU11" i="51"/>
  <c r="DT11" i="51"/>
  <c r="DS11" i="51"/>
  <c r="DR11" i="51"/>
  <c r="DQ11" i="51"/>
  <c r="DP11" i="51"/>
  <c r="DO11" i="51"/>
  <c r="DN11" i="51"/>
  <c r="DM11" i="51"/>
  <c r="DL11" i="51"/>
  <c r="DK11" i="51"/>
  <c r="DJ11" i="51"/>
  <c r="DI11" i="51"/>
  <c r="DH11" i="51"/>
  <c r="DG11" i="51"/>
  <c r="DF11" i="51"/>
  <c r="DE11" i="51"/>
  <c r="DD11" i="51"/>
  <c r="DC11" i="51"/>
  <c r="DB11" i="51"/>
  <c r="DA11" i="51"/>
  <c r="CZ11" i="51"/>
  <c r="CY11" i="51"/>
  <c r="CX11" i="51"/>
  <c r="CW11" i="51"/>
  <c r="CV11" i="51"/>
  <c r="CU11" i="51"/>
  <c r="CT11" i="51"/>
  <c r="CS11" i="51"/>
  <c r="CR11" i="51"/>
  <c r="CQ11" i="51"/>
  <c r="CP11" i="51"/>
  <c r="CO11" i="51"/>
  <c r="CN11" i="51"/>
  <c r="CM11" i="51"/>
  <c r="CL11" i="51"/>
  <c r="CK11" i="51"/>
  <c r="CJ11" i="51"/>
  <c r="CI11" i="51"/>
  <c r="CH11" i="51"/>
  <c r="CG11" i="51"/>
  <c r="CF11" i="51"/>
  <c r="CE11" i="51"/>
  <c r="CD11" i="51"/>
  <c r="CC11" i="51"/>
  <c r="CB11" i="51"/>
  <c r="CA11" i="51"/>
  <c r="BZ11" i="51"/>
  <c r="BY11" i="51"/>
  <c r="BX11" i="51"/>
  <c r="BW11" i="51"/>
  <c r="BV11" i="51"/>
  <c r="BU11" i="51"/>
  <c r="BT11" i="51"/>
  <c r="BS11" i="51"/>
  <c r="BR11" i="51"/>
  <c r="BQ11" i="51"/>
  <c r="BP11" i="51"/>
  <c r="BO11" i="51"/>
  <c r="BN11" i="51"/>
  <c r="BM11" i="51"/>
  <c r="BL11" i="51"/>
  <c r="BK11" i="51"/>
  <c r="BJ11" i="51"/>
  <c r="BI11" i="51"/>
  <c r="BH11" i="51"/>
  <c r="BG11" i="51"/>
  <c r="BF11" i="51"/>
  <c r="BE11" i="51"/>
  <c r="BD11" i="51"/>
  <c r="BC11" i="51"/>
  <c r="BB11" i="51"/>
  <c r="BA11" i="51"/>
  <c r="AZ11" i="51"/>
  <c r="AY11" i="51"/>
  <c r="AX11" i="51"/>
  <c r="AW11" i="51"/>
  <c r="AV11" i="51"/>
  <c r="AU11" i="51"/>
  <c r="AT11" i="51"/>
  <c r="AS11" i="51"/>
  <c r="AR11" i="51"/>
  <c r="AQ11" i="51"/>
  <c r="AP11" i="51"/>
  <c r="AO11" i="51"/>
  <c r="AN11" i="51"/>
  <c r="AM11" i="51"/>
  <c r="AL11" i="51"/>
  <c r="AK11" i="51"/>
  <c r="AJ11" i="51"/>
  <c r="AI11" i="51"/>
  <c r="AH11" i="51"/>
  <c r="AG11" i="51"/>
  <c r="AF11" i="51"/>
  <c r="AE11" i="51"/>
  <c r="AD11" i="51"/>
  <c r="AC11" i="51"/>
  <c r="AB11" i="51"/>
  <c r="AA11" i="51"/>
  <c r="Z11" i="51"/>
  <c r="Y11" i="51"/>
  <c r="X11" i="51"/>
  <c r="W11" i="51"/>
  <c r="V11" i="51"/>
  <c r="U11" i="51"/>
  <c r="T11" i="51"/>
  <c r="S11" i="51"/>
  <c r="R11" i="51"/>
  <c r="Q11" i="51"/>
  <c r="P11" i="51"/>
  <c r="O11" i="51"/>
  <c r="N11" i="51"/>
  <c r="M11" i="51"/>
  <c r="L11" i="51"/>
  <c r="K11" i="51"/>
  <c r="J11" i="51"/>
  <c r="I11" i="51"/>
  <c r="H11" i="51"/>
  <c r="G11" i="51"/>
  <c r="F11" i="51"/>
  <c r="IV10" i="51"/>
  <c r="IU10" i="51"/>
  <c r="IT10" i="51"/>
  <c r="IS10" i="51"/>
  <c r="IR10" i="51"/>
  <c r="IQ10" i="51"/>
  <c r="IP10" i="51"/>
  <c r="IO10" i="51"/>
  <c r="IN10" i="51"/>
  <c r="IM10" i="51"/>
  <c r="IL10" i="51"/>
  <c r="IK10" i="51"/>
  <c r="IJ10" i="51"/>
  <c r="II10" i="51"/>
  <c r="IH10" i="51"/>
  <c r="IG10" i="51"/>
  <c r="IF10" i="51"/>
  <c r="IE10" i="51"/>
  <c r="ID10" i="51"/>
  <c r="IC10" i="51"/>
  <c r="IB10" i="51"/>
  <c r="IA10" i="51"/>
  <c r="HZ10" i="51"/>
  <c r="HY10" i="51"/>
  <c r="HX10" i="51"/>
  <c r="HW10" i="51"/>
  <c r="HV10" i="51"/>
  <c r="HU10" i="51"/>
  <c r="HT10" i="51"/>
  <c r="HS10" i="51"/>
  <c r="HR10" i="51"/>
  <c r="HQ10" i="51"/>
  <c r="HP10" i="51"/>
  <c r="HO10" i="51"/>
  <c r="HN10" i="51"/>
  <c r="HM10" i="51"/>
  <c r="HL10" i="51"/>
  <c r="HK10" i="51"/>
  <c r="HJ10" i="51"/>
  <c r="HI10" i="51"/>
  <c r="HH10" i="51"/>
  <c r="HG10" i="51"/>
  <c r="HF10" i="51"/>
  <c r="HE10" i="51"/>
  <c r="HD10" i="51"/>
  <c r="HC10" i="51"/>
  <c r="HB10" i="51"/>
  <c r="HA10" i="51"/>
  <c r="GZ10" i="51"/>
  <c r="GY10" i="51"/>
  <c r="GX10" i="51"/>
  <c r="GW10" i="51"/>
  <c r="GV10" i="51"/>
  <c r="GU10" i="51"/>
  <c r="GT10" i="51"/>
  <c r="GS10" i="51"/>
  <c r="GR10" i="51"/>
  <c r="GQ10" i="51"/>
  <c r="GP10" i="51"/>
  <c r="GO10" i="51"/>
  <c r="GN10" i="51"/>
  <c r="GM10" i="51"/>
  <c r="GL10" i="51"/>
  <c r="GK10" i="51"/>
  <c r="GJ10" i="51"/>
  <c r="GI10" i="51"/>
  <c r="GH10" i="51"/>
  <c r="GG10" i="51"/>
  <c r="GF10" i="51"/>
  <c r="GE10" i="51"/>
  <c r="GD10" i="51"/>
  <c r="GC10" i="51"/>
  <c r="GB10" i="51"/>
  <c r="GA10" i="51"/>
  <c r="FZ10" i="51"/>
  <c r="FY10" i="51"/>
  <c r="FX10" i="51"/>
  <c r="FW10" i="51"/>
  <c r="FV10" i="51"/>
  <c r="FU10" i="51"/>
  <c r="FT10" i="51"/>
  <c r="FS10" i="51"/>
  <c r="FR10" i="51"/>
  <c r="FQ10" i="51"/>
  <c r="FP10" i="51"/>
  <c r="FO10" i="51"/>
  <c r="FN10" i="51"/>
  <c r="FM10" i="51"/>
  <c r="FL10" i="51"/>
  <c r="FK10" i="51"/>
  <c r="FJ10" i="51"/>
  <c r="FI10" i="51"/>
  <c r="FH10" i="51"/>
  <c r="FG10" i="51"/>
  <c r="FF10" i="51"/>
  <c r="FE10" i="51"/>
  <c r="FD10" i="51"/>
  <c r="FC10" i="51"/>
  <c r="FB10" i="51"/>
  <c r="FA10" i="51"/>
  <c r="EZ10" i="51"/>
  <c r="EY10" i="51"/>
  <c r="EX10" i="51"/>
  <c r="EW10" i="51"/>
  <c r="EV10" i="51"/>
  <c r="EU10" i="51"/>
  <c r="ET10" i="51"/>
  <c r="ES10" i="51"/>
  <c r="ER10" i="51"/>
  <c r="EQ10" i="51"/>
  <c r="EP10" i="51"/>
  <c r="EO10" i="51"/>
  <c r="EN10" i="51"/>
  <c r="EM10" i="51"/>
  <c r="EL10" i="51"/>
  <c r="EK10" i="51"/>
  <c r="EJ10" i="51"/>
  <c r="EI10" i="51"/>
  <c r="EH10" i="51"/>
  <c r="EG10" i="51"/>
  <c r="EF10" i="51"/>
  <c r="EE10" i="51"/>
  <c r="ED10" i="51"/>
  <c r="EC10" i="51"/>
  <c r="EB10" i="51"/>
  <c r="EA10" i="51"/>
  <c r="DZ10" i="51"/>
  <c r="DY10" i="51"/>
  <c r="DX10" i="51"/>
  <c r="DW10" i="51"/>
  <c r="DV10" i="51"/>
  <c r="DU10" i="51"/>
  <c r="DT10" i="51"/>
  <c r="DS10" i="51"/>
  <c r="DR10" i="51"/>
  <c r="DQ10" i="51"/>
  <c r="DP10" i="51"/>
  <c r="DO10" i="51"/>
  <c r="DN10" i="51"/>
  <c r="DM10" i="51"/>
  <c r="DL10" i="51"/>
  <c r="DK10" i="51"/>
  <c r="DJ10" i="51"/>
  <c r="DI10" i="51"/>
  <c r="DH10" i="51"/>
  <c r="DG10" i="51"/>
  <c r="DF10" i="51"/>
  <c r="DE10" i="51"/>
  <c r="DD10" i="51"/>
  <c r="DC10" i="51"/>
  <c r="DB10" i="51"/>
  <c r="DA10" i="51"/>
  <c r="CZ10" i="51"/>
  <c r="CY10" i="51"/>
  <c r="CX10" i="51"/>
  <c r="CW10" i="51"/>
  <c r="CV10" i="51"/>
  <c r="CU10" i="51"/>
  <c r="CT10" i="51"/>
  <c r="CS10" i="51"/>
  <c r="CR10" i="51"/>
  <c r="CQ10" i="51"/>
  <c r="CP10" i="51"/>
  <c r="CO10" i="51"/>
  <c r="CN10" i="51"/>
  <c r="CM10" i="51"/>
  <c r="CL10" i="51"/>
  <c r="CK10" i="51"/>
  <c r="CJ10" i="51"/>
  <c r="CI10" i="51"/>
  <c r="CH10" i="51"/>
  <c r="CG10" i="51"/>
  <c r="CF10" i="51"/>
  <c r="CE10" i="51"/>
  <c r="CD10" i="51"/>
  <c r="CC10" i="51"/>
  <c r="CB10" i="51"/>
  <c r="CA10" i="51"/>
  <c r="BZ10" i="51"/>
  <c r="BY10" i="51"/>
  <c r="BX10" i="51"/>
  <c r="BW10" i="51"/>
  <c r="BV10" i="51"/>
  <c r="BU10" i="51"/>
  <c r="BT10" i="51"/>
  <c r="BS10" i="51"/>
  <c r="BR10" i="51"/>
  <c r="BQ10" i="51"/>
  <c r="BP10" i="51"/>
  <c r="BO10" i="51"/>
  <c r="BN10" i="51"/>
  <c r="BM10" i="51"/>
  <c r="BL10" i="51"/>
  <c r="BK10" i="51"/>
  <c r="BJ10" i="51"/>
  <c r="BI10" i="51"/>
  <c r="BH10" i="51"/>
  <c r="BG10" i="51"/>
  <c r="BF10" i="51"/>
  <c r="BE10" i="51"/>
  <c r="BD10" i="51"/>
  <c r="BC10" i="51"/>
  <c r="BB10" i="51"/>
  <c r="BA10" i="51"/>
  <c r="AZ10" i="51"/>
  <c r="AY10" i="51"/>
  <c r="AX10" i="51"/>
  <c r="AW10" i="51"/>
  <c r="AV10" i="51"/>
  <c r="AU10" i="51"/>
  <c r="AT10" i="51"/>
  <c r="AS10" i="51"/>
  <c r="AR10" i="51"/>
  <c r="AQ10" i="51"/>
  <c r="AP10" i="51"/>
  <c r="AO10" i="51"/>
  <c r="AN10" i="51"/>
  <c r="AM10" i="51"/>
  <c r="AL10" i="51"/>
  <c r="AK10" i="51"/>
  <c r="AJ10" i="51"/>
  <c r="AI10" i="51"/>
  <c r="AH10" i="51"/>
  <c r="AG10" i="51"/>
  <c r="AF10" i="51"/>
  <c r="AE10" i="51"/>
  <c r="AD10" i="51"/>
  <c r="AC10" i="51"/>
  <c r="AB10" i="51"/>
  <c r="AA10" i="51"/>
  <c r="Z10" i="51"/>
  <c r="Y10" i="51"/>
  <c r="X10" i="51"/>
  <c r="W10" i="51"/>
  <c r="V10" i="51"/>
  <c r="U10" i="51"/>
  <c r="T10" i="51"/>
  <c r="S10" i="51"/>
  <c r="R10" i="51"/>
  <c r="Q10" i="51"/>
  <c r="P10" i="51"/>
  <c r="O10" i="51"/>
  <c r="N10" i="51"/>
  <c r="M10" i="51"/>
  <c r="L10" i="51"/>
  <c r="K10" i="51"/>
  <c r="J10" i="51"/>
  <c r="I10" i="51"/>
  <c r="H10" i="51"/>
  <c r="G10" i="51"/>
  <c r="F10" i="51"/>
  <c r="IV9" i="51"/>
  <c r="IU9" i="51"/>
  <c r="IT9" i="51"/>
  <c r="IS9" i="51"/>
  <c r="IR9" i="51"/>
  <c r="IQ9" i="51"/>
  <c r="IP9" i="51"/>
  <c r="IO9" i="51"/>
  <c r="IN9" i="51"/>
  <c r="IM9" i="51"/>
  <c r="IL9" i="51"/>
  <c r="IK9" i="51"/>
  <c r="IJ9" i="51"/>
  <c r="II9" i="51"/>
  <c r="IH9" i="51"/>
  <c r="IG9" i="51"/>
  <c r="IF9" i="51"/>
  <c r="IE9" i="51"/>
  <c r="ID9" i="51"/>
  <c r="IC9" i="51"/>
  <c r="IB9" i="51"/>
  <c r="IA9" i="51"/>
  <c r="HZ9" i="51"/>
  <c r="HY9" i="51"/>
  <c r="HX9" i="51"/>
  <c r="HW9" i="51"/>
  <c r="HV9" i="51"/>
  <c r="HU9" i="51"/>
  <c r="HT9" i="51"/>
  <c r="HS9" i="51"/>
  <c r="HR9" i="51"/>
  <c r="HQ9" i="51"/>
  <c r="HP9" i="51"/>
  <c r="HO9" i="51"/>
  <c r="HN9" i="51"/>
  <c r="HM9" i="51"/>
  <c r="HL9" i="51"/>
  <c r="HK9" i="51"/>
  <c r="HJ9" i="51"/>
  <c r="HI9" i="51"/>
  <c r="HH9" i="51"/>
  <c r="HG9" i="51"/>
  <c r="HF9" i="51"/>
  <c r="HE9" i="51"/>
  <c r="HD9" i="51"/>
  <c r="HC9" i="51"/>
  <c r="HB9" i="51"/>
  <c r="HA9" i="51"/>
  <c r="GZ9" i="51"/>
  <c r="GY9" i="51"/>
  <c r="GX9" i="51"/>
  <c r="GW9" i="51"/>
  <c r="GV9" i="51"/>
  <c r="GU9" i="51"/>
  <c r="GT9" i="51"/>
  <c r="GS9" i="51"/>
  <c r="GR9" i="51"/>
  <c r="GQ9" i="51"/>
  <c r="GP9" i="51"/>
  <c r="GO9" i="51"/>
  <c r="GN9" i="51"/>
  <c r="GM9" i="51"/>
  <c r="GL9" i="51"/>
  <c r="GK9" i="51"/>
  <c r="GJ9" i="51"/>
  <c r="GI9" i="51"/>
  <c r="GH9" i="51"/>
  <c r="GG9" i="51"/>
  <c r="GF9" i="51"/>
  <c r="GE9" i="51"/>
  <c r="GD9" i="51"/>
  <c r="GC9" i="51"/>
  <c r="GB9" i="51"/>
  <c r="GA9" i="51"/>
  <c r="FZ9" i="51"/>
  <c r="FY9" i="51"/>
  <c r="FX9" i="51"/>
  <c r="FW9" i="51"/>
  <c r="FV9" i="51"/>
  <c r="FU9" i="51"/>
  <c r="FT9" i="51"/>
  <c r="FS9" i="51"/>
  <c r="FR9" i="51"/>
  <c r="FQ9" i="51"/>
  <c r="FP9" i="51"/>
  <c r="FO9" i="51"/>
  <c r="FN9" i="51"/>
  <c r="FM9" i="51"/>
  <c r="FL9" i="51"/>
  <c r="FK9" i="51"/>
  <c r="FJ9" i="51"/>
  <c r="FI9" i="51"/>
  <c r="FH9" i="51"/>
  <c r="FG9" i="51"/>
  <c r="FF9" i="51"/>
  <c r="FE9" i="51"/>
  <c r="FD9" i="51"/>
  <c r="FC9" i="51"/>
  <c r="FB9" i="51"/>
  <c r="FA9" i="51"/>
  <c r="EZ9" i="51"/>
  <c r="EY9" i="51"/>
  <c r="EX9" i="51"/>
  <c r="EW9" i="51"/>
  <c r="EV9" i="51"/>
  <c r="EU9" i="51"/>
  <c r="ET9" i="51"/>
  <c r="ES9" i="51"/>
  <c r="ER9" i="51"/>
  <c r="EQ9" i="51"/>
  <c r="EP9" i="51"/>
  <c r="EO9" i="51"/>
  <c r="EN9" i="51"/>
  <c r="EM9" i="51"/>
  <c r="EL9" i="51"/>
  <c r="EK9" i="51"/>
  <c r="EJ9" i="51"/>
  <c r="EI9" i="51"/>
  <c r="EH9" i="51"/>
  <c r="EG9" i="51"/>
  <c r="EF9" i="51"/>
  <c r="EE9" i="51"/>
  <c r="ED9" i="51"/>
  <c r="EC9" i="51"/>
  <c r="EB9" i="51"/>
  <c r="EA9" i="51"/>
  <c r="DZ9" i="51"/>
  <c r="DY9" i="51"/>
  <c r="DX9" i="51"/>
  <c r="DW9" i="51"/>
  <c r="DV9" i="51"/>
  <c r="DU9" i="51"/>
  <c r="DT9" i="51"/>
  <c r="DS9" i="51"/>
  <c r="DR9" i="51"/>
  <c r="DQ9" i="51"/>
  <c r="DP9" i="51"/>
  <c r="DO9" i="51"/>
  <c r="DN9" i="51"/>
  <c r="DM9" i="51"/>
  <c r="DL9" i="51"/>
  <c r="DK9" i="51"/>
  <c r="DJ9" i="51"/>
  <c r="DI9" i="51"/>
  <c r="DH9" i="51"/>
  <c r="DG9" i="51"/>
  <c r="DF9" i="51"/>
  <c r="DE9" i="51"/>
  <c r="DD9" i="51"/>
  <c r="DC9" i="51"/>
  <c r="DB9" i="51"/>
  <c r="DA9" i="51"/>
  <c r="CZ9" i="51"/>
  <c r="CY9" i="51"/>
  <c r="CX9" i="51"/>
  <c r="CW9" i="51"/>
  <c r="CV9" i="51"/>
  <c r="CU9" i="51"/>
  <c r="CT9" i="51"/>
  <c r="CS9" i="51"/>
  <c r="CR9" i="51"/>
  <c r="CQ9" i="51"/>
  <c r="CP9" i="51"/>
  <c r="CO9" i="51"/>
  <c r="CN9" i="51"/>
  <c r="CM9" i="51"/>
  <c r="CL9" i="51"/>
  <c r="CK9" i="51"/>
  <c r="CJ9" i="51"/>
  <c r="CI9" i="51"/>
  <c r="CH9" i="51"/>
  <c r="CG9" i="51"/>
  <c r="CF9" i="51"/>
  <c r="CE9" i="51"/>
  <c r="CD9" i="51"/>
  <c r="CC9" i="51"/>
  <c r="CB9" i="51"/>
  <c r="CA9" i="51"/>
  <c r="BZ9" i="51"/>
  <c r="BY9" i="51"/>
  <c r="BX9" i="51"/>
  <c r="BW9" i="51"/>
  <c r="BV9" i="51"/>
  <c r="BU9" i="51"/>
  <c r="BT9" i="51"/>
  <c r="BS9" i="51"/>
  <c r="BR9" i="51"/>
  <c r="BQ9" i="51"/>
  <c r="BP9" i="51"/>
  <c r="BO9" i="51"/>
  <c r="BN9" i="51"/>
  <c r="BM9" i="51"/>
  <c r="BL9" i="51"/>
  <c r="BK9" i="51"/>
  <c r="BJ9" i="51"/>
  <c r="BI9" i="51"/>
  <c r="BH9" i="51"/>
  <c r="BG9" i="51"/>
  <c r="BF9" i="51"/>
  <c r="BE9" i="51"/>
  <c r="BD9" i="51"/>
  <c r="BC9" i="51"/>
  <c r="BB9" i="51"/>
  <c r="BA9" i="51"/>
  <c r="AZ9" i="51"/>
  <c r="AY9" i="51"/>
  <c r="AX9" i="51"/>
  <c r="AW9" i="51"/>
  <c r="AV9" i="51"/>
  <c r="AU9" i="51"/>
  <c r="AT9" i="51"/>
  <c r="AS9" i="51"/>
  <c r="AR9" i="51"/>
  <c r="AQ9" i="51"/>
  <c r="AP9" i="51"/>
  <c r="AO9" i="51"/>
  <c r="AN9" i="51"/>
  <c r="AM9" i="51"/>
  <c r="AL9" i="51"/>
  <c r="AK9" i="51"/>
  <c r="AJ9" i="51"/>
  <c r="AI9" i="51"/>
  <c r="AH9" i="51"/>
  <c r="AG9" i="51"/>
  <c r="AF9" i="51"/>
  <c r="AE9" i="51"/>
  <c r="AD9" i="51"/>
  <c r="AC9" i="51"/>
  <c r="AB9" i="51"/>
  <c r="AA9" i="51"/>
  <c r="Z9" i="51"/>
  <c r="Y9" i="51"/>
  <c r="X9" i="51"/>
  <c r="W9" i="51"/>
  <c r="V9" i="51"/>
  <c r="U9" i="51"/>
  <c r="T9" i="51"/>
  <c r="S9" i="51"/>
  <c r="R9" i="51"/>
  <c r="Q9" i="51"/>
  <c r="P9" i="51"/>
  <c r="O9" i="51"/>
  <c r="N9" i="51"/>
  <c r="M9" i="51"/>
  <c r="L9" i="51"/>
  <c r="K9" i="51"/>
  <c r="J9" i="51"/>
  <c r="I9" i="51"/>
  <c r="H9" i="51"/>
  <c r="G9" i="51"/>
  <c r="F9" i="51"/>
  <c r="IV8" i="51"/>
  <c r="IU8" i="51"/>
  <c r="IT8" i="51"/>
  <c r="IS8" i="51"/>
  <c r="IR8" i="51"/>
  <c r="IQ8" i="51"/>
  <c r="IP8" i="51"/>
  <c r="IO8" i="51"/>
  <c r="IN8" i="51"/>
  <c r="IM8" i="51"/>
  <c r="IL8" i="51"/>
  <c r="IK8" i="51"/>
  <c r="IJ8" i="51"/>
  <c r="II8" i="51"/>
  <c r="IH8" i="51"/>
  <c r="IG8" i="51"/>
  <c r="IF8" i="51"/>
  <c r="IE8" i="51"/>
  <c r="ID8" i="51"/>
  <c r="IC8" i="51"/>
  <c r="IB8" i="51"/>
  <c r="IA8" i="51"/>
  <c r="HZ8" i="51"/>
  <c r="HY8" i="51"/>
  <c r="HX8" i="51"/>
  <c r="HW8" i="51"/>
  <c r="HV8" i="51"/>
  <c r="HU8" i="51"/>
  <c r="HT8" i="51"/>
  <c r="HS8" i="51"/>
  <c r="HR8" i="51"/>
  <c r="HQ8" i="51"/>
  <c r="HP8" i="51"/>
  <c r="HO8" i="51"/>
  <c r="HN8" i="51"/>
  <c r="HM8" i="51"/>
  <c r="HL8" i="51"/>
  <c r="HK8" i="51"/>
  <c r="HJ8" i="51"/>
  <c r="HI8" i="51"/>
  <c r="HH8" i="51"/>
  <c r="HG8" i="51"/>
  <c r="HF8" i="51"/>
  <c r="HE8" i="51"/>
  <c r="HD8" i="51"/>
  <c r="HC8" i="51"/>
  <c r="HB8" i="51"/>
  <c r="HA8" i="51"/>
  <c r="GZ8" i="51"/>
  <c r="GY8" i="51"/>
  <c r="GX8" i="51"/>
  <c r="GW8" i="51"/>
  <c r="GV8" i="51"/>
  <c r="GU8" i="51"/>
  <c r="GT8" i="51"/>
  <c r="GS8" i="51"/>
  <c r="GR8" i="51"/>
  <c r="GQ8" i="51"/>
  <c r="GP8" i="51"/>
  <c r="GO8" i="51"/>
  <c r="GN8" i="51"/>
  <c r="GM8" i="51"/>
  <c r="GL8" i="51"/>
  <c r="GK8" i="51"/>
  <c r="GJ8" i="51"/>
  <c r="GI8" i="51"/>
  <c r="GH8" i="51"/>
  <c r="GG8" i="51"/>
  <c r="GF8" i="51"/>
  <c r="GE8" i="51"/>
  <c r="GD8" i="51"/>
  <c r="GC8" i="51"/>
  <c r="GB8" i="51"/>
  <c r="GA8" i="51"/>
  <c r="FZ8" i="51"/>
  <c r="FY8" i="51"/>
  <c r="FX8" i="51"/>
  <c r="FW8" i="51"/>
  <c r="FV8" i="51"/>
  <c r="FU8" i="51"/>
  <c r="FT8" i="51"/>
  <c r="FS8" i="51"/>
  <c r="FR8" i="51"/>
  <c r="FQ8" i="51"/>
  <c r="FP8" i="51"/>
  <c r="FO8" i="51"/>
  <c r="FN8" i="51"/>
  <c r="FM8" i="51"/>
  <c r="FL8" i="51"/>
  <c r="FK8" i="51"/>
  <c r="FJ8" i="51"/>
  <c r="FI8" i="51"/>
  <c r="FH8" i="51"/>
  <c r="FG8" i="51"/>
  <c r="FF8" i="51"/>
  <c r="FE8" i="51"/>
  <c r="FD8" i="51"/>
  <c r="FC8" i="51"/>
  <c r="FB8" i="51"/>
  <c r="FA8" i="51"/>
  <c r="EZ8" i="51"/>
  <c r="EY8" i="51"/>
  <c r="EX8" i="51"/>
  <c r="EW8" i="51"/>
  <c r="EV8" i="51"/>
  <c r="EU8" i="51"/>
  <c r="ET8" i="51"/>
  <c r="ES8" i="51"/>
  <c r="ER8" i="51"/>
  <c r="EQ8" i="51"/>
  <c r="EP8" i="51"/>
  <c r="EO8" i="51"/>
  <c r="EN8" i="51"/>
  <c r="EM8" i="51"/>
  <c r="EL8" i="51"/>
  <c r="EK8" i="51"/>
  <c r="EJ8" i="51"/>
  <c r="EI8" i="51"/>
  <c r="EH8" i="51"/>
  <c r="EG8" i="51"/>
  <c r="EF8" i="51"/>
  <c r="EE8" i="51"/>
  <c r="ED8" i="51"/>
  <c r="EC8" i="51"/>
  <c r="EB8" i="51"/>
  <c r="EA8" i="51"/>
  <c r="DZ8" i="51"/>
  <c r="DY8" i="51"/>
  <c r="DX8" i="51"/>
  <c r="DW8" i="51"/>
  <c r="DV8" i="51"/>
  <c r="DU8" i="51"/>
  <c r="DT8" i="51"/>
  <c r="DS8" i="51"/>
  <c r="DR8" i="51"/>
  <c r="DQ8" i="51"/>
  <c r="DP8" i="51"/>
  <c r="DO8" i="51"/>
  <c r="DN8" i="51"/>
  <c r="DM8" i="51"/>
  <c r="DL8" i="51"/>
  <c r="DK8" i="51"/>
  <c r="DJ8" i="51"/>
  <c r="DI8" i="51"/>
  <c r="DH8" i="51"/>
  <c r="DG8" i="51"/>
  <c r="DF8" i="51"/>
  <c r="DE8" i="51"/>
  <c r="DD8" i="51"/>
  <c r="DC8" i="51"/>
  <c r="DB8" i="51"/>
  <c r="DA8" i="51"/>
  <c r="CZ8" i="51"/>
  <c r="CY8" i="51"/>
  <c r="CX8" i="51"/>
  <c r="CW8" i="51"/>
  <c r="CV8" i="51"/>
  <c r="CU8" i="51"/>
  <c r="CT8" i="51"/>
  <c r="CS8" i="51"/>
  <c r="CR8" i="51"/>
  <c r="CQ8" i="51"/>
  <c r="CP8" i="51"/>
  <c r="CO8" i="51"/>
  <c r="CN8" i="51"/>
  <c r="CM8" i="51"/>
  <c r="CL8" i="51"/>
  <c r="CK8" i="51"/>
  <c r="CJ8" i="51"/>
  <c r="CI8" i="51"/>
  <c r="CH8" i="51"/>
  <c r="CG8" i="51"/>
  <c r="CF8" i="51"/>
  <c r="CE8" i="51"/>
  <c r="CD8" i="51"/>
  <c r="CC8" i="51"/>
  <c r="CB8" i="51"/>
  <c r="CA8" i="51"/>
  <c r="BZ8" i="51"/>
  <c r="BY8" i="51"/>
  <c r="BX8" i="51"/>
  <c r="BW8" i="51"/>
  <c r="BV8" i="51"/>
  <c r="BU8" i="51"/>
  <c r="BT8" i="51"/>
  <c r="BS8" i="51"/>
  <c r="BR8" i="51"/>
  <c r="BQ8" i="51"/>
  <c r="BP8" i="51"/>
  <c r="BO8" i="51"/>
  <c r="BN8" i="51"/>
  <c r="BM8" i="51"/>
  <c r="BL8" i="51"/>
  <c r="BK8" i="51"/>
  <c r="BJ8" i="51"/>
  <c r="BI8" i="51"/>
  <c r="BH8" i="51"/>
  <c r="BG8" i="51"/>
  <c r="BF8" i="51"/>
  <c r="BE8" i="51"/>
  <c r="BD8" i="51"/>
  <c r="BC8" i="51"/>
  <c r="BB8" i="51"/>
  <c r="BA8" i="51"/>
  <c r="AZ8" i="51"/>
  <c r="AY8" i="51"/>
  <c r="AX8" i="51"/>
  <c r="AW8" i="51"/>
  <c r="AV8" i="51"/>
  <c r="AU8" i="51"/>
  <c r="AT8" i="51"/>
  <c r="AS8" i="51"/>
  <c r="AR8" i="51"/>
  <c r="AQ8" i="51"/>
  <c r="AP8" i="51"/>
  <c r="AO8" i="51"/>
  <c r="AN8" i="51"/>
  <c r="AM8" i="51"/>
  <c r="AL8" i="51"/>
  <c r="AK8" i="51"/>
  <c r="AJ8" i="51"/>
  <c r="AI8" i="51"/>
  <c r="AH8" i="51"/>
  <c r="AG8" i="51"/>
  <c r="AF8" i="51"/>
  <c r="AE8" i="51"/>
  <c r="AD8" i="51"/>
  <c r="AC8" i="51"/>
  <c r="AB8" i="51"/>
  <c r="AA8" i="51"/>
  <c r="Z8" i="51"/>
  <c r="Y8" i="51"/>
  <c r="X8" i="51"/>
  <c r="W8" i="51"/>
  <c r="V8" i="51"/>
  <c r="U8" i="51"/>
  <c r="T8" i="51"/>
  <c r="S8" i="51"/>
  <c r="R8" i="51"/>
  <c r="Q8" i="51"/>
  <c r="P8" i="51"/>
  <c r="O8" i="51"/>
  <c r="N8" i="51"/>
  <c r="M8" i="51"/>
  <c r="L8" i="51"/>
  <c r="K8" i="51"/>
  <c r="J8" i="51"/>
  <c r="I8" i="51"/>
  <c r="H8" i="51"/>
  <c r="G8" i="51"/>
  <c r="F8" i="51"/>
  <c r="IV7" i="51"/>
  <c r="IU7" i="51"/>
  <c r="IT7" i="51"/>
  <c r="IS7" i="51"/>
  <c r="IR7" i="51"/>
  <c r="IQ7" i="51"/>
  <c r="IP7" i="51"/>
  <c r="IO7" i="51"/>
  <c r="IN7" i="51"/>
  <c r="IM7" i="51"/>
  <c r="IL7" i="51"/>
  <c r="IK7" i="51"/>
  <c r="IJ7" i="51"/>
  <c r="II7" i="51"/>
  <c r="IH7" i="51"/>
  <c r="IG7" i="51"/>
  <c r="IF7" i="51"/>
  <c r="IE7" i="51"/>
  <c r="ID7" i="51"/>
  <c r="IC7" i="51"/>
  <c r="IB7" i="51"/>
  <c r="IA7" i="51"/>
  <c r="HZ7" i="51"/>
  <c r="HY7" i="51"/>
  <c r="HX7" i="51"/>
  <c r="HW7" i="51"/>
  <c r="HV7" i="51"/>
  <c r="HU7" i="51"/>
  <c r="HT7" i="51"/>
  <c r="HS7" i="51"/>
  <c r="HR7" i="51"/>
  <c r="HQ7" i="51"/>
  <c r="HP7" i="51"/>
  <c r="HO7" i="51"/>
  <c r="HN7" i="51"/>
  <c r="HM7" i="51"/>
  <c r="HL7" i="51"/>
  <c r="HK7" i="51"/>
  <c r="HJ7" i="51"/>
  <c r="HI7" i="51"/>
  <c r="HH7" i="51"/>
  <c r="HG7" i="51"/>
  <c r="HF7" i="51"/>
  <c r="HE7" i="51"/>
  <c r="HD7" i="51"/>
  <c r="HC7" i="51"/>
  <c r="HB7" i="51"/>
  <c r="HA7" i="51"/>
  <c r="GZ7" i="51"/>
  <c r="GY7" i="51"/>
  <c r="GX7" i="51"/>
  <c r="GW7" i="51"/>
  <c r="GV7" i="51"/>
  <c r="GU7" i="51"/>
  <c r="GT7" i="51"/>
  <c r="GS7" i="51"/>
  <c r="GR7" i="51"/>
  <c r="GQ7" i="51"/>
  <c r="GP7" i="51"/>
  <c r="GO7" i="51"/>
  <c r="GN7" i="51"/>
  <c r="GM7" i="51"/>
  <c r="GL7" i="51"/>
  <c r="GK7" i="51"/>
  <c r="GJ7" i="51"/>
  <c r="GI7" i="51"/>
  <c r="GH7" i="51"/>
  <c r="GG7" i="51"/>
  <c r="GF7" i="51"/>
  <c r="GE7" i="51"/>
  <c r="GD7" i="51"/>
  <c r="GC7" i="51"/>
  <c r="GB7" i="51"/>
  <c r="GA7" i="51"/>
  <c r="FZ7" i="51"/>
  <c r="FY7" i="51"/>
  <c r="FX7" i="51"/>
  <c r="FW7" i="51"/>
  <c r="FV7" i="51"/>
  <c r="FU7" i="51"/>
  <c r="FT7" i="51"/>
  <c r="FS7" i="51"/>
  <c r="FR7" i="51"/>
  <c r="FQ7" i="51"/>
  <c r="FP7" i="51"/>
  <c r="FO7" i="51"/>
  <c r="FN7" i="51"/>
  <c r="FM7" i="51"/>
  <c r="FL7" i="51"/>
  <c r="FK7" i="51"/>
  <c r="FJ7" i="51"/>
  <c r="FI7" i="51"/>
  <c r="FH7" i="51"/>
  <c r="FG7" i="51"/>
  <c r="FF7" i="51"/>
  <c r="FE7" i="51"/>
  <c r="FD7" i="51"/>
  <c r="FC7" i="51"/>
  <c r="FB7" i="51"/>
  <c r="FA7" i="51"/>
  <c r="EZ7" i="51"/>
  <c r="EY7" i="51"/>
  <c r="EX7" i="51"/>
  <c r="EW7" i="51"/>
  <c r="EV7" i="51"/>
  <c r="EU7" i="51"/>
  <c r="ET7" i="51"/>
  <c r="ES7" i="51"/>
  <c r="ER7" i="51"/>
  <c r="EQ7" i="51"/>
  <c r="EP7" i="51"/>
  <c r="EO7" i="51"/>
  <c r="EN7" i="51"/>
  <c r="EM7" i="51"/>
  <c r="EL7" i="51"/>
  <c r="EK7" i="51"/>
  <c r="EJ7" i="51"/>
  <c r="EI7" i="51"/>
  <c r="EH7" i="51"/>
  <c r="EG7" i="51"/>
  <c r="EF7" i="51"/>
  <c r="EE7" i="51"/>
  <c r="ED7" i="51"/>
  <c r="EC7" i="51"/>
  <c r="EB7" i="51"/>
  <c r="EA7" i="51"/>
  <c r="DZ7" i="51"/>
  <c r="DY7" i="51"/>
  <c r="DX7" i="51"/>
  <c r="DW7" i="51"/>
  <c r="DV7" i="51"/>
  <c r="DU7" i="51"/>
  <c r="DT7" i="51"/>
  <c r="DS7" i="51"/>
  <c r="DR7" i="51"/>
  <c r="DQ7" i="51"/>
  <c r="DP7" i="51"/>
  <c r="DO7" i="51"/>
  <c r="DN7" i="51"/>
  <c r="DM7" i="51"/>
  <c r="DL7" i="51"/>
  <c r="DK7" i="51"/>
  <c r="DJ7" i="51"/>
  <c r="DI7" i="51"/>
  <c r="DH7" i="51"/>
  <c r="DG7" i="51"/>
  <c r="DF7" i="51"/>
  <c r="DE7" i="51"/>
  <c r="DD7" i="51"/>
  <c r="DC7" i="51"/>
  <c r="DB7" i="51"/>
  <c r="DA7" i="51"/>
  <c r="CZ7" i="51"/>
  <c r="CY7" i="51"/>
  <c r="CX7" i="51"/>
  <c r="CW7" i="51"/>
  <c r="CV7" i="51"/>
  <c r="CU7" i="51"/>
  <c r="CT7" i="51"/>
  <c r="CS7" i="51"/>
  <c r="CR7" i="51"/>
  <c r="CQ7" i="51"/>
  <c r="CP7" i="51"/>
  <c r="CO7" i="51"/>
  <c r="CN7" i="51"/>
  <c r="CM7" i="51"/>
  <c r="CL7" i="51"/>
  <c r="CK7" i="51"/>
  <c r="CJ7" i="51"/>
  <c r="CI7" i="51"/>
  <c r="CH7" i="51"/>
  <c r="CG7" i="51"/>
  <c r="CF7" i="51"/>
  <c r="CE7" i="51"/>
  <c r="CD7" i="51"/>
  <c r="CC7" i="51"/>
  <c r="CB7" i="51"/>
  <c r="CA7" i="51"/>
  <c r="BZ7" i="51"/>
  <c r="BY7" i="51"/>
  <c r="BX7" i="51"/>
  <c r="BW7" i="51"/>
  <c r="BV7" i="51"/>
  <c r="BU7" i="51"/>
  <c r="BT7" i="51"/>
  <c r="BS7" i="51"/>
  <c r="BR7" i="51"/>
  <c r="BQ7" i="51"/>
  <c r="BP7" i="51"/>
  <c r="BO7" i="51"/>
  <c r="BN7" i="51"/>
  <c r="BM7" i="51"/>
  <c r="BL7" i="51"/>
  <c r="BK7" i="51"/>
  <c r="BJ7" i="51"/>
  <c r="BI7" i="51"/>
  <c r="BH7" i="51"/>
  <c r="BG7" i="51"/>
  <c r="BF7" i="51"/>
  <c r="BE7" i="51"/>
  <c r="BD7" i="51"/>
  <c r="BC7" i="51"/>
  <c r="BB7" i="51"/>
  <c r="BA7" i="51"/>
  <c r="AZ7" i="51"/>
  <c r="AY7" i="51"/>
  <c r="AX7" i="51"/>
  <c r="AW7" i="51"/>
  <c r="AV7" i="51"/>
  <c r="AU7" i="51"/>
  <c r="AT7" i="51"/>
  <c r="AS7" i="51"/>
  <c r="AR7" i="51"/>
  <c r="AQ7" i="51"/>
  <c r="AP7" i="51"/>
  <c r="AO7" i="51"/>
  <c r="AN7" i="51"/>
  <c r="AM7" i="51"/>
  <c r="AL7" i="51"/>
  <c r="AK7" i="51"/>
  <c r="AJ7" i="51"/>
  <c r="AI7" i="51"/>
  <c r="AH7" i="51"/>
  <c r="AG7" i="51"/>
  <c r="AF7" i="51"/>
  <c r="AE7" i="51"/>
  <c r="AD7" i="51"/>
  <c r="AC7" i="51"/>
  <c r="AB7" i="51"/>
  <c r="AA7" i="51"/>
  <c r="Z7" i="51"/>
  <c r="Y7" i="51"/>
  <c r="X7" i="51"/>
  <c r="W7" i="51"/>
  <c r="V7" i="51"/>
  <c r="U7" i="51"/>
  <c r="T7" i="51"/>
  <c r="S7" i="51"/>
  <c r="R7" i="51"/>
  <c r="Q7" i="51"/>
  <c r="P7" i="51"/>
  <c r="O7" i="51"/>
  <c r="N7" i="51"/>
  <c r="M7" i="51"/>
  <c r="L7" i="51"/>
  <c r="K7" i="51"/>
  <c r="J7" i="51"/>
  <c r="I7" i="51"/>
  <c r="H7" i="51"/>
  <c r="G7" i="51"/>
  <c r="F7" i="51"/>
  <c r="IV6" i="51"/>
  <c r="IU6" i="51"/>
  <c r="IT6" i="51"/>
  <c r="IS6" i="51"/>
  <c r="IR6" i="51"/>
  <c r="IQ6" i="51"/>
  <c r="IP6" i="51"/>
  <c r="IO6" i="51"/>
  <c r="IN6" i="51"/>
  <c r="IM6" i="51"/>
  <c r="IL6" i="51"/>
  <c r="IK6" i="51"/>
  <c r="IJ6" i="51"/>
  <c r="II6" i="51"/>
  <c r="IH6" i="51"/>
  <c r="IG6" i="51"/>
  <c r="IF6" i="51"/>
  <c r="IE6" i="51"/>
  <c r="ID6" i="51"/>
  <c r="IC6" i="51"/>
  <c r="IB6" i="51"/>
  <c r="IA6" i="51"/>
  <c r="HZ6" i="51"/>
  <c r="HY6" i="51"/>
  <c r="HX6" i="51"/>
  <c r="HW6" i="51"/>
  <c r="HV6" i="51"/>
  <c r="HU6" i="51"/>
  <c r="HT6" i="51"/>
  <c r="HS6" i="51"/>
  <c r="HR6" i="51"/>
  <c r="HQ6" i="51"/>
  <c r="HP6" i="51"/>
  <c r="HO6" i="51"/>
  <c r="HN6" i="51"/>
  <c r="HM6" i="51"/>
  <c r="HL6" i="51"/>
  <c r="HK6" i="51"/>
  <c r="HJ6" i="51"/>
  <c r="HI6" i="51"/>
  <c r="HH6" i="51"/>
  <c r="HG6" i="51"/>
  <c r="HF6" i="51"/>
  <c r="HE6" i="51"/>
  <c r="HD6" i="51"/>
  <c r="HC6" i="51"/>
  <c r="HB6" i="51"/>
  <c r="HA6" i="51"/>
  <c r="GZ6" i="51"/>
  <c r="GY6" i="51"/>
  <c r="GX6" i="51"/>
  <c r="GW6" i="51"/>
  <c r="GV6" i="51"/>
  <c r="GU6" i="51"/>
  <c r="GT6" i="51"/>
  <c r="GS6" i="51"/>
  <c r="GR6" i="51"/>
  <c r="GQ6" i="51"/>
  <c r="GP6" i="51"/>
  <c r="GO6" i="51"/>
  <c r="GN6" i="51"/>
  <c r="GM6" i="51"/>
  <c r="GL6" i="51"/>
  <c r="GK6" i="51"/>
  <c r="GJ6" i="51"/>
  <c r="GI6" i="51"/>
  <c r="GH6" i="51"/>
  <c r="GG6" i="51"/>
  <c r="GF6" i="51"/>
  <c r="GE6" i="51"/>
  <c r="GD6" i="51"/>
  <c r="GC6" i="51"/>
  <c r="GB6" i="51"/>
  <c r="GA6" i="51"/>
  <c r="FZ6" i="51"/>
  <c r="FY6" i="51"/>
  <c r="FX6" i="51"/>
  <c r="FW6" i="51"/>
  <c r="FV6" i="51"/>
  <c r="FU6" i="51"/>
  <c r="FT6" i="51"/>
  <c r="FS6" i="51"/>
  <c r="FR6" i="51"/>
  <c r="FQ6" i="51"/>
  <c r="FP6" i="51"/>
  <c r="FO6" i="51"/>
  <c r="FN6" i="51"/>
  <c r="FM6" i="51"/>
  <c r="FL6" i="51"/>
  <c r="FK6" i="51"/>
  <c r="FJ6" i="51"/>
  <c r="FI6" i="51"/>
  <c r="FH6" i="51"/>
  <c r="FG6" i="51"/>
  <c r="FF6" i="51"/>
  <c r="FE6" i="51"/>
  <c r="FD6" i="51"/>
  <c r="FC6" i="51"/>
  <c r="FB6" i="51"/>
  <c r="FA6" i="51"/>
  <c r="EZ6" i="51"/>
  <c r="EY6" i="51"/>
  <c r="EX6" i="51"/>
  <c r="EW6" i="51"/>
  <c r="EV6" i="51"/>
  <c r="EU6" i="51"/>
  <c r="ET6" i="51"/>
  <c r="ES6" i="51"/>
  <c r="ER6" i="51"/>
  <c r="EQ6" i="51"/>
  <c r="EP6" i="51"/>
  <c r="EO6" i="51"/>
  <c r="EN6" i="51"/>
  <c r="EM6" i="51"/>
  <c r="EL6" i="51"/>
  <c r="EK6" i="51"/>
  <c r="EJ6" i="51"/>
  <c r="EI6" i="51"/>
  <c r="EH6" i="51"/>
  <c r="EG6" i="51"/>
  <c r="EF6" i="51"/>
  <c r="EE6" i="51"/>
  <c r="ED6" i="51"/>
  <c r="EC6" i="51"/>
  <c r="EB6" i="51"/>
  <c r="EA6" i="51"/>
  <c r="DZ6" i="51"/>
  <c r="DY6" i="51"/>
  <c r="DX6" i="51"/>
  <c r="DW6" i="51"/>
  <c r="DV6" i="51"/>
  <c r="DU6" i="51"/>
  <c r="DT6" i="51"/>
  <c r="DS6" i="51"/>
  <c r="DR6" i="51"/>
  <c r="DQ6" i="51"/>
  <c r="DP6" i="51"/>
  <c r="DO6" i="51"/>
  <c r="DN6" i="51"/>
  <c r="DM6" i="51"/>
  <c r="DL6" i="51"/>
  <c r="DK6" i="51"/>
  <c r="DJ6" i="51"/>
  <c r="DI6" i="51"/>
  <c r="DH6" i="51"/>
  <c r="DG6" i="51"/>
  <c r="DF6" i="51"/>
  <c r="DE6" i="51"/>
  <c r="DD6" i="51"/>
  <c r="DC6" i="51"/>
  <c r="DB6" i="51"/>
  <c r="DA6" i="51"/>
  <c r="CZ6" i="51"/>
  <c r="CY6" i="51"/>
  <c r="CX6" i="51"/>
  <c r="CW6" i="51"/>
  <c r="CV6" i="51"/>
  <c r="CU6" i="51"/>
  <c r="CT6" i="51"/>
  <c r="CS6" i="51"/>
  <c r="CR6" i="51"/>
  <c r="CQ6" i="51"/>
  <c r="CP6" i="51"/>
  <c r="CO6" i="51"/>
  <c r="CN6" i="51"/>
  <c r="CM6" i="51"/>
  <c r="CL6" i="51"/>
  <c r="CK6" i="51"/>
  <c r="CJ6" i="51"/>
  <c r="CI6" i="51"/>
  <c r="CH6" i="51"/>
  <c r="CG6" i="51"/>
  <c r="CF6" i="51"/>
  <c r="CE6" i="51"/>
  <c r="CD6" i="51"/>
  <c r="CC6" i="51"/>
  <c r="CB6" i="51"/>
  <c r="CA6" i="51"/>
  <c r="BZ6" i="51"/>
  <c r="BY6" i="51"/>
  <c r="BX6" i="51"/>
  <c r="BW6" i="51"/>
  <c r="BV6" i="51"/>
  <c r="BU6" i="51"/>
  <c r="BT6" i="51"/>
  <c r="BS6" i="51"/>
  <c r="BR6" i="51"/>
  <c r="BQ6" i="51"/>
  <c r="BP6" i="51"/>
  <c r="BO6" i="51"/>
  <c r="BN6" i="51"/>
  <c r="BM6" i="51"/>
  <c r="BL6" i="51"/>
  <c r="BK6" i="51"/>
  <c r="BJ6" i="51"/>
  <c r="BI6" i="51"/>
  <c r="BH6" i="51"/>
  <c r="BG6" i="51"/>
  <c r="BF6" i="51"/>
  <c r="BE6" i="51"/>
  <c r="BD6" i="51"/>
  <c r="BC6" i="51"/>
  <c r="BB6" i="51"/>
  <c r="BA6" i="51"/>
  <c r="AZ6" i="51"/>
  <c r="AY6" i="51"/>
  <c r="AX6" i="51"/>
  <c r="AW6" i="51"/>
  <c r="AV6" i="51"/>
  <c r="AU6" i="51"/>
  <c r="AT6" i="51"/>
  <c r="AS6" i="51"/>
  <c r="AR6" i="51"/>
  <c r="AQ6" i="51"/>
  <c r="AP6" i="51"/>
  <c r="AO6" i="51"/>
  <c r="AN6" i="51"/>
  <c r="AM6" i="51"/>
  <c r="AL6" i="51"/>
  <c r="AK6" i="51"/>
  <c r="AJ6" i="51"/>
  <c r="AI6" i="51"/>
  <c r="AH6" i="51"/>
  <c r="AG6" i="51"/>
  <c r="AF6" i="51"/>
  <c r="AE6" i="51"/>
  <c r="AD6" i="51"/>
  <c r="AC6" i="51"/>
  <c r="AB6" i="51"/>
  <c r="AA6" i="51"/>
  <c r="Z6" i="51"/>
  <c r="Y6" i="51"/>
  <c r="X6" i="51"/>
  <c r="W6" i="51"/>
  <c r="V6" i="51"/>
  <c r="U6" i="51"/>
  <c r="T6" i="51"/>
  <c r="S6" i="51"/>
  <c r="R6" i="51"/>
  <c r="Q6" i="51"/>
  <c r="P6" i="51"/>
  <c r="O6" i="51"/>
  <c r="N6" i="51"/>
  <c r="M6" i="51"/>
  <c r="L6" i="51"/>
  <c r="K6" i="51"/>
  <c r="J6" i="51"/>
  <c r="I6" i="51"/>
  <c r="H6" i="51"/>
  <c r="G6" i="51"/>
  <c r="F6" i="51"/>
  <c r="IV5" i="51"/>
  <c r="IU5" i="51"/>
  <c r="IT5" i="51"/>
  <c r="IS5" i="51"/>
  <c r="IR5" i="51"/>
  <c r="IQ5" i="51"/>
  <c r="IP5" i="51"/>
  <c r="IO5" i="51"/>
  <c r="IN5" i="51"/>
  <c r="IM5" i="51"/>
  <c r="IL5" i="51"/>
  <c r="IK5" i="51"/>
  <c r="IJ5" i="51"/>
  <c r="II5" i="51"/>
  <c r="IH5" i="51"/>
  <c r="IG5" i="51"/>
  <c r="IF5" i="51"/>
  <c r="IE5" i="51"/>
  <c r="ID5" i="51"/>
  <c r="IC5" i="51"/>
  <c r="IB5" i="51"/>
  <c r="IA5" i="51"/>
  <c r="HZ5" i="51"/>
  <c r="HY5" i="51"/>
  <c r="HX5" i="51"/>
  <c r="HW5" i="51"/>
  <c r="HV5" i="51"/>
  <c r="HU5" i="51"/>
  <c r="HT5" i="51"/>
  <c r="HS5" i="51"/>
  <c r="HR5" i="51"/>
  <c r="HQ5" i="51"/>
  <c r="HP5" i="51"/>
  <c r="HO5" i="51"/>
  <c r="HN5" i="51"/>
  <c r="HM5" i="51"/>
  <c r="HL5" i="51"/>
  <c r="HK5" i="51"/>
  <c r="HJ5" i="51"/>
  <c r="HI5" i="51"/>
  <c r="HH5" i="51"/>
  <c r="HG5" i="51"/>
  <c r="HF5" i="51"/>
  <c r="HE5" i="51"/>
  <c r="HD5" i="51"/>
  <c r="HC5" i="51"/>
  <c r="HB5" i="51"/>
  <c r="HA5" i="51"/>
  <c r="GZ5" i="51"/>
  <c r="GY5" i="51"/>
  <c r="GX5" i="51"/>
  <c r="GW5" i="51"/>
  <c r="GV5" i="51"/>
  <c r="GU5" i="51"/>
  <c r="GT5" i="51"/>
  <c r="GS5" i="51"/>
  <c r="GR5" i="51"/>
  <c r="GQ5" i="51"/>
  <c r="GP5" i="51"/>
  <c r="GO5" i="51"/>
  <c r="GN5" i="51"/>
  <c r="GM5" i="51"/>
  <c r="GL5" i="51"/>
  <c r="GK5" i="51"/>
  <c r="GJ5" i="51"/>
  <c r="GI5" i="51"/>
  <c r="GH5" i="51"/>
  <c r="GG5" i="51"/>
  <c r="GF5" i="51"/>
  <c r="GE5" i="51"/>
  <c r="GD5" i="51"/>
  <c r="GC5" i="51"/>
  <c r="GB5" i="51"/>
  <c r="GA5" i="51"/>
  <c r="FZ5" i="51"/>
  <c r="FY5" i="51"/>
  <c r="FX5" i="51"/>
  <c r="FW5" i="51"/>
  <c r="FV5" i="51"/>
  <c r="FU5" i="51"/>
  <c r="FT5" i="51"/>
  <c r="FS5" i="51"/>
  <c r="FR5" i="51"/>
  <c r="FQ5" i="51"/>
  <c r="FP5" i="51"/>
  <c r="FO5" i="51"/>
  <c r="FN5" i="51"/>
  <c r="FM5" i="51"/>
  <c r="FL5" i="51"/>
  <c r="FK5" i="51"/>
  <c r="FJ5" i="51"/>
  <c r="FI5" i="51"/>
  <c r="FH5" i="51"/>
  <c r="FG5" i="51"/>
  <c r="FF5" i="51"/>
  <c r="FE5" i="51"/>
  <c r="FD5" i="51"/>
  <c r="FC5" i="51"/>
  <c r="FB5" i="51"/>
  <c r="FA5" i="51"/>
  <c r="EZ5" i="51"/>
  <c r="EY5" i="51"/>
  <c r="EX5" i="51"/>
  <c r="EW5" i="51"/>
  <c r="EV5" i="51"/>
  <c r="EU5" i="51"/>
  <c r="ET5" i="51"/>
  <c r="ES5" i="51"/>
  <c r="ER5" i="51"/>
  <c r="EQ5" i="51"/>
  <c r="EP5" i="51"/>
  <c r="EO5" i="51"/>
  <c r="EN5" i="51"/>
  <c r="EM5" i="51"/>
  <c r="EL5" i="51"/>
  <c r="EK5" i="51"/>
  <c r="EJ5" i="51"/>
  <c r="EI5" i="51"/>
  <c r="EH5" i="51"/>
  <c r="EG5" i="51"/>
  <c r="EF5" i="51"/>
  <c r="EE5" i="51"/>
  <c r="ED5" i="51"/>
  <c r="EC5" i="51"/>
  <c r="EB5" i="51"/>
  <c r="EA5" i="51"/>
  <c r="DZ5" i="51"/>
  <c r="DY5" i="51"/>
  <c r="DX5" i="51"/>
  <c r="DW5" i="51"/>
  <c r="DV5" i="51"/>
  <c r="DU5" i="51"/>
  <c r="DT5" i="51"/>
  <c r="DS5" i="51"/>
  <c r="DR5" i="51"/>
  <c r="DQ5" i="51"/>
  <c r="DP5" i="51"/>
  <c r="DO5" i="51"/>
  <c r="DN5" i="51"/>
  <c r="DM5" i="51"/>
  <c r="DL5" i="51"/>
  <c r="DK5" i="51"/>
  <c r="DJ5" i="51"/>
  <c r="DI5" i="51"/>
  <c r="DH5" i="51"/>
  <c r="DG5" i="51"/>
  <c r="DF5" i="51"/>
  <c r="DE5" i="51"/>
  <c r="DD5" i="51"/>
  <c r="DC5" i="51"/>
  <c r="DB5" i="51"/>
  <c r="DA5" i="51"/>
  <c r="CZ5" i="51"/>
  <c r="CY5" i="51"/>
  <c r="CX5" i="51"/>
  <c r="CW5" i="51"/>
  <c r="CV5" i="51"/>
  <c r="CU5" i="51"/>
  <c r="CT5" i="51"/>
  <c r="CS5" i="51"/>
  <c r="CR5" i="51"/>
  <c r="CQ5" i="51"/>
  <c r="CP5" i="51"/>
  <c r="CO5" i="51"/>
  <c r="CN5" i="51"/>
  <c r="CM5" i="51"/>
  <c r="CL5" i="51"/>
  <c r="CK5" i="51"/>
  <c r="CJ5" i="51"/>
  <c r="CI5" i="51"/>
  <c r="CH5" i="51"/>
  <c r="CG5" i="51"/>
  <c r="CF5" i="51"/>
  <c r="CE5" i="51"/>
  <c r="CD5" i="51"/>
  <c r="CC5" i="51"/>
  <c r="CB5" i="51"/>
  <c r="CA5" i="51"/>
  <c r="BZ5" i="51"/>
  <c r="BY5" i="51"/>
  <c r="BX5" i="51"/>
  <c r="BW5" i="51"/>
  <c r="BV5" i="51"/>
  <c r="BU5" i="51"/>
  <c r="BT5" i="51"/>
  <c r="BS5" i="51"/>
  <c r="BR5" i="51"/>
  <c r="BQ5" i="51"/>
  <c r="BP5" i="51"/>
  <c r="BO5" i="51"/>
  <c r="BN5" i="51"/>
  <c r="BM5" i="51"/>
  <c r="BL5" i="51"/>
  <c r="BK5" i="51"/>
  <c r="BJ5" i="51"/>
  <c r="BI5" i="51"/>
  <c r="BH5" i="51"/>
  <c r="BG5" i="51"/>
  <c r="BF5" i="51"/>
  <c r="BE5" i="51"/>
  <c r="BD5" i="51"/>
  <c r="BC5" i="51"/>
  <c r="BB5" i="51"/>
  <c r="BA5" i="51"/>
  <c r="AZ5" i="51"/>
  <c r="AY5" i="51"/>
  <c r="AX5" i="51"/>
  <c r="AW5" i="51"/>
  <c r="AV5" i="51"/>
  <c r="AU5" i="51"/>
  <c r="AT5" i="51"/>
  <c r="AS5" i="51"/>
  <c r="AR5" i="51"/>
  <c r="AQ5" i="51"/>
  <c r="AP5" i="51"/>
  <c r="AO5" i="51"/>
  <c r="AN5" i="51"/>
  <c r="AM5" i="51"/>
  <c r="AL5" i="51"/>
  <c r="AK5" i="51"/>
  <c r="AJ5" i="51"/>
  <c r="AI5" i="51"/>
  <c r="AH5" i="51"/>
  <c r="AG5" i="51"/>
  <c r="AF5" i="51"/>
  <c r="AE5" i="51"/>
  <c r="AD5" i="51"/>
  <c r="AC5" i="51"/>
  <c r="AB5" i="51"/>
  <c r="AA5" i="51"/>
  <c r="Z5" i="51"/>
  <c r="Y5" i="51"/>
  <c r="X5" i="51"/>
  <c r="W5" i="51"/>
  <c r="V5" i="51"/>
  <c r="U5" i="51"/>
  <c r="T5" i="51"/>
  <c r="S5" i="51"/>
  <c r="R5" i="51"/>
  <c r="Q5" i="51"/>
  <c r="P5" i="51"/>
  <c r="O5" i="51"/>
  <c r="N5" i="51"/>
  <c r="M5" i="51"/>
  <c r="L5" i="51"/>
  <c r="K5" i="51"/>
  <c r="J5" i="51"/>
  <c r="I5" i="51"/>
  <c r="H5" i="51"/>
  <c r="G5" i="51"/>
  <c r="F5" i="51"/>
  <c r="IV4" i="51"/>
  <c r="IU4" i="51"/>
  <c r="IT4" i="51"/>
  <c r="IS4" i="51"/>
  <c r="IR4" i="51"/>
  <c r="IQ4" i="51"/>
  <c r="IP4" i="51"/>
  <c r="IO4" i="51"/>
  <c r="IN4" i="51"/>
  <c r="IM4" i="51"/>
  <c r="IL4" i="51"/>
  <c r="IK4" i="51"/>
  <c r="IJ4" i="51"/>
  <c r="II4" i="51"/>
  <c r="IH4" i="51"/>
  <c r="IG4" i="51"/>
  <c r="IF4" i="51"/>
  <c r="IE4" i="51"/>
  <c r="ID4" i="51"/>
  <c r="IC4" i="51"/>
  <c r="IB4" i="51"/>
  <c r="IA4" i="51"/>
  <c r="HZ4" i="51"/>
  <c r="HY4" i="51"/>
  <c r="HX4" i="51"/>
  <c r="HW4" i="51"/>
  <c r="HV4" i="51"/>
  <c r="HU4" i="51"/>
  <c r="HT4" i="51"/>
  <c r="HS4" i="51"/>
  <c r="HR4" i="51"/>
  <c r="HQ4" i="51"/>
  <c r="HP4" i="51"/>
  <c r="HO4" i="51"/>
  <c r="HN4" i="51"/>
  <c r="HM4" i="51"/>
  <c r="HL4" i="51"/>
  <c r="HK4" i="51"/>
  <c r="HJ4" i="51"/>
  <c r="HI4" i="51"/>
  <c r="HH4" i="51"/>
  <c r="HG4" i="51"/>
  <c r="HF4" i="51"/>
  <c r="HE4" i="51"/>
  <c r="HD4" i="51"/>
  <c r="HC4" i="51"/>
  <c r="HB4" i="51"/>
  <c r="HA4" i="51"/>
  <c r="GZ4" i="51"/>
  <c r="GY4" i="51"/>
  <c r="GX4" i="51"/>
  <c r="GW4" i="51"/>
  <c r="GV4" i="51"/>
  <c r="GU4" i="51"/>
  <c r="GT4" i="51"/>
  <c r="GS4" i="51"/>
  <c r="GR4" i="51"/>
  <c r="GQ4" i="51"/>
  <c r="GP4" i="51"/>
  <c r="GO4" i="51"/>
  <c r="GN4" i="51"/>
  <c r="GM4" i="51"/>
  <c r="GL4" i="51"/>
  <c r="GK4" i="51"/>
  <c r="GJ4" i="51"/>
  <c r="GI4" i="51"/>
  <c r="GH4" i="51"/>
  <c r="GG4" i="51"/>
  <c r="GF4" i="51"/>
  <c r="GE4" i="51"/>
  <c r="GD4" i="51"/>
  <c r="GC4" i="51"/>
  <c r="GB4" i="51"/>
  <c r="GA4" i="51"/>
  <c r="FZ4" i="51"/>
  <c r="FY4" i="51"/>
  <c r="FX4" i="51"/>
  <c r="FW4" i="51"/>
  <c r="FV4" i="51"/>
  <c r="FU4" i="51"/>
  <c r="FT4" i="51"/>
  <c r="FS4" i="51"/>
  <c r="FR4" i="51"/>
  <c r="FQ4" i="51"/>
  <c r="FP4" i="51"/>
  <c r="FO4" i="51"/>
  <c r="FN4" i="51"/>
  <c r="FM4" i="51"/>
  <c r="FL4" i="51"/>
  <c r="FK4" i="51"/>
  <c r="FJ4" i="51"/>
  <c r="FI4" i="51"/>
  <c r="FH4" i="51"/>
  <c r="FG4" i="51"/>
  <c r="FF4" i="51"/>
  <c r="FE4" i="51"/>
  <c r="FD4" i="51"/>
  <c r="FC4" i="51"/>
  <c r="FB4" i="51"/>
  <c r="FA4" i="51"/>
  <c r="EZ4" i="51"/>
  <c r="EY4" i="51"/>
  <c r="EX4" i="51"/>
  <c r="EW4" i="51"/>
  <c r="EV4" i="51"/>
  <c r="EU4" i="51"/>
  <c r="ET4" i="51"/>
  <c r="ES4" i="51"/>
  <c r="ER4" i="51"/>
  <c r="EQ4" i="51"/>
  <c r="EP4" i="51"/>
  <c r="EO4" i="51"/>
  <c r="EN4" i="51"/>
  <c r="EM4" i="51"/>
  <c r="EL4" i="51"/>
  <c r="EK4" i="51"/>
  <c r="EJ4" i="51"/>
  <c r="EI4" i="51"/>
  <c r="EH4" i="51"/>
  <c r="EG4" i="51"/>
  <c r="EF4" i="51"/>
  <c r="EE4" i="51"/>
  <c r="ED4" i="51"/>
  <c r="EC4" i="51"/>
  <c r="EB4" i="51"/>
  <c r="EA4" i="51"/>
  <c r="DZ4" i="51"/>
  <c r="DY4" i="51"/>
  <c r="DX4" i="51"/>
  <c r="DW4" i="51"/>
  <c r="DV4" i="51"/>
  <c r="DU4" i="51"/>
  <c r="DT4" i="51"/>
  <c r="DS4" i="51"/>
  <c r="DR4" i="51"/>
  <c r="DQ4" i="51"/>
  <c r="DP4" i="51"/>
  <c r="DO4" i="51"/>
  <c r="DN4" i="51"/>
  <c r="DM4" i="51"/>
  <c r="DL4" i="51"/>
  <c r="DK4" i="51"/>
  <c r="DJ4" i="51"/>
  <c r="DI4" i="51"/>
  <c r="DH4" i="51"/>
  <c r="DG4" i="51"/>
  <c r="DF4" i="51"/>
  <c r="DE4" i="51"/>
  <c r="DD4" i="51"/>
  <c r="DC4" i="51"/>
  <c r="DB4" i="51"/>
  <c r="DA4" i="51"/>
  <c r="CZ4" i="51"/>
  <c r="CY4" i="51"/>
  <c r="CX4" i="51"/>
  <c r="CW4" i="51"/>
  <c r="CV4" i="51"/>
  <c r="CU4" i="51"/>
  <c r="CT4" i="51"/>
  <c r="CS4" i="51"/>
  <c r="CR4" i="51"/>
  <c r="CQ4" i="51"/>
  <c r="CP4" i="51"/>
  <c r="CO4" i="51"/>
  <c r="CN4" i="51"/>
  <c r="CM4" i="51"/>
  <c r="CL4" i="51"/>
  <c r="CK4" i="51"/>
  <c r="CJ4" i="51"/>
  <c r="CI4" i="51"/>
  <c r="CH4" i="51"/>
  <c r="CG4" i="51"/>
  <c r="CF4" i="51"/>
  <c r="CE4" i="51"/>
  <c r="CD4" i="51"/>
  <c r="CC4" i="51"/>
  <c r="CB4" i="51"/>
  <c r="CA4" i="51"/>
  <c r="BZ4" i="51"/>
  <c r="BY4" i="51"/>
  <c r="BX4" i="51"/>
  <c r="BW4" i="51"/>
  <c r="BV4" i="51"/>
  <c r="BU4" i="51"/>
  <c r="BT4" i="51"/>
  <c r="BS4" i="51"/>
  <c r="BR4" i="51"/>
  <c r="BQ4" i="51"/>
  <c r="BP4" i="51"/>
  <c r="BO4" i="51"/>
  <c r="BN4" i="51"/>
  <c r="BM4" i="51"/>
  <c r="BL4" i="51"/>
  <c r="BK4" i="51"/>
  <c r="BJ4" i="51"/>
  <c r="BI4" i="51"/>
  <c r="BH4" i="51"/>
  <c r="BG4" i="51"/>
  <c r="BF4" i="51"/>
  <c r="BE4" i="51"/>
  <c r="BD4" i="51"/>
  <c r="BC4" i="51"/>
  <c r="BB4" i="51"/>
  <c r="BA4" i="51"/>
  <c r="AZ4" i="51"/>
  <c r="AY4" i="51"/>
  <c r="AX4" i="51"/>
  <c r="AW4" i="51"/>
  <c r="AV4" i="51"/>
  <c r="AU4" i="51"/>
  <c r="AT4" i="51"/>
  <c r="AS4" i="51"/>
  <c r="AR4" i="51"/>
  <c r="AQ4" i="51"/>
  <c r="AP4" i="51"/>
  <c r="AO4" i="51"/>
  <c r="AN4" i="51"/>
  <c r="AM4" i="51"/>
  <c r="AL4" i="51"/>
  <c r="AK4" i="51"/>
  <c r="AJ4" i="51"/>
  <c r="AI4" i="51"/>
  <c r="AH4" i="51"/>
  <c r="AG4" i="51"/>
  <c r="AF4" i="51"/>
  <c r="AE4" i="51"/>
  <c r="AD4" i="51"/>
  <c r="AC4" i="51"/>
  <c r="AB4" i="51"/>
  <c r="AA4" i="51"/>
  <c r="Z4" i="51"/>
  <c r="Y4" i="51"/>
  <c r="X4" i="51"/>
  <c r="W4" i="51"/>
  <c r="V4" i="51"/>
  <c r="U4" i="51"/>
  <c r="T4" i="51"/>
  <c r="S4" i="51"/>
  <c r="R4" i="51"/>
  <c r="Q4" i="51"/>
  <c r="P4" i="51"/>
  <c r="O4" i="51"/>
  <c r="N4" i="51"/>
  <c r="M4" i="51"/>
  <c r="L4" i="51"/>
  <c r="K4" i="51"/>
  <c r="J4" i="51"/>
  <c r="I4" i="51"/>
  <c r="H4" i="51"/>
  <c r="G4" i="51"/>
  <c r="F4" i="51"/>
  <c r="IV3" i="51"/>
  <c r="IU3" i="51"/>
  <c r="IT3" i="51"/>
  <c r="IS3" i="51"/>
  <c r="IR3" i="51"/>
  <c r="IQ3" i="51"/>
  <c r="IP3" i="51"/>
  <c r="IO3" i="51"/>
  <c r="IN3" i="51"/>
  <c r="IM3" i="51"/>
  <c r="IL3" i="51"/>
  <c r="IK3" i="51"/>
  <c r="IJ3" i="51"/>
  <c r="II3" i="51"/>
  <c r="IH3" i="51"/>
  <c r="IG3" i="51"/>
  <c r="IF3" i="51"/>
  <c r="IE3" i="51"/>
  <c r="ID3" i="51"/>
  <c r="IC3" i="51"/>
  <c r="IB3" i="51"/>
  <c r="IA3" i="51"/>
  <c r="HZ3" i="51"/>
  <c r="HY3" i="51"/>
  <c r="HX3" i="51"/>
  <c r="HW3" i="51"/>
  <c r="HV3" i="51"/>
  <c r="HU3" i="51"/>
  <c r="HT3" i="51"/>
  <c r="HS3" i="51"/>
  <c r="HR3" i="51"/>
  <c r="HQ3" i="51"/>
  <c r="HP3" i="51"/>
  <c r="HO3" i="51"/>
  <c r="HN3" i="51"/>
  <c r="HM3" i="51"/>
  <c r="HL3" i="51"/>
  <c r="HK3" i="51"/>
  <c r="HJ3" i="51"/>
  <c r="HI3" i="51"/>
  <c r="HH3" i="51"/>
  <c r="HG3" i="51"/>
  <c r="HF3" i="51"/>
  <c r="HE3" i="51"/>
  <c r="HD3" i="51"/>
  <c r="HC3" i="51"/>
  <c r="HB3" i="51"/>
  <c r="HA3" i="51"/>
  <c r="GZ3" i="51"/>
  <c r="GY3" i="51"/>
  <c r="GX3" i="51"/>
  <c r="GW3" i="51"/>
  <c r="GV3" i="51"/>
  <c r="GU3" i="51"/>
  <c r="GT3" i="51"/>
  <c r="GS3" i="51"/>
  <c r="GR3" i="51"/>
  <c r="GQ3" i="51"/>
  <c r="GP3" i="51"/>
  <c r="GO3" i="51"/>
  <c r="GN3" i="51"/>
  <c r="GM3" i="51"/>
  <c r="GL3" i="51"/>
  <c r="GK3" i="51"/>
  <c r="GJ3" i="51"/>
  <c r="GI3" i="51"/>
  <c r="GH3" i="51"/>
  <c r="GG3" i="51"/>
  <c r="GF3" i="51"/>
  <c r="GE3" i="51"/>
  <c r="GD3" i="51"/>
  <c r="GC3" i="51"/>
  <c r="GB3" i="51"/>
  <c r="GA3" i="51"/>
  <c r="FZ3" i="51"/>
  <c r="FY3" i="51"/>
  <c r="FX3" i="51"/>
  <c r="FW3" i="51"/>
  <c r="FV3" i="51"/>
  <c r="FU3" i="51"/>
  <c r="FT3" i="51"/>
  <c r="FS3" i="51"/>
  <c r="FR3" i="51"/>
  <c r="FQ3" i="51"/>
  <c r="FP3" i="51"/>
  <c r="FO3" i="51"/>
  <c r="FN3" i="51"/>
  <c r="FM3" i="51"/>
  <c r="FL3" i="51"/>
  <c r="FK3" i="51"/>
  <c r="FJ3" i="51"/>
  <c r="FI3" i="51"/>
  <c r="FH3" i="51"/>
  <c r="FG3" i="51"/>
  <c r="FF3" i="51"/>
  <c r="FE3" i="51"/>
  <c r="FD3" i="51"/>
  <c r="FC3" i="51"/>
  <c r="FB3" i="51"/>
  <c r="FA3" i="51"/>
  <c r="EZ3" i="51"/>
  <c r="EY3" i="51"/>
  <c r="EX3" i="51"/>
  <c r="EW3" i="51"/>
  <c r="EV3" i="51"/>
  <c r="EU3" i="51"/>
  <c r="ET3" i="51"/>
  <c r="ES3" i="51"/>
  <c r="ER3" i="51"/>
  <c r="EQ3" i="51"/>
  <c r="EP3" i="51"/>
  <c r="EO3" i="51"/>
  <c r="EN3" i="51"/>
  <c r="EM3" i="51"/>
  <c r="EL3" i="51"/>
  <c r="EK3" i="51"/>
  <c r="EJ3" i="51"/>
  <c r="EI3" i="51"/>
  <c r="EH3" i="51"/>
  <c r="EG3" i="51"/>
  <c r="EF3" i="51"/>
  <c r="EE3" i="51"/>
  <c r="ED3" i="51"/>
  <c r="EC3" i="51"/>
  <c r="EB3" i="51"/>
  <c r="EA3" i="51"/>
  <c r="DZ3" i="51"/>
  <c r="DY3" i="51"/>
  <c r="DX3" i="51"/>
  <c r="DW3" i="51"/>
  <c r="DV3" i="51"/>
  <c r="DU3" i="51"/>
  <c r="DT3" i="51"/>
  <c r="DS3" i="51"/>
  <c r="DR3" i="51"/>
  <c r="DQ3" i="51"/>
  <c r="DP3" i="51"/>
  <c r="DO3" i="51"/>
  <c r="DN3" i="51"/>
  <c r="DM3" i="51"/>
  <c r="DL3" i="51"/>
  <c r="DK3" i="51"/>
  <c r="DJ3" i="51"/>
  <c r="DI3" i="51"/>
  <c r="DH3" i="51"/>
  <c r="DG3" i="51"/>
  <c r="DF3" i="51"/>
  <c r="DE3" i="51"/>
  <c r="DD3" i="51"/>
  <c r="DC3" i="51"/>
  <c r="DB3" i="51"/>
  <c r="DA3" i="51"/>
  <c r="CZ3" i="51"/>
  <c r="CY3" i="51"/>
  <c r="CX3" i="51"/>
  <c r="CW3" i="51"/>
  <c r="CV3" i="51"/>
  <c r="CU3" i="51"/>
  <c r="CT3" i="51"/>
  <c r="CS3" i="51"/>
  <c r="CR3" i="51"/>
  <c r="CQ3" i="51"/>
  <c r="CP3" i="51"/>
  <c r="CO3" i="51"/>
  <c r="CN3" i="51"/>
  <c r="CM3" i="51"/>
  <c r="CL3" i="51"/>
  <c r="CK3" i="51"/>
  <c r="CJ3" i="51"/>
  <c r="CI3" i="51"/>
  <c r="CH3" i="51"/>
  <c r="CG3" i="51"/>
  <c r="CF3" i="51"/>
  <c r="CE3" i="51"/>
  <c r="CD3" i="51"/>
  <c r="CC3" i="51"/>
  <c r="CB3" i="51"/>
  <c r="CA3" i="51"/>
  <c r="BZ3" i="51"/>
  <c r="BY3" i="51"/>
  <c r="BX3" i="51"/>
  <c r="BW3" i="51"/>
  <c r="BV3" i="51"/>
  <c r="BU3" i="51"/>
  <c r="BT3" i="51"/>
  <c r="BS3" i="51"/>
  <c r="BR3" i="51"/>
  <c r="BQ3" i="51"/>
  <c r="BP3" i="51"/>
  <c r="BO3" i="51"/>
  <c r="BN3" i="51"/>
  <c r="BM3" i="51"/>
  <c r="BL3" i="51"/>
  <c r="BK3" i="51"/>
  <c r="BJ3" i="51"/>
  <c r="BI3" i="51"/>
  <c r="BH3" i="51"/>
  <c r="BG3" i="51"/>
  <c r="BF3" i="51"/>
  <c r="BE3" i="51"/>
  <c r="BD3" i="51"/>
  <c r="BC3" i="51"/>
  <c r="BB3" i="51"/>
  <c r="BA3" i="51"/>
  <c r="AZ3" i="51"/>
  <c r="AY3" i="51"/>
  <c r="AX3" i="51"/>
  <c r="AW3" i="51"/>
  <c r="AV3" i="51"/>
  <c r="AU3" i="51"/>
  <c r="AT3" i="51"/>
  <c r="AS3" i="51"/>
  <c r="AR3" i="51"/>
  <c r="AQ3" i="51"/>
  <c r="AP3" i="51"/>
  <c r="AO3" i="51"/>
  <c r="AN3" i="51"/>
  <c r="AM3" i="51"/>
  <c r="AL3" i="51"/>
  <c r="AK3" i="51"/>
  <c r="AJ3" i="51"/>
  <c r="AI3" i="51"/>
  <c r="AH3" i="51"/>
  <c r="AG3" i="51"/>
  <c r="AF3" i="51"/>
  <c r="AE3" i="51"/>
  <c r="AD3" i="51"/>
  <c r="AC3" i="51"/>
  <c r="AB3" i="51"/>
  <c r="AA3" i="51"/>
  <c r="Z3" i="51"/>
  <c r="Y3" i="51"/>
  <c r="X3" i="51"/>
  <c r="W3" i="51"/>
  <c r="V3" i="51"/>
  <c r="U3" i="51"/>
  <c r="T3" i="51"/>
  <c r="S3" i="51"/>
  <c r="R3" i="51"/>
  <c r="Q3" i="51"/>
  <c r="P3" i="51"/>
  <c r="O3" i="51"/>
  <c r="N3" i="51"/>
  <c r="M3" i="51"/>
  <c r="L3" i="51"/>
  <c r="K3" i="51"/>
  <c r="J3" i="51"/>
  <c r="I3" i="51"/>
  <c r="H3" i="51"/>
  <c r="G3" i="51"/>
  <c r="F3" i="51"/>
  <c r="IV2" i="51"/>
  <c r="IU2" i="51"/>
  <c r="IT2" i="51"/>
  <c r="IS2" i="51"/>
  <c r="IR2" i="51"/>
  <c r="IQ2" i="51"/>
  <c r="IP2" i="51"/>
  <c r="IO2" i="51"/>
  <c r="IN2" i="51"/>
  <c r="IM2" i="51"/>
  <c r="IL2" i="51"/>
  <c r="IK2" i="51"/>
  <c r="IJ2" i="51"/>
  <c r="II2" i="51"/>
  <c r="IH2" i="51"/>
  <c r="IG2" i="51"/>
  <c r="IF2" i="51"/>
  <c r="IE2" i="51"/>
  <c r="ID2" i="51"/>
  <c r="IC2" i="51"/>
  <c r="IB2" i="51"/>
  <c r="IA2" i="51"/>
  <c r="HZ2" i="51"/>
  <c r="HY2" i="51"/>
  <c r="HX2" i="51"/>
  <c r="HW2" i="51"/>
  <c r="HV2" i="51"/>
  <c r="HU2" i="51"/>
  <c r="HT2" i="51"/>
  <c r="HS2" i="51"/>
  <c r="HR2" i="51"/>
  <c r="HQ2" i="51"/>
  <c r="HP2" i="51"/>
  <c r="HO2" i="51"/>
  <c r="HN2" i="51"/>
  <c r="HM2" i="51"/>
  <c r="HL2" i="51"/>
  <c r="HK2" i="51"/>
  <c r="HJ2" i="51"/>
  <c r="HI2" i="51"/>
  <c r="HH2" i="51"/>
  <c r="HG2" i="51"/>
  <c r="HF2" i="51"/>
  <c r="HE2" i="51"/>
  <c r="HD2" i="51"/>
  <c r="HC2" i="51"/>
  <c r="HB2" i="51"/>
  <c r="HA2" i="51"/>
  <c r="GZ2" i="51"/>
  <c r="GY2" i="51"/>
  <c r="GX2" i="51"/>
  <c r="GW2" i="51"/>
  <c r="GV2" i="51"/>
  <c r="GU2" i="51"/>
  <c r="GT2" i="51"/>
  <c r="GS2" i="51"/>
  <c r="GR2" i="51"/>
  <c r="GQ2" i="51"/>
  <c r="GP2" i="51"/>
  <c r="GO2" i="51"/>
  <c r="GN2" i="51"/>
  <c r="GM2" i="51"/>
  <c r="GL2" i="51"/>
  <c r="GK2" i="51"/>
  <c r="GJ2" i="51"/>
  <c r="GI2" i="51"/>
  <c r="GH2" i="51"/>
  <c r="GG2" i="51"/>
  <c r="GF2" i="51"/>
  <c r="GE2" i="51"/>
  <c r="GD2" i="51"/>
  <c r="GC2" i="51"/>
  <c r="GB2" i="51"/>
  <c r="GA2" i="51"/>
  <c r="FZ2" i="51"/>
  <c r="FY2" i="51"/>
  <c r="FX2" i="51"/>
  <c r="FW2" i="51"/>
  <c r="FV2" i="51"/>
  <c r="FU2" i="51"/>
  <c r="FT2" i="51"/>
  <c r="FS2" i="51"/>
  <c r="FR2" i="51"/>
  <c r="FQ2" i="51"/>
  <c r="FP2" i="51"/>
  <c r="FO2" i="51"/>
  <c r="FN2" i="51"/>
  <c r="FM2" i="51"/>
  <c r="FL2" i="51"/>
  <c r="FK2" i="51"/>
  <c r="FJ2" i="51"/>
  <c r="FI2" i="51"/>
  <c r="FH2" i="51"/>
  <c r="FG2" i="51"/>
  <c r="FF2" i="51"/>
  <c r="FE2" i="51"/>
  <c r="FD2" i="51"/>
  <c r="FC2" i="51"/>
  <c r="FB2" i="51"/>
  <c r="FA2" i="51"/>
  <c r="EZ2" i="51"/>
  <c r="EY2" i="51"/>
  <c r="EX2" i="51"/>
  <c r="EW2" i="51"/>
  <c r="EV2" i="51"/>
  <c r="EU2" i="51"/>
  <c r="ET2" i="51"/>
  <c r="ES2" i="51"/>
  <c r="ER2" i="51"/>
  <c r="EQ2" i="51"/>
  <c r="EP2" i="51"/>
  <c r="EO2" i="51"/>
  <c r="EN2" i="51"/>
  <c r="EM2" i="51"/>
  <c r="EL2" i="51"/>
  <c r="EK2" i="51"/>
  <c r="EJ2" i="51"/>
  <c r="EI2" i="51"/>
  <c r="EH2" i="51"/>
  <c r="EG2" i="51"/>
  <c r="EF2" i="51"/>
  <c r="EE2" i="51"/>
  <c r="ED2" i="51"/>
  <c r="EC2" i="51"/>
  <c r="EB2" i="51"/>
  <c r="EA2" i="51"/>
  <c r="DZ2" i="51"/>
  <c r="DY2" i="51"/>
  <c r="DX2" i="51"/>
  <c r="DW2" i="51"/>
  <c r="DV2" i="51"/>
  <c r="DU2" i="51"/>
  <c r="DT2" i="51"/>
  <c r="DS2" i="51"/>
  <c r="DR2" i="51"/>
  <c r="DQ2" i="51"/>
  <c r="DP2" i="51"/>
  <c r="DO2" i="51"/>
  <c r="DN2" i="51"/>
  <c r="DM2" i="51"/>
  <c r="DL2" i="51"/>
  <c r="DK2" i="51"/>
  <c r="DJ2" i="51"/>
  <c r="DI2" i="51"/>
  <c r="DH2" i="51"/>
  <c r="DG2" i="51"/>
  <c r="DF2" i="51"/>
  <c r="DE2" i="51"/>
  <c r="DD2" i="51"/>
  <c r="DC2" i="51"/>
  <c r="DB2" i="51"/>
  <c r="DA2" i="51"/>
  <c r="CZ2" i="51"/>
  <c r="CY2" i="51"/>
  <c r="CX2" i="51"/>
  <c r="CW2" i="51"/>
  <c r="CV2" i="51"/>
  <c r="CU2" i="51"/>
  <c r="CT2" i="51"/>
  <c r="CS2" i="51"/>
  <c r="CR2" i="51"/>
  <c r="CQ2" i="51"/>
  <c r="CP2" i="51"/>
  <c r="CO2" i="51"/>
  <c r="CN2" i="51"/>
  <c r="CM2" i="51"/>
  <c r="CL2" i="51"/>
  <c r="CK2" i="51"/>
  <c r="CJ2" i="51"/>
  <c r="CI2" i="51"/>
  <c r="CH2" i="51"/>
  <c r="CG2" i="51"/>
  <c r="CF2" i="51"/>
  <c r="CE2" i="51"/>
  <c r="CD2" i="51"/>
  <c r="CC2" i="51"/>
  <c r="CB2" i="51"/>
  <c r="CA2" i="51"/>
  <c r="BZ2" i="51"/>
  <c r="BY2" i="51"/>
  <c r="BX2" i="51"/>
  <c r="BW2" i="51"/>
  <c r="BV2" i="51"/>
  <c r="BU2" i="51"/>
  <c r="BT2" i="51"/>
  <c r="BS2" i="51"/>
  <c r="BR2" i="51"/>
  <c r="BQ2" i="51"/>
  <c r="BP2" i="51"/>
  <c r="BO2" i="51"/>
  <c r="BN2" i="51"/>
  <c r="BM2" i="51"/>
  <c r="BL2" i="51"/>
  <c r="BK2" i="51"/>
  <c r="BJ2" i="51"/>
  <c r="BI2" i="51"/>
  <c r="BH2" i="51"/>
  <c r="BG2" i="51"/>
  <c r="BF2" i="51"/>
  <c r="BE2" i="51"/>
  <c r="BD2" i="51"/>
  <c r="BC2" i="51"/>
  <c r="BB2" i="51"/>
  <c r="BA2" i="51"/>
  <c r="AZ2" i="51"/>
  <c r="AY2" i="51"/>
  <c r="AX2" i="51"/>
  <c r="AW2" i="51"/>
  <c r="AV2" i="51"/>
  <c r="AU2" i="51"/>
  <c r="AT2" i="51"/>
  <c r="AS2" i="51"/>
  <c r="AR2" i="51"/>
  <c r="AQ2" i="51"/>
  <c r="AP2" i="51"/>
  <c r="AO2" i="51"/>
  <c r="AN2" i="51"/>
  <c r="AM2" i="51"/>
  <c r="AL2" i="51"/>
  <c r="AK2" i="51"/>
  <c r="AJ2" i="51"/>
  <c r="AI2" i="51"/>
  <c r="AH2" i="51"/>
  <c r="AG2" i="51"/>
  <c r="AF2" i="51"/>
  <c r="AE2" i="51"/>
  <c r="AD2" i="51"/>
  <c r="AC2" i="51"/>
  <c r="AB2" i="51"/>
  <c r="AA2" i="51"/>
  <c r="Z2" i="51"/>
  <c r="Y2" i="51"/>
  <c r="X2" i="51"/>
  <c r="W2" i="51"/>
  <c r="V2" i="51"/>
  <c r="U2" i="51"/>
  <c r="T2" i="51"/>
  <c r="S2" i="51"/>
  <c r="R2" i="51"/>
  <c r="Q2" i="51"/>
  <c r="P2" i="51"/>
  <c r="O2" i="51"/>
  <c r="N2" i="51"/>
  <c r="M2" i="51"/>
  <c r="L2" i="51"/>
  <c r="K2" i="51"/>
  <c r="J2" i="51"/>
  <c r="I2" i="51"/>
  <c r="H2" i="51"/>
  <c r="G2" i="51"/>
  <c r="F2" i="51" l="1"/>
  <c r="IV1" i="51"/>
  <c r="IU1" i="51"/>
  <c r="IT1" i="51"/>
  <c r="IS1" i="51"/>
  <c r="IR1" i="51"/>
  <c r="IQ1" i="51"/>
  <c r="IP1" i="51"/>
  <c r="IO1" i="51"/>
  <c r="IN1" i="51"/>
  <c r="IM1" i="51"/>
  <c r="IL1" i="51"/>
  <c r="IK1" i="51"/>
  <c r="IJ1" i="51"/>
  <c r="II1" i="51"/>
  <c r="IH1" i="51"/>
  <c r="IG1" i="51"/>
  <c r="IF1" i="51"/>
  <c r="IE1" i="51"/>
  <c r="ID1" i="51"/>
  <c r="IC1" i="51"/>
  <c r="IB1" i="51"/>
  <c r="IA1" i="51"/>
  <c r="HZ1" i="51"/>
  <c r="HY1" i="51"/>
  <c r="HX1" i="51"/>
  <c r="HW1" i="51"/>
  <c r="HV1" i="51"/>
  <c r="HU1" i="51"/>
  <c r="HT1" i="51"/>
  <c r="HS1" i="51"/>
  <c r="HR1" i="51"/>
  <c r="HQ1" i="51"/>
  <c r="HP1" i="51"/>
  <c r="HO1" i="51"/>
  <c r="HN1" i="51"/>
  <c r="HM1" i="51"/>
  <c r="HL1" i="51"/>
  <c r="HK1" i="51"/>
  <c r="HJ1" i="51"/>
  <c r="HI1" i="51"/>
  <c r="HH1" i="51"/>
  <c r="HG1" i="51"/>
  <c r="HF1" i="51"/>
  <c r="HE1" i="51"/>
  <c r="HD1" i="51"/>
  <c r="HC1" i="51"/>
  <c r="HB1" i="51"/>
  <c r="HA1" i="51"/>
  <c r="GZ1" i="51"/>
  <c r="GY1" i="51"/>
  <c r="GX1" i="51"/>
  <c r="GW1" i="51"/>
  <c r="GV1" i="51"/>
  <c r="GU1" i="51"/>
  <c r="GT1" i="51"/>
  <c r="GS1" i="51"/>
  <c r="GR1" i="51"/>
  <c r="GQ1" i="51"/>
  <c r="GP1" i="51"/>
  <c r="GO1" i="51"/>
  <c r="GN1" i="51"/>
  <c r="GM1" i="51"/>
  <c r="GL1" i="51"/>
  <c r="GK1" i="51"/>
  <c r="GJ1" i="51"/>
  <c r="GI1" i="51"/>
  <c r="GH1" i="51"/>
  <c r="GG1" i="51"/>
  <c r="GF1" i="51"/>
  <c r="GE1" i="51"/>
  <c r="GD1" i="51"/>
  <c r="GC1" i="51"/>
  <c r="GB1" i="51"/>
  <c r="GA1" i="51"/>
  <c r="FZ1" i="51"/>
  <c r="FY1" i="51"/>
  <c r="FX1" i="51"/>
  <c r="FW1" i="51"/>
  <c r="FV1" i="51"/>
  <c r="FU1" i="51"/>
  <c r="FT1" i="51"/>
  <c r="FS1" i="51"/>
  <c r="FR1" i="51"/>
  <c r="FQ1" i="51"/>
  <c r="FP1" i="51"/>
  <c r="FO1" i="51"/>
  <c r="FN1" i="51"/>
  <c r="FM1" i="51"/>
  <c r="FL1" i="51"/>
  <c r="FK1" i="51"/>
  <c r="FJ1" i="51"/>
  <c r="FI1" i="51"/>
  <c r="FH1" i="51"/>
  <c r="FG1" i="51"/>
  <c r="FF1" i="51"/>
  <c r="FE1" i="51"/>
  <c r="FD1" i="51"/>
  <c r="FC1" i="51"/>
  <c r="FB1" i="51"/>
  <c r="FA1" i="51"/>
  <c r="EZ1" i="51"/>
  <c r="EY1" i="51"/>
  <c r="EX1" i="51"/>
  <c r="EW1" i="51"/>
  <c r="EV1" i="51"/>
  <c r="EU1" i="51"/>
  <c r="ET1" i="51"/>
  <c r="ES1" i="51"/>
  <c r="ER1" i="51"/>
  <c r="EQ1" i="51"/>
  <c r="EP1" i="51"/>
  <c r="EO1" i="51"/>
  <c r="EN1" i="51"/>
  <c r="EM1" i="51"/>
  <c r="EL1" i="51"/>
  <c r="EK1" i="51"/>
  <c r="EJ1" i="51"/>
  <c r="EI1" i="51"/>
  <c r="EH1" i="51"/>
  <c r="EG1" i="51"/>
  <c r="EF1" i="51"/>
  <c r="EE1" i="51"/>
  <c r="ED1" i="51"/>
  <c r="EC1" i="51"/>
  <c r="EB1" i="51"/>
  <c r="EA1" i="51"/>
  <c r="DZ1" i="51"/>
  <c r="DY1" i="51"/>
  <c r="DX1" i="51"/>
  <c r="DW1" i="51"/>
  <c r="DV1" i="51"/>
  <c r="DU1" i="51"/>
  <c r="DT1" i="51"/>
  <c r="DS1" i="51"/>
  <c r="DR1" i="51"/>
  <c r="DQ1" i="51"/>
  <c r="DP1" i="51"/>
  <c r="DO1" i="51"/>
  <c r="DN1" i="51"/>
  <c r="DM1" i="51"/>
  <c r="DL1" i="51"/>
  <c r="DK1" i="51"/>
  <c r="DJ1" i="51"/>
  <c r="DI1" i="51"/>
  <c r="DH1" i="51"/>
  <c r="DG1" i="51"/>
  <c r="DF1" i="51"/>
  <c r="DE1" i="51"/>
  <c r="DD1" i="51"/>
  <c r="DC1" i="51"/>
  <c r="DB1" i="51"/>
  <c r="DA1" i="51"/>
  <c r="CZ1" i="51"/>
  <c r="CY1" i="51"/>
  <c r="CX1" i="51"/>
  <c r="CW1" i="51"/>
  <c r="CV1" i="51"/>
  <c r="CU1" i="51"/>
  <c r="CT1" i="51"/>
  <c r="CS1" i="51"/>
  <c r="CR1" i="51"/>
  <c r="CQ1" i="51"/>
  <c r="CP1" i="51"/>
  <c r="CO1" i="51"/>
  <c r="CN1" i="51"/>
  <c r="CM1" i="51"/>
  <c r="CL1" i="51"/>
  <c r="CK1" i="51"/>
  <c r="CJ1" i="51"/>
  <c r="CI1" i="51"/>
  <c r="CH1" i="51"/>
  <c r="CG1" i="51"/>
  <c r="CF1" i="51"/>
  <c r="CE1" i="51"/>
  <c r="CD1" i="51"/>
  <c r="CC1" i="51"/>
  <c r="CB1" i="51"/>
  <c r="CA1" i="51"/>
  <c r="BZ1" i="51"/>
  <c r="BY1" i="51"/>
  <c r="BX1" i="51"/>
  <c r="BW1" i="51"/>
  <c r="BV1" i="51"/>
  <c r="BU1" i="51"/>
  <c r="BT1" i="51"/>
  <c r="BS1" i="51"/>
  <c r="BR1" i="51"/>
  <c r="BQ1" i="51"/>
  <c r="BP1" i="51"/>
  <c r="BO1" i="51"/>
  <c r="BN1" i="51"/>
  <c r="BM1" i="51"/>
  <c r="BL1" i="51"/>
  <c r="BK1" i="51"/>
  <c r="BJ1" i="51"/>
  <c r="BI1" i="51"/>
  <c r="BH1" i="51"/>
  <c r="BG1" i="51"/>
  <c r="BF1" i="51"/>
  <c r="BE1" i="51"/>
  <c r="BD1" i="51"/>
  <c r="BC1" i="51"/>
  <c r="BB1" i="51"/>
  <c r="BA1" i="51"/>
  <c r="AZ1" i="51"/>
  <c r="AY1" i="51"/>
  <c r="AX1" i="51"/>
  <c r="AW1" i="51"/>
  <c r="AV1" i="51"/>
  <c r="AU1" i="51"/>
  <c r="AT1" i="51"/>
  <c r="AS1" i="51"/>
  <c r="AR1" i="51"/>
  <c r="AQ1" i="51"/>
  <c r="AP1" i="51"/>
  <c r="AO1" i="51"/>
  <c r="AN1" i="51"/>
  <c r="AM1" i="51"/>
  <c r="AL1" i="51"/>
  <c r="AK1" i="51"/>
  <c r="AJ1" i="51"/>
  <c r="AI1" i="51"/>
  <c r="AH1" i="51"/>
  <c r="AG1" i="51"/>
  <c r="AF1" i="51"/>
  <c r="AE1" i="51"/>
  <c r="AD1" i="51"/>
  <c r="AC1" i="51"/>
  <c r="AB1" i="51"/>
  <c r="AA1" i="51"/>
  <c r="Z1" i="51"/>
  <c r="Y1" i="51"/>
  <c r="X1" i="51"/>
  <c r="W1" i="51"/>
  <c r="V1" i="51"/>
  <c r="U1" i="51"/>
  <c r="T1" i="51"/>
  <c r="S1" i="51"/>
  <c r="R1" i="51"/>
  <c r="Q1" i="51"/>
  <c r="P1" i="51"/>
  <c r="O1" i="51"/>
  <c r="N1" i="51"/>
  <c r="M1" i="51"/>
  <c r="L1" i="51"/>
  <c r="K1" i="51"/>
  <c r="J1" i="51"/>
  <c r="I1" i="51"/>
  <c r="H1" i="51"/>
  <c r="G1" i="51"/>
  <c r="F1" i="5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Windows User</author>
    <author>Kyle Hessler</author>
    <author>Andrew Wells</author>
  </authors>
  <commentList>
    <comment ref="F10" authorId="0" shapeId="0" xr:uid="{00000000-0006-0000-0000-000001000000}">
      <text>
        <r>
          <rPr>
            <b/>
            <sz val="9"/>
            <color indexed="81"/>
            <rFont val="Tahoma"/>
            <family val="2"/>
          </rPr>
          <t xml:space="preserve">Ricoh to fill out: 
</t>
        </r>
        <r>
          <rPr>
            <sz val="9"/>
            <color indexed="81"/>
            <rFont val="Tahoma"/>
            <family val="2"/>
          </rPr>
          <t xml:space="preserve">Region-Country-Site-type of IMACD - IMACD#
</t>
        </r>
      </text>
    </comment>
    <comment ref="C17" authorId="0" shapeId="0" xr:uid="{00000000-0006-0000-0000-000002000000}">
      <text>
        <r>
          <rPr>
            <b/>
            <sz val="9"/>
            <color indexed="81"/>
            <rFont val="Tahoma"/>
            <family val="2"/>
          </rPr>
          <t>MUST BE COMPLETED</t>
        </r>
        <r>
          <rPr>
            <sz val="9"/>
            <color indexed="81"/>
            <rFont val="Tahoma"/>
            <family val="2"/>
          </rPr>
          <t xml:space="preserve">
</t>
        </r>
      </text>
    </comment>
    <comment ref="G17" authorId="1" shapeId="0" xr:uid="{00000000-0006-0000-0000-000003000000}">
      <text>
        <r>
          <rPr>
            <b/>
            <sz val="9"/>
            <color indexed="81"/>
            <rFont val="Tahoma"/>
            <family val="2"/>
          </rPr>
          <t>MUST BE COMPLETED
1.) Choose device category based on print/output requirements above.</t>
        </r>
      </text>
    </comment>
    <comment ref="G18" authorId="2" shapeId="0" xr:uid="{00000000-0006-0000-0000-000004000000}">
      <text>
        <r>
          <rPr>
            <b/>
            <sz val="9"/>
            <color indexed="81"/>
            <rFont val="Tahoma"/>
            <family val="2"/>
          </rPr>
          <t>Required to complete:
1.) When "Secondary" device is required;
2.) Under 1,000 pages per month usage</t>
        </r>
        <r>
          <rPr>
            <sz val="9"/>
            <color indexed="81"/>
            <rFont val="Tahoma"/>
            <family val="2"/>
          </rPr>
          <t xml:space="preserve">
</t>
        </r>
      </text>
    </comment>
    <comment ref="C23" authorId="1" shapeId="0" xr:uid="{00000000-0006-0000-0000-000005000000}">
      <text>
        <r>
          <rPr>
            <b/>
            <sz val="9"/>
            <color indexed="81"/>
            <rFont val="Tahoma"/>
            <family val="2"/>
          </rPr>
          <t>MUST BE COMPLETED</t>
        </r>
      </text>
    </comment>
    <comment ref="G31" authorId="0" shapeId="0" xr:uid="{00000000-0006-0000-0000-000006000000}">
      <text>
        <r>
          <rPr>
            <sz val="9"/>
            <color indexed="81"/>
            <rFont val="Tahoma"/>
            <family val="2"/>
          </rPr>
          <t xml:space="preserve">PDDS - Print Driver Deliver System: 
</t>
        </r>
        <r>
          <rPr>
            <b/>
            <sz val="9"/>
            <color indexed="81"/>
            <rFont val="Tahoma"/>
            <family val="2"/>
          </rPr>
          <t xml:space="preserve">Direct IP Printing
    </t>
        </r>
        <r>
          <rPr>
            <sz val="9"/>
            <color indexed="81"/>
            <rFont val="Tahoma"/>
            <family val="2"/>
          </rPr>
          <t>Example: JHN0001
                      (Johnston site, printer #)</t>
        </r>
        <r>
          <rPr>
            <b/>
            <sz val="9"/>
            <color indexed="81"/>
            <rFont val="Tahoma"/>
            <family val="2"/>
          </rPr>
          <t xml:space="preserve">
Configuration must include Alpha+ Numeric characters. </t>
        </r>
      </text>
    </comment>
    <comment ref="G33" authorId="0" shapeId="0" xr:uid="{00000000-0006-0000-0000-000007000000}">
      <text>
        <r>
          <rPr>
            <b/>
            <sz val="9"/>
            <color indexed="81"/>
            <rFont val="Tahoma"/>
            <family val="2"/>
          </rPr>
          <t>Should be the same as PDDS/Direct IP Printer name above.</t>
        </r>
        <r>
          <rPr>
            <sz val="9"/>
            <color indexed="81"/>
            <rFont val="Tahoma"/>
            <family val="2"/>
          </rPr>
          <t xml:space="preserve">
</t>
        </r>
      </text>
    </comment>
    <comment ref="G34" authorId="0" shapeId="0" xr:uid="{00000000-0006-0000-0000-000008000000}">
      <text>
        <r>
          <rPr>
            <sz val="9"/>
            <color indexed="81"/>
            <rFont val="Tahoma"/>
            <family val="2"/>
          </rPr>
          <t>Location that will be shown within the PrinterOn Queue</t>
        </r>
      </text>
    </comment>
    <comment ref="G66" authorId="0" shapeId="0" xr:uid="{00000000-0006-0000-0000-000009000000}">
      <text>
        <r>
          <rPr>
            <sz val="9"/>
            <color indexed="81"/>
            <rFont val="Tahoma"/>
            <family val="2"/>
          </rPr>
          <t xml:space="preserve">PDDS - Print Driver Deliver System: 
Direct IP Printing
    Example: JHN0001
                      (Johnston site, printer #)
Configuration must include Alpha+ Numeric characters. 
</t>
        </r>
      </text>
    </comment>
    <comment ref="G67" authorId="0" shapeId="0" xr:uid="{00000000-0006-0000-0000-00000A000000}">
      <text>
        <r>
          <rPr>
            <b/>
            <sz val="9"/>
            <color indexed="81"/>
            <rFont val="Tahoma"/>
            <family val="2"/>
          </rPr>
          <t>Should be the same as PDDS/Direct IP Printer name above.</t>
        </r>
        <r>
          <rPr>
            <sz val="9"/>
            <color indexed="81"/>
            <rFont val="Tahoma"/>
            <family val="2"/>
          </rPr>
          <t xml:space="preserve">
</t>
        </r>
      </text>
    </comment>
    <comment ref="G68" authorId="0" shapeId="0" xr:uid="{00000000-0006-0000-0000-00000B000000}">
      <text>
        <r>
          <rPr>
            <sz val="9"/>
            <color indexed="81"/>
            <rFont val="Tahoma"/>
            <family val="2"/>
          </rPr>
          <t>Location that will be shown within the PrinterOn Queue</t>
        </r>
      </text>
    </comment>
  </commentList>
</comments>
</file>

<file path=xl/sharedStrings.xml><?xml version="1.0" encoding="utf-8"?>
<sst xmlns="http://schemas.openxmlformats.org/spreadsheetml/2006/main" count="1033" uniqueCount="437">
  <si>
    <t>City</t>
  </si>
  <si>
    <t>Phone number</t>
  </si>
  <si>
    <t>Email address</t>
  </si>
  <si>
    <t>Model name</t>
  </si>
  <si>
    <t>IP Address</t>
  </si>
  <si>
    <t>Fax connection available (if necessary)</t>
  </si>
  <si>
    <t>First / Last name</t>
  </si>
  <si>
    <t>Electricity available</t>
  </si>
  <si>
    <t>Number of Users?</t>
  </si>
  <si>
    <t>Estimated Monthly Volume</t>
  </si>
  <si>
    <t>Site IT Lead - Requester</t>
  </si>
  <si>
    <t>Key User</t>
  </si>
  <si>
    <t>State</t>
  </si>
  <si>
    <t>SETTINGS</t>
  </si>
  <si>
    <t>Equipment Information / Delivery details</t>
  </si>
  <si>
    <t>Elevator available and usable</t>
  </si>
  <si>
    <t>Company name</t>
  </si>
  <si>
    <t>Site Name</t>
  </si>
  <si>
    <t>Network Connection (available and patched)</t>
  </si>
  <si>
    <t>Address 1</t>
  </si>
  <si>
    <t>Other</t>
  </si>
  <si>
    <t>Address 2</t>
  </si>
  <si>
    <t>Postal Code</t>
  </si>
  <si>
    <t>Fax Number</t>
  </si>
  <si>
    <t>Country</t>
  </si>
  <si>
    <t>Entrance</t>
  </si>
  <si>
    <t>Building</t>
  </si>
  <si>
    <t>Floor</t>
  </si>
  <si>
    <t>Room</t>
  </si>
  <si>
    <t>Serial Number</t>
  </si>
  <si>
    <t>Equipment Information for New Move / Delivery details</t>
  </si>
  <si>
    <t>Delivery Information / Installation</t>
  </si>
  <si>
    <t>IT Site Lead Contact Person</t>
  </si>
  <si>
    <t>NEW LOCATION
INFORMATION</t>
  </si>
  <si>
    <t>Toner Delivery Contact</t>
  </si>
  <si>
    <r>
      <t>Model (Mandatory for "</t>
    </r>
    <r>
      <rPr>
        <b/>
        <sz val="10"/>
        <rFont val="Arial"/>
        <family val="2"/>
      </rPr>
      <t>ADD</t>
    </r>
    <r>
      <rPr>
        <sz val="10"/>
        <rFont val="Arial"/>
        <family val="2"/>
      </rPr>
      <t>" only)</t>
    </r>
  </si>
  <si>
    <t>Serial Number (Mandatory for "ADD" only)</t>
  </si>
  <si>
    <r>
      <t xml:space="preserve">Option </t>
    </r>
    <r>
      <rPr>
        <b/>
        <sz val="10"/>
        <rFont val="Arial"/>
        <family val="2"/>
      </rPr>
      <t>TO BE</t>
    </r>
    <r>
      <rPr>
        <sz val="10"/>
        <rFont val="Arial"/>
        <family val="2"/>
      </rPr>
      <t xml:space="preserve"> Added</t>
    </r>
  </si>
  <si>
    <t xml:space="preserve">DISPOSAL INFORMATION 
</t>
  </si>
  <si>
    <t>COMMENTS</t>
  </si>
  <si>
    <t>Equipment Information</t>
  </si>
  <si>
    <t>Existing  
Key User</t>
  </si>
  <si>
    <t>New 
Key User</t>
  </si>
  <si>
    <t>D%$&amp;01_0250414357fd496ea2a9d9925f0bb348</t>
  </si>
  <si>
    <t>Renee L. Plummer_6024_Ricoh_Windows (32-bit) NT 6.01_F72GH72_RPLUMMER$$$14092017</t>
  </si>
  <si>
    <t>"$Cm=!27344"</t>
  </si>
  <si>
    <t>Add</t>
  </si>
  <si>
    <t>Change</t>
  </si>
  <si>
    <t>Disposal</t>
  </si>
  <si>
    <t xml:space="preserve">CHANGE - INFORMATION 
</t>
  </si>
  <si>
    <t>Serial Number (current)</t>
  </si>
  <si>
    <t>Model (current)</t>
  </si>
  <si>
    <t>EQUIPMENT
INFORMATION</t>
  </si>
  <si>
    <t>Additional Information / Settings</t>
  </si>
  <si>
    <t>Is there color printing required?</t>
  </si>
  <si>
    <t>Is guest Printing Required?</t>
  </si>
  <si>
    <t>Is A3 / 11x17 printing required?</t>
  </si>
  <si>
    <t xml:space="preserve">PDDS / Direct IP Printer Name: </t>
  </si>
  <si>
    <t>Next Generation or Dow Guest Cloud Printing (PrinterOn) Printer Name:</t>
  </si>
  <si>
    <t>Move</t>
  </si>
  <si>
    <r>
      <t xml:space="preserve">MOVE INFORMATION </t>
    </r>
    <r>
      <rPr>
        <b/>
        <sz val="12"/>
        <rFont val="Arial"/>
        <family val="2"/>
      </rPr>
      <t>(Delivery details)</t>
    </r>
  </si>
  <si>
    <t>ADD - INFORMATION</t>
  </si>
  <si>
    <t xml:space="preserve">PrinterOn Description Location: </t>
  </si>
  <si>
    <t>4 Digit Site Name (PrinterOn):</t>
  </si>
  <si>
    <t>Legal Entity Name</t>
  </si>
  <si>
    <t>Estimated monthly volume</t>
  </si>
  <si>
    <t>BUSINESS CASE</t>
  </si>
  <si>
    <t>LOGISTICS FOR DELIVERY</t>
  </si>
  <si>
    <t>Dock or ground delivery?</t>
  </si>
  <si>
    <t>Elevator available and usable?</t>
  </si>
  <si>
    <t>Provide # of stairs (if applicable)</t>
  </si>
  <si>
    <t>Network connection available/live</t>
  </si>
  <si>
    <t>Print / Output Requirements</t>
  </si>
  <si>
    <t>Device Disposal Information</t>
  </si>
  <si>
    <t>Printer Name / Queue</t>
  </si>
  <si>
    <t>Date of Request:</t>
  </si>
  <si>
    <t>Legend</t>
  </si>
  <si>
    <t>Number of users (approximate)</t>
  </si>
  <si>
    <r>
      <t xml:space="preserve">Required Information - </t>
    </r>
    <r>
      <rPr>
        <b/>
        <i/>
        <sz val="10"/>
        <rFont val="Arial"/>
        <family val="2"/>
      </rPr>
      <t>MUST be filed out completely to process order</t>
    </r>
  </si>
  <si>
    <r>
      <t xml:space="preserve">Additional Information - </t>
    </r>
    <r>
      <rPr>
        <b/>
        <i/>
        <sz val="10"/>
        <rFont val="Arial"/>
        <family val="2"/>
      </rPr>
      <t>Required according to individual request type</t>
    </r>
  </si>
  <si>
    <r>
      <t xml:space="preserve">Description of barriers </t>
    </r>
    <r>
      <rPr>
        <sz val="8"/>
        <rFont val="Arial"/>
        <family val="2"/>
      </rPr>
      <t>(eg. stairs or steps)</t>
    </r>
  </si>
  <si>
    <r>
      <t xml:space="preserve">EQUIPMENT / SITE INFORMATION </t>
    </r>
    <r>
      <rPr>
        <b/>
        <sz val="20"/>
        <color indexed="10"/>
        <rFont val="Arial"/>
        <family val="2"/>
      </rPr>
      <t xml:space="preserve">(Mandatory) </t>
    </r>
    <r>
      <rPr>
        <b/>
        <i/>
        <sz val="10"/>
        <color rgb="FFFF0000"/>
        <rFont val="Arial"/>
        <family val="2"/>
      </rPr>
      <t>your request WILL be delayed and returned if form/details are incomplete</t>
    </r>
  </si>
  <si>
    <r>
      <t xml:space="preserve">Select the type of request INSTALL - MOVE - ADD- CHANGE - DISPOSE (instructions below)
</t>
    </r>
    <r>
      <rPr>
        <b/>
        <sz val="7"/>
        <rFont val="Arial"/>
        <family val="2"/>
      </rPr>
      <t xml:space="preserve">INSTALL: </t>
    </r>
    <r>
      <rPr>
        <sz val="7"/>
        <rFont val="Arial"/>
        <family val="2"/>
      </rPr>
      <t>Request for a new device installation</t>
    </r>
    <r>
      <rPr>
        <b/>
        <sz val="7"/>
        <rFont val="Arial"/>
        <family val="2"/>
      </rPr>
      <t xml:space="preserve">
MOVE: </t>
    </r>
    <r>
      <rPr>
        <sz val="7"/>
        <rFont val="Arial"/>
        <family val="2"/>
      </rPr>
      <t xml:space="preserve">The relocation of an existing device
</t>
    </r>
    <r>
      <rPr>
        <b/>
        <sz val="7"/>
        <rFont val="Arial"/>
        <family val="2"/>
      </rPr>
      <t xml:space="preserve">ADD: </t>
    </r>
    <r>
      <rPr>
        <sz val="7"/>
        <rFont val="Arial"/>
        <family val="2"/>
      </rPr>
      <t>The addition of an accessory (i.e. paper drawer, fax board, barcode print/scan modules, etc.) to an existing device</t>
    </r>
    <r>
      <rPr>
        <b/>
        <sz val="7"/>
        <rFont val="Arial"/>
        <family val="2"/>
      </rPr>
      <t xml:space="preserve">
DISPOSAL: </t>
    </r>
    <r>
      <rPr>
        <sz val="7"/>
        <rFont val="Arial"/>
        <family val="2"/>
      </rPr>
      <t xml:space="preserve">Product de-installation and disposal of a particular device
</t>
    </r>
    <r>
      <rPr>
        <b/>
        <sz val="7"/>
        <rFont val="Arial"/>
        <family val="2"/>
      </rPr>
      <t>CHANGE</t>
    </r>
    <r>
      <rPr>
        <sz val="7"/>
        <rFont val="Arial"/>
        <family val="2"/>
      </rPr>
      <t xml:space="preserve">: Change information on a particular device i.e.(cost code, ip address, contact information, ect)
</t>
    </r>
    <r>
      <rPr>
        <b/>
        <sz val="7"/>
        <rFont val="Arial"/>
        <family val="2"/>
      </rPr>
      <t xml:space="preserve">Enable Guest Printing: </t>
    </r>
    <r>
      <rPr>
        <sz val="7"/>
        <rFont val="Arial"/>
        <family val="2"/>
      </rPr>
      <t xml:space="preserve">Request to enable Guest Printing on a new or existing device
</t>
    </r>
    <r>
      <rPr>
        <b/>
        <sz val="7"/>
        <rFont val="Arial"/>
        <family val="2"/>
      </rPr>
      <t>Enable PDDS (Direct IP) Printing:</t>
    </r>
    <r>
      <rPr>
        <sz val="7"/>
        <rFont val="Arial"/>
        <family val="2"/>
      </rPr>
      <t xml:space="preserve">  Request to enable Direct IP / PDDS on a new or existing device</t>
    </r>
  </si>
  <si>
    <t xml:space="preserve">Primary Request Type
</t>
  </si>
  <si>
    <t>Second Request Type</t>
  </si>
  <si>
    <t>Third Request Type</t>
  </si>
  <si>
    <t>DNS Address (Primary/Secondary)</t>
  </si>
  <si>
    <t>SMTP Address</t>
  </si>
  <si>
    <t>Gateway Address</t>
  </si>
  <si>
    <t>Subnet Mask Address</t>
  </si>
  <si>
    <t>Low Volume BW Printer(A4)&lt;4000/MO</t>
  </si>
  <si>
    <t>Low Volume BW MFP(A4)&lt;4000/MO</t>
  </si>
  <si>
    <t>Low Volume Color Printer(A4)&lt;4000/MO</t>
  </si>
  <si>
    <t>Low Volume Color MFP(A4)&lt;3000/MO</t>
  </si>
  <si>
    <t>Low Volume BW MFP(A3)&lt;4000/MO</t>
  </si>
  <si>
    <t>Mid Volume BW MFP(A3) 5000-10000/MO</t>
  </si>
  <si>
    <t>High Volume BW MFP(A3) 10000/MO+</t>
  </si>
  <si>
    <t>Low Volume Color MFP(A3)&lt;5000/MO</t>
  </si>
  <si>
    <t>Mid Volume Color MFP(A3) 5000-10000/MO</t>
  </si>
  <si>
    <t>High Volume Color MFP(A3) 10000/MO+</t>
  </si>
  <si>
    <t>B/W CPI</t>
  </si>
  <si>
    <t>Color CPI</t>
  </si>
  <si>
    <t>Argentina</t>
  </si>
  <si>
    <t>Australia</t>
  </si>
  <si>
    <t>Austria</t>
  </si>
  <si>
    <t>Belgium</t>
  </si>
  <si>
    <t>Brazil</t>
  </si>
  <si>
    <t>Bulgaria</t>
  </si>
  <si>
    <t>Cambodia</t>
  </si>
  <si>
    <t>Quote Locally</t>
  </si>
  <si>
    <t>Canada</t>
  </si>
  <si>
    <t>Chile</t>
  </si>
  <si>
    <t>China</t>
  </si>
  <si>
    <t>Colombia</t>
  </si>
  <si>
    <t>Croatia</t>
  </si>
  <si>
    <t>Czech Republic</t>
  </si>
  <si>
    <t>Denmark</t>
  </si>
  <si>
    <t>Egypt</t>
  </si>
  <si>
    <t>Finland</t>
  </si>
  <si>
    <t>France</t>
  </si>
  <si>
    <t>Germany</t>
  </si>
  <si>
    <t>Greece</t>
  </si>
  <si>
    <t>Hong Kong</t>
  </si>
  <si>
    <t>Hungary</t>
  </si>
  <si>
    <t>India</t>
  </si>
  <si>
    <t>Indonesia</t>
  </si>
  <si>
    <t>Italy</t>
  </si>
  <si>
    <t>Japan</t>
  </si>
  <si>
    <t>Luxembourg</t>
  </si>
  <si>
    <t>Malaysia</t>
  </si>
  <si>
    <t>Mexico</t>
  </si>
  <si>
    <t>Netherlands</t>
  </si>
  <si>
    <t>New Zealand</t>
  </si>
  <si>
    <t>Pakistan</t>
  </si>
  <si>
    <t>Paraguay</t>
  </si>
  <si>
    <t>Peru</t>
  </si>
  <si>
    <t>Philippines</t>
  </si>
  <si>
    <t>Poland</t>
  </si>
  <si>
    <t>Puerto Rico</t>
  </si>
  <si>
    <t>Romania</t>
  </si>
  <si>
    <t>Russia</t>
  </si>
  <si>
    <t>Singapore</t>
  </si>
  <si>
    <t>South Africa</t>
  </si>
  <si>
    <t>Spain</t>
  </si>
  <si>
    <t>Sweden</t>
  </si>
  <si>
    <t>Switzerland</t>
  </si>
  <si>
    <t>Taiwan</t>
  </si>
  <si>
    <t>Thailand</t>
  </si>
  <si>
    <t>Turkey</t>
  </si>
  <si>
    <t>UK</t>
  </si>
  <si>
    <t>USA</t>
  </si>
  <si>
    <t>Vietnam</t>
  </si>
  <si>
    <t>Monthly Mgmt Fee Charge:</t>
  </si>
  <si>
    <t>Color Cost Per Impression:</t>
  </si>
  <si>
    <t>B&amp;W Cost Per Impression:</t>
  </si>
  <si>
    <t>Intelligent Barcode Scanning</t>
  </si>
  <si>
    <t>Terms &amp; Conditions</t>
  </si>
  <si>
    <t>SP 6430DN</t>
  </si>
  <si>
    <t>MP 2555SP</t>
  </si>
  <si>
    <t>MP 3555SP</t>
  </si>
  <si>
    <t>MP 6055SP</t>
  </si>
  <si>
    <t>SP C840DN</t>
  </si>
  <si>
    <t>Enable PDDS (Direct IP) Printing</t>
  </si>
  <si>
    <t>Signature Section: by signing, both parties agree to the Total Commitment under Print / Output Requirements above:</t>
  </si>
  <si>
    <t>Ricoh Authorized Signature</t>
  </si>
  <si>
    <t>REQUEST FORM ("INSTALL - MOVE - ADD - CHANGE - DISPOSE")</t>
  </si>
  <si>
    <t>Monthly Service Unit Charge 
(60 month commitment):</t>
  </si>
  <si>
    <t>Remaining Commitment</t>
  </si>
  <si>
    <t>$xxxx.xx</t>
  </si>
  <si>
    <t>Approximate Total $ Value (as of todays date)</t>
  </si>
  <si>
    <t>To Be Applied Against</t>
  </si>
  <si>
    <r>
      <rPr>
        <b/>
        <sz val="9"/>
        <rFont val="Arial"/>
        <family val="2"/>
      </rPr>
      <t>Requested Completion Date</t>
    </r>
    <r>
      <rPr>
        <b/>
        <sz val="11"/>
        <rFont val="Arial"/>
        <family val="2"/>
      </rPr>
      <t xml:space="preserve">: </t>
    </r>
    <r>
      <rPr>
        <b/>
        <sz val="8"/>
        <rFont val="Arial"/>
        <family val="2"/>
      </rPr>
      <t>(3 week Minimum)</t>
    </r>
  </si>
  <si>
    <t>New Mfr</t>
  </si>
  <si>
    <t>New IP address</t>
  </si>
  <si>
    <t>Bldg</t>
  </si>
  <si>
    <t>Old Model</t>
  </si>
  <si>
    <t>Old Serial Number</t>
  </si>
  <si>
    <t>Old IP address</t>
  </si>
  <si>
    <t>Purchase Order #</t>
  </si>
  <si>
    <t>Grand Total</t>
  </si>
  <si>
    <t>Remaining Commitment Value
 (as of today)</t>
  </si>
  <si>
    <t>TYPE</t>
  </si>
  <si>
    <t>Description</t>
  </si>
  <si>
    <t>Additional Description</t>
  </si>
  <si>
    <t>Standard</t>
  </si>
  <si>
    <t>Power Filter</t>
  </si>
  <si>
    <t>DIMENSIONS</t>
  </si>
  <si>
    <t>POWER CONSUMPTION (MAIN UNIT)</t>
  </si>
  <si>
    <t>Connection and Installation</t>
  </si>
  <si>
    <t>120-127V/12A, 60Hz</t>
  </si>
  <si>
    <t>Minimum Configuration</t>
  </si>
  <si>
    <t>IM 350F</t>
  </si>
  <si>
    <r>
      <t>W × D × H (inches):</t>
    </r>
    <r>
      <rPr>
        <sz val="10"/>
        <color rgb="FF222222"/>
        <rFont val="Arial"/>
        <family val="2"/>
      </rPr>
      <t> 18.74 × 17.40 × 20.08</t>
    </r>
  </si>
  <si>
    <r>
      <t>W × D × H (mm):</t>
    </r>
    <r>
      <rPr>
        <sz val="10"/>
        <color rgb="FF222222"/>
        <rFont val="Arial"/>
        <family val="2"/>
      </rPr>
      <t> 476 × 442 × 510</t>
    </r>
  </si>
  <si>
    <t>P C600</t>
  </si>
  <si>
    <t>ESP S1 POWER FILTER</t>
  </si>
  <si>
    <r>
      <t>W × D × H (inches):</t>
    </r>
    <r>
      <rPr>
        <sz val="10"/>
        <color rgb="FF222222"/>
        <rFont val="Arial"/>
        <family val="2"/>
      </rPr>
      <t> 17.50 × 22.40 × 23.10</t>
    </r>
  </si>
  <si>
    <t>120-127V, 60Hz</t>
  </si>
  <si>
    <r>
      <t>W × D × H (mm):</t>
    </r>
    <r>
      <rPr>
        <sz val="10"/>
        <color rgb="FF222222"/>
        <rFont val="Arial"/>
        <family val="2"/>
      </rPr>
      <t> 445 × 569 × 587</t>
    </r>
  </si>
  <si>
    <t>Paper Feed Unit PB1150</t>
  </si>
  <si>
    <t>550 sheet Paper Feed</t>
  </si>
  <si>
    <t>Hard Disk Drive Option Type P17</t>
  </si>
  <si>
    <t>320GB Hard Disk</t>
  </si>
  <si>
    <r>
      <t>W × D × H (inches):</t>
    </r>
    <r>
      <rPr>
        <sz val="10"/>
        <color rgb="FF222222"/>
        <rFont val="Arial"/>
        <family val="2"/>
      </rPr>
      <t> 45.30 × 27.00 × 47.60</t>
    </r>
  </si>
  <si>
    <t xml:space="preserve">110-120V, 60Hz, 12A - the required </t>
  </si>
  <si>
    <t>2 x 550 sheet Paper Feed</t>
  </si>
  <si>
    <r>
      <t>W × D × H (mm):</t>
    </r>
    <r>
      <rPr>
        <sz val="10"/>
        <color rgb="FF222222"/>
        <rFont val="Arial"/>
        <family val="2"/>
      </rPr>
      <t> 1,151 × 686 × 1,209</t>
    </r>
  </si>
  <si>
    <t>wall outlet is a NEMA 5-15R (receptacle)</t>
  </si>
  <si>
    <t>1,000 sheet Hybrid Finisher</t>
  </si>
  <si>
    <t>Bridge Unit BU3090</t>
  </si>
  <si>
    <t>Bridge Unit</t>
  </si>
  <si>
    <t>Fax Option Type M29</t>
  </si>
  <si>
    <t>FAX unit</t>
  </si>
  <si>
    <t>PostScript3 Unit Type M29</t>
  </si>
  <si>
    <r>
      <t>W × D × H (inches):</t>
    </r>
    <r>
      <rPr>
        <sz val="10"/>
        <color rgb="FF222222"/>
        <rFont val="Arial"/>
        <family val="2"/>
      </rPr>
      <t> 45.70 × 27.00 × 47.60</t>
    </r>
  </si>
  <si>
    <t>120V-127V, 60Hz</t>
  </si>
  <si>
    <t>Paper Feed Unit PB3280</t>
  </si>
  <si>
    <t>Paper Feed Unit (550 x 2)</t>
  </si>
  <si>
    <r>
      <t>W × D × H (mm):</t>
    </r>
    <r>
      <rPr>
        <sz val="10"/>
        <color rgb="FF222222"/>
        <rFont val="Arial"/>
        <family val="2"/>
      </rPr>
      <t> 1,161 × 686 × 1,209</t>
    </r>
  </si>
  <si>
    <t>Finisher SR3260</t>
  </si>
  <si>
    <t>1000 sheets Finisher</t>
  </si>
  <si>
    <t>Fax Option Type M37</t>
  </si>
  <si>
    <t>FAX Unit Option</t>
  </si>
  <si>
    <t>PostScript3 Unit Type M37</t>
  </si>
  <si>
    <r>
      <t>W × D × H (inches):</t>
    </r>
    <r>
      <rPr>
        <sz val="10"/>
        <color rgb="FF222222"/>
        <rFont val="Arial"/>
        <family val="2"/>
      </rPr>
      <t> 23.10 × 27.00 × 43.70</t>
    </r>
  </si>
  <si>
    <r>
      <t>W × D × H (mm):</t>
    </r>
    <r>
      <rPr>
        <sz val="10"/>
        <color rgb="FF222222"/>
        <rFont val="Arial"/>
        <family val="2"/>
      </rPr>
      <t> 587 × 686 × 1,110</t>
    </r>
  </si>
  <si>
    <t>1000x2 LCIT (CUBA)</t>
  </si>
  <si>
    <t>HDD Option Type P11</t>
  </si>
  <si>
    <t>HDD Option</t>
  </si>
  <si>
    <t>P 502 (Japan: P 501M)</t>
  </si>
  <si>
    <r>
      <t>W × D × H (inches):</t>
    </r>
    <r>
      <rPr>
        <sz val="10"/>
        <color rgb="FF222222"/>
        <rFont val="Arial"/>
        <family val="2"/>
      </rPr>
      <t> 14.76 × 16.22 × 17.14</t>
    </r>
  </si>
  <si>
    <t>Paper Feed Unit PB1120</t>
  </si>
  <si>
    <t>500 Sheets Paper Feed Unit</t>
  </si>
  <si>
    <r>
      <t>W × D × H (mm):</t>
    </r>
    <r>
      <rPr>
        <sz val="10"/>
        <color rgb="FF222222"/>
        <rFont val="Arial"/>
        <family val="2"/>
      </rPr>
      <t> 375 × 412 × 435</t>
    </r>
  </si>
  <si>
    <t>Hard Disk Drive Option Type P18</t>
  </si>
  <si>
    <t>HDD Unit</t>
  </si>
  <si>
    <t>VM Card Type P18</t>
  </si>
  <si>
    <t>VM card</t>
  </si>
  <si>
    <t>Purchase Order #:</t>
  </si>
  <si>
    <t>IM C3000 - w finisher</t>
  </si>
  <si>
    <t>IM C6000</t>
  </si>
  <si>
    <t>IM C3500</t>
  </si>
  <si>
    <t>IM C3000 - Base</t>
  </si>
  <si>
    <t>IM C300F</t>
  </si>
  <si>
    <t>Mid Volume BW Printer(A3) 4000-10000/MO</t>
  </si>
  <si>
    <t>Mid Volume Color Printer(A3) 4000-10000/Mo</t>
  </si>
  <si>
    <r>
      <t>W × D × H (inches):</t>
    </r>
    <r>
      <rPr>
        <sz val="10"/>
        <color rgb="FF222222"/>
        <rFont val="Arial"/>
        <family val="2"/>
      </rPr>
      <t> 19.60 × 22.10 × 20.10</t>
    </r>
  </si>
  <si>
    <r>
      <t>W × D × H (mm):</t>
    </r>
    <r>
      <rPr>
        <sz val="10"/>
        <color rgb="FF222222"/>
        <rFont val="Arial"/>
        <family val="2"/>
      </rPr>
      <t> 498 × 561 × 511</t>
    </r>
  </si>
  <si>
    <t>120V - 127V, 60Hz, 10A</t>
  </si>
  <si>
    <t>P 502/501M</t>
  </si>
  <si>
    <r>
      <t xml:space="preserve">Device Model or Equivalent </t>
    </r>
    <r>
      <rPr>
        <b/>
        <sz val="9"/>
        <rFont val="Arial"/>
        <family val="2"/>
      </rPr>
      <t>(chosen by Ricoh)</t>
    </r>
  </si>
  <si>
    <t>Information Required for
 Addition of Accessory</t>
  </si>
  <si>
    <t>Business case (Required if monthly volume 
&lt; 1,000/month)</t>
  </si>
  <si>
    <r>
      <t xml:space="preserve">Network Settings </t>
    </r>
    <r>
      <rPr>
        <b/>
        <sz val="12"/>
        <rFont val="Arial"/>
        <family val="2"/>
      </rPr>
      <t>(Must be filled out by Site IT Lead)</t>
    </r>
  </si>
  <si>
    <t>IM C3000</t>
  </si>
  <si>
    <t>IM C4500</t>
  </si>
  <si>
    <t>Low Volume BW Printer(A4) &lt; 4000/MO</t>
  </si>
  <si>
    <t>Mid Volume BW Printer(A3) 4000 - 10000/MO</t>
  </si>
  <si>
    <t>Low Volume BW MFP(A4) &lt; 4000/MO</t>
  </si>
  <si>
    <t>Low Volume Color Printer(A4) &lt;4000/MO</t>
  </si>
  <si>
    <t>Low Volume Color MFP(A4) &lt;3000/MO</t>
  </si>
  <si>
    <t>Low Volume BW MFP(A3) &lt;4000/MO</t>
  </si>
  <si>
    <t>Mid Volume BW MFP(A3) 5000 - 10000/MO</t>
  </si>
  <si>
    <t>IM C3000 *</t>
  </si>
  <si>
    <t>Low Volume Color MFP(A3) &lt;5000/MO</t>
  </si>
  <si>
    <t>Mid Volume Color MFP(A3) 5000 - 10000/MO</t>
  </si>
  <si>
    <t>IM C4500 *</t>
  </si>
  <si>
    <t>IM C6000 *</t>
  </si>
  <si>
    <t>Mid Volume Color Printer(A3) 4,000 - 10,000/Mo</t>
  </si>
  <si>
    <t>Card Reader</t>
  </si>
  <si>
    <t>Management Fee</t>
  </si>
  <si>
    <t>Summary</t>
  </si>
  <si>
    <t>60 Month Service Unit Price</t>
  </si>
  <si>
    <t>Monthly 60</t>
  </si>
  <si>
    <t>Kenya</t>
  </si>
  <si>
    <t>United Arab Emirates</t>
  </si>
  <si>
    <t>Korea</t>
  </si>
  <si>
    <t>Ukraine</t>
  </si>
  <si>
    <t>Slovakia</t>
  </si>
  <si>
    <t>Serbia</t>
  </si>
  <si>
    <t>Bolivia</t>
  </si>
  <si>
    <t>Costa Rica</t>
  </si>
  <si>
    <t>Slovenia</t>
  </si>
  <si>
    <t>* These models include loyal customer discount</t>
  </si>
  <si>
    <t>Corteva Reference Order No.</t>
  </si>
  <si>
    <t>MM/DD/YYYY</t>
  </si>
  <si>
    <t>Instructions for Ricoh and Corteva:</t>
  </si>
  <si>
    <t>Corteva Authorized Signature</t>
  </si>
  <si>
    <t xml:space="preserve">Select the Second Request Type for additional IMACD actions in one form: </t>
  </si>
  <si>
    <t>Select the Third Request Type for additional IMACD actions in one form:</t>
  </si>
  <si>
    <t>Corteva Business Requirement/Justification/Add'l Comments</t>
  </si>
  <si>
    <t>Category of Device (if printing less than 1000 p/month, a business case MUST be provided):</t>
  </si>
  <si>
    <t>Business case: Required for any device printing less than 1000 p/month.</t>
  </si>
  <si>
    <t>Office Phone Number</t>
  </si>
  <si>
    <t>Cell Phone Number</t>
  </si>
  <si>
    <r>
      <t>Apply to Deferral: (</t>
    </r>
    <r>
      <rPr>
        <b/>
        <sz val="8"/>
        <rFont val="Arial"/>
        <family val="2"/>
      </rPr>
      <t>Will increase term to 66 months)</t>
    </r>
  </si>
  <si>
    <t>LOGISTICS 
FOR 
DELIVERY</t>
  </si>
  <si>
    <t>Install</t>
  </si>
  <si>
    <t xml:space="preserve">Check all that apply:                        or    </t>
  </si>
  <si>
    <r>
      <t xml:space="preserve">PDDS / Direct IP Printer Name:           
(Configuration by Site IT Lead)
</t>
    </r>
    <r>
      <rPr>
        <b/>
        <sz val="9"/>
        <color rgb="FFFF0000"/>
        <rFont val="Arial"/>
        <family val="2"/>
      </rPr>
      <t>REMINDER: REQUEST FOR PDDS NAME (SEE NOTE)</t>
    </r>
  </si>
  <si>
    <t>Version #</t>
  </si>
  <si>
    <t>Date</t>
  </si>
  <si>
    <t>Changes</t>
  </si>
  <si>
    <t>USD</t>
  </si>
  <si>
    <t>EUR</t>
  </si>
  <si>
    <t>JPY</t>
  </si>
  <si>
    <r>
      <t xml:space="preserve">Total Commitment Value </t>
    </r>
    <r>
      <rPr>
        <b/>
        <u/>
        <sz val="10"/>
        <rFont val="Arial"/>
        <family val="2"/>
      </rPr>
      <t>without</t>
    </r>
    <r>
      <rPr>
        <b/>
        <sz val="10"/>
        <rFont val="Arial"/>
        <family val="2"/>
      </rPr>
      <t xml:space="preserve"> Deferral (Device Fee)</t>
    </r>
  </si>
  <si>
    <r>
      <t xml:space="preserve">Total Commitment </t>
    </r>
    <r>
      <rPr>
        <b/>
        <u/>
        <sz val="10"/>
        <rFont val="Arial"/>
        <family val="2"/>
      </rPr>
      <t>with</t>
    </r>
    <r>
      <rPr>
        <b/>
        <sz val="10"/>
        <rFont val="Arial"/>
        <family val="2"/>
      </rPr>
      <t xml:space="preserve"> Deferral (Only if Cell G44 Checked YES)</t>
    </r>
  </si>
  <si>
    <t xml:space="preserve">                         or</t>
  </si>
  <si>
    <t>New contract pricing for Yr 1, new device configs, payment deferrals, currency symbols.</t>
  </si>
  <si>
    <t>This IMAC-D form is made pursuant to the PCFS Global Services Agreement between Ricoh Americas Corporation. and E. I. Du Pont de Nemours and Company (“DBA” Corteva Agriscience) dated July 1st 2011, as amended.</t>
  </si>
  <si>
    <t>Device configuration changes to correct options</t>
  </si>
  <si>
    <t xml:space="preserve">LCIT PB3290 </t>
  </si>
  <si>
    <t>Net Connect</t>
  </si>
  <si>
    <t>Network Connect</t>
  </si>
  <si>
    <t>006428MIU Power Filter</t>
  </si>
  <si>
    <t>PS-NWSCBC3 Network Connect</t>
  </si>
  <si>
    <t>PS-NWSCPR Network Connect</t>
  </si>
  <si>
    <t>SP 8400DN</t>
  </si>
  <si>
    <t>ESP XG-PCS-15D (120 Volt, 15 Amp)</t>
  </si>
  <si>
    <t>Network &amp; Scan - Printer</t>
  </si>
  <si>
    <t>PostScript3 Unit Type P13</t>
  </si>
  <si>
    <t>Paper Feed Unit PB3240</t>
  </si>
  <si>
    <t>HDD Option Type P13</t>
  </si>
  <si>
    <t>HDD option</t>
  </si>
  <si>
    <t>2X 500 sheet Paper Feed</t>
  </si>
  <si>
    <r>
      <t>W × D × H (inches):</t>
    </r>
    <r>
      <rPr>
        <sz val="10"/>
        <color rgb="FF222222"/>
        <rFont val="Arial"/>
        <family val="2"/>
      </rPr>
      <t> 23.10 × 27.00 × 38.00</t>
    </r>
  </si>
  <si>
    <r>
      <t>W × D × H (mm):</t>
    </r>
    <r>
      <rPr>
        <sz val="10"/>
        <color rgb="FF222222"/>
        <rFont val="Arial"/>
        <family val="2"/>
      </rPr>
      <t> 587 × 686 × 965</t>
    </r>
  </si>
  <si>
    <t>Can remove Additional Paper Feed Unit PB3240 to convert device to a desktop device (-10 in.)</t>
  </si>
  <si>
    <t>select from dropdown</t>
  </si>
  <si>
    <t>Request Type</t>
  </si>
  <si>
    <t>CPC B&amp;W</t>
  </si>
  <si>
    <t>CPC Color</t>
  </si>
  <si>
    <t>Fax
(Y/N)</t>
  </si>
  <si>
    <t>SAP
(Y/N)</t>
  </si>
  <si>
    <t>LIMS
(Y/N)</t>
  </si>
  <si>
    <t>IBS
Bar Code Printing
(Y/N)</t>
  </si>
  <si>
    <t>Key User 
Contact Name</t>
  </si>
  <si>
    <t>Key User
Email Address</t>
  </si>
  <si>
    <t>Key User
Phone Number</t>
  </si>
  <si>
    <t>Special Delivery Instructions</t>
  </si>
  <si>
    <t>Install/Disposal</t>
  </si>
  <si>
    <t>Paper Feed Unit PB3220</t>
  </si>
  <si>
    <t>Purchase price $282.00</t>
  </si>
  <si>
    <t>PS3 (included)</t>
  </si>
  <si>
    <t>PostScript3 (included)</t>
  </si>
  <si>
    <t>Genuine PS3 Unit (included)</t>
  </si>
  <si>
    <r>
      <t xml:space="preserve">PostScript3 Unit Type P18  - </t>
    </r>
    <r>
      <rPr>
        <sz val="10"/>
        <rFont val="Tahoma"/>
        <family val="2"/>
      </rPr>
      <t xml:space="preserve">EDP </t>
    </r>
    <r>
      <rPr>
        <sz val="9"/>
        <color rgb="FF000000"/>
        <rFont val="Arial"/>
        <family val="2"/>
      </rPr>
      <t>418439</t>
    </r>
  </si>
  <si>
    <t xml:space="preserve">PostScript3 Unit Type M34 - EDP 418070               </t>
  </si>
  <si>
    <t xml:space="preserve">Postscript3 Unit Type P17 - EDP 408307               </t>
  </si>
  <si>
    <t xml:space="preserve">PostScript3 Unit Type P11 - EDP 408091               </t>
  </si>
  <si>
    <t xml:space="preserve">PostScript3® Unit Type M41 - EDP 418579 </t>
  </si>
  <si>
    <t>Purchase price $234.00</t>
  </si>
  <si>
    <t>Purchase price $264.00</t>
  </si>
  <si>
    <t>Finisher SR3210</t>
  </si>
  <si>
    <t>Bridge Unit BU3070</t>
  </si>
  <si>
    <t>New Model</t>
  </si>
  <si>
    <t>New Serial Number</t>
  </si>
  <si>
    <t>Postscript
(Y/N)</t>
  </si>
  <si>
    <t>Specialty (i.e. 3 Hole Punch, 
Add'l Paper Tray, ect.)</t>
  </si>
  <si>
    <t>Version 1.2</t>
  </si>
  <si>
    <t xml:space="preserve">Post Script option added to Device Config tab and and Multiple Devices tab </t>
  </si>
  <si>
    <t>IM 2500 *</t>
  </si>
  <si>
    <t>IM 3500 *</t>
  </si>
  <si>
    <t>IM 6000 *</t>
  </si>
  <si>
    <t>Total Monthly Service Unit charge
p/month for
60 months</t>
  </si>
  <si>
    <t>Monthly Mgmt Fee
p/month for 
60 months</t>
  </si>
  <si>
    <t>PDDS Name 
(4 alpha+
3 Numeric)</t>
  </si>
  <si>
    <t>DNS Address</t>
  </si>
  <si>
    <t>Subnet Mask
Address</t>
  </si>
  <si>
    <t>Gateway
Address</t>
  </si>
  <si>
    <t>Old PDDS 
Name</t>
  </si>
  <si>
    <t>Old Device 
Install Date</t>
  </si>
  <si>
    <t>IM 2500</t>
  </si>
  <si>
    <t>IM 3500</t>
  </si>
  <si>
    <t>IM 6000</t>
  </si>
  <si>
    <t>Updated new pricing and model line. Updated Multiple Devices tab with additional columns.</t>
  </si>
  <si>
    <r>
      <t xml:space="preserve">Email to : </t>
    </r>
    <r>
      <rPr>
        <u/>
        <sz val="10"/>
        <color rgb="FF0000FF"/>
        <rFont val="Arial"/>
        <family val="2"/>
      </rPr>
      <t>srinivasan.manoharan@corteva.com</t>
    </r>
  </si>
  <si>
    <t>Corteva Agriscience</t>
  </si>
  <si>
    <t>Medan</t>
  </si>
  <si>
    <t>Jl. Sisingamanga Raja Km. 9.5</t>
  </si>
  <si>
    <t>Sumatera Utara</t>
  </si>
  <si>
    <t>20148</t>
  </si>
  <si>
    <t>see Multiple Devices tab</t>
  </si>
  <si>
    <t>Ground</t>
  </si>
  <si>
    <t>No</t>
  </si>
  <si>
    <t>Yes</t>
  </si>
  <si>
    <t>Ricoh</t>
  </si>
  <si>
    <t>remove add'l paper tray. Need to check space requirements</t>
  </si>
  <si>
    <t>10.150.5.16</t>
  </si>
  <si>
    <t>10.150.5.17</t>
  </si>
  <si>
    <t>10.150.5.15</t>
  </si>
  <si>
    <t>10.150.5.68</t>
  </si>
  <si>
    <t>10.150.5.126</t>
  </si>
  <si>
    <t>P53508</t>
  </si>
  <si>
    <t>P53509</t>
  </si>
  <si>
    <t>P53507</t>
  </si>
  <si>
    <t>P54309</t>
  </si>
  <si>
    <t>N/A</t>
  </si>
  <si>
    <t>TL200414193219</t>
  </si>
  <si>
    <t>YWW000183</t>
  </si>
  <si>
    <t>TC100831936175</t>
  </si>
  <si>
    <t>014828</t>
  </si>
  <si>
    <t>TL200414194221</t>
  </si>
  <si>
    <t>DocuCentre-IV 2060</t>
  </si>
  <si>
    <t>DocuPrint P455 d</t>
  </si>
  <si>
    <t>DocuCentre-V C3373 T2</t>
  </si>
  <si>
    <t>DocuPrint 3055</t>
  </si>
  <si>
    <t>Maintenance Building</t>
  </si>
  <si>
    <t>1</t>
  </si>
  <si>
    <t>ITSitorus@dow.com</t>
  </si>
  <si>
    <t>remanto.siagian@corteva.com</t>
  </si>
  <si>
    <t>fatimah.syam@corteva.com</t>
  </si>
  <si>
    <t>SSuriyantono@dow.com</t>
  </si>
  <si>
    <t>lkurniati@dow.com</t>
  </si>
  <si>
    <t>62-61-7867060</t>
  </si>
  <si>
    <t>+62 617867060</t>
  </si>
  <si>
    <t>0812-6491-8910</t>
  </si>
  <si>
    <t>6261 7867060</t>
  </si>
  <si>
    <t>Imelda Sitorus</t>
  </si>
  <si>
    <t>Remanto Siagian</t>
  </si>
  <si>
    <t>Syam Fatimah</t>
  </si>
  <si>
    <t>Suriyantono Suriyantono</t>
  </si>
  <si>
    <t>Lisa Kurnati</t>
  </si>
  <si>
    <t>Production</t>
  </si>
  <si>
    <t>Main Office</t>
  </si>
  <si>
    <t>Maintenance</t>
  </si>
  <si>
    <t>Logistic</t>
  </si>
  <si>
    <t>255.255.255.192</t>
  </si>
  <si>
    <t>10.150.5.1</t>
  </si>
  <si>
    <t>Fatimah/Syam</t>
  </si>
  <si>
    <t>+6281264918910</t>
  </si>
  <si>
    <t xml:space="preserve">     Quantity                                EDP Code                                   Model                                        Purchase Price
         (1)                              1  002253MIU-PS1               Intelligent Barcode Solution                           $395.00     </t>
  </si>
  <si>
    <t xml:space="preserve">APAC-ID-COR-Medan-Install-001-20220127	</t>
  </si>
  <si>
    <t>Fatimah Syam</t>
  </si>
  <si>
    <t>PT Corteva Agriscience Manufacturing Indonesia</t>
  </si>
  <si>
    <t>6281264918910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</si>
</sst>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42" formatCode="_-&quot;Rp&quot;* #,##0_-;\-&quot;Rp&quot;* #,##0_-;_-&quot;Rp&quot;* &quot;-&quot;_-;_-@_-"/>
    <numFmt numFmtId="41" formatCode="_-* #,##0_-;\-* #,##0_-;_-* &quot;-&quot;_-;_-@_-"/>
    <numFmt numFmtId="43" formatCode="_-* #,##0.00_-;\-* #,##0.00_-;_-* &quot;-&quot;??_-;_-@_-"/>
    <numFmt numFmtId="164" formatCode="&quot;$&quot;#,##0_);[Red]\(&quot;$&quot;#,##0\)"/>
    <numFmt numFmtId="165" formatCode="&quot;$&quot;#,##0.00_);[Red]\(&quot;$&quot;#,##0.00\)"/>
    <numFmt numFmtId="166" formatCode="_(&quot;$&quot;* #,##0_);_(&quot;$&quot;* \(#,##0\);_(&quot;$&quot;* &quot;-&quot;_);_(@_)"/>
    <numFmt numFmtId="167" formatCode="_(&quot;$&quot;* #,##0.00_);_(&quot;$&quot;* \(#,##0.00\);_(&quot;$&quot;* &quot;-&quot;??_);_(@_)"/>
    <numFmt numFmtId="168" formatCode="_(* #,##0.00_);_(* \(#,##0.00\);_(* &quot;-&quot;??_);_(@_)"/>
    <numFmt numFmtId="169" formatCode="&quot;£&quot;#,##0.00;[Red]\-&quot;£&quot;#,##0.00"/>
    <numFmt numFmtId="170" formatCode="#,##0\ &quot;DM&quot;;[Red]\-#,##0\ &quot;DM&quot;"/>
    <numFmt numFmtId="171" formatCode="#,##0.00\ &quot;DM&quot;;[Red]\-#,##0.00\ &quot;DM&quot;"/>
    <numFmt numFmtId="172" formatCode="0.0000"/>
    <numFmt numFmtId="173" formatCode="_-[$€]* #,##0.00_-;\-[$€]* #,##0.00_-;_-[$€]* &quot;-&quot;??_-;_-@_-"/>
    <numFmt numFmtId="174" formatCode="#,##0.00_ ;[Red]\-#,##0.00;\-"/>
    <numFmt numFmtId="175" formatCode="#,###.00"/>
    <numFmt numFmtId="176" formatCode="_-&quot;$&quot;* #,##0_-;\-&quot;$&quot;* #,##0_-;_-&quot;$&quot;* &quot;-&quot;_-;_-@_-"/>
    <numFmt numFmtId="177" formatCode="_-&quot;$&quot;* #,##0.00_-;\-&quot;$&quot;* #,##0.00_-;_-&quot;$&quot;* &quot;-&quot;??_-;_-@_-"/>
    <numFmt numFmtId="178" formatCode="_ * #,##0_ ;_ * \-#,##0_ ;_ * &quot;-&quot;_ ;_ @_ "/>
    <numFmt numFmtId="179" formatCode="_-* #,##0.00&quot;\&quot;_-;\-* #,##0.00&quot;\&quot;_-;_-* &quot;-&quot;??&quot;\&quot;_-;_-@_-"/>
    <numFmt numFmtId="180" formatCode="_ * #,##0_)&quot;£&quot;_ ;_ * \(#,##0\)&quot;£&quot;_ ;_ * &quot;-&quot;_)&quot;£&quot;_ ;_ @_ "/>
    <numFmt numFmtId="181" formatCode="_ * #,##0_)_L_._ ;_ * \(#,##0\)_L_._ ;_ * &quot;-&quot;_)_L_._ ;_ @_ "/>
    <numFmt numFmtId="182" formatCode="#,##0.00&quot; F&quot;_);\(#,##0.00&quot; F&quot;\)"/>
    <numFmt numFmtId="183" formatCode="_-* #,##0.00\ _F_-;\-* #,##0.00\ _F_-;_-* &quot;-&quot;??\ _F_-;_-@_-"/>
    <numFmt numFmtId="184" formatCode="_-* #,##0\ _F_-;\-* #,##0\ _F_-;_-* &quot;-&quot;\ _F_-;_-@_-"/>
    <numFmt numFmtId="185" formatCode="_ * #,##0_)&quot;L.&quot;_ ;_ * \(#,##0\)&quot;L.&quot;_ ;_ * &quot;-&quot;_)&quot;L.&quot;_ ;_ @_ "/>
    <numFmt numFmtId="186" formatCode="_-&quot;\&quot;* #,##0_-;\-&quot;\&quot;* #,##0_-;_-&quot;\&quot;* &quot;-&quot;_-;_-@_-"/>
    <numFmt numFmtId="187" formatCode="0.000_)"/>
    <numFmt numFmtId="188" formatCode="_-* #,##0.00\ _€_-;\-* #,##0.00\ _€_-;_-* &quot;-&quot;??\ _€_-;_-@_-"/>
    <numFmt numFmtId="189" formatCode="m/d/yyyy;@"/>
    <numFmt numFmtId="190" formatCode="_(&quot;$&quot;* #,##0.0000_);_(&quot;$&quot;* \(#,##0.0000\);_(&quot;$&quot;* &quot;-&quot;??_);_(@_)"/>
    <numFmt numFmtId="191" formatCode="_([$€-2]\ * #,##0.00_);_([$€-2]\ * \(#,##0.00\);_([$€-2]\ * &quot;-&quot;??_);_(@_)"/>
    <numFmt numFmtId="192" formatCode="_([$€-2]\ * #,##0.0000_);_([$€-2]\ * \(#,##0.0000\);_([$€-2]\ * &quot;-&quot;??_);_(@_)"/>
    <numFmt numFmtId="193" formatCode="_-[$¥-411]* #,##0_-;\-[$¥-411]* #,##0_-;_-[$¥-411]* &quot;-&quot;_-;_-@_-"/>
    <numFmt numFmtId="194" formatCode="_-[$¥-411]* #,##0.00_-;\-[$¥-411]* #,##0.00_-;_-[$¥-411]* &quot;-&quot;_-;_-@_-"/>
    <numFmt numFmtId="195" formatCode="&quot;$&quot;#,##0.00"/>
    <numFmt numFmtId="196" formatCode="#,##0.0000"/>
    <numFmt numFmtId="197" formatCode="0.0"/>
    <numFmt numFmtId="198" formatCode="#,##0.0000_);\(#,##0.0000\)"/>
    <numFmt numFmtId="199" formatCode="[$-10409]m/d/yyyy"/>
  </numFmts>
  <fonts count="10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b/>
      <sz val="10"/>
      <name val="Arial"/>
      <family val="2"/>
    </font>
    <font>
      <sz val="10"/>
      <name val="Arial"/>
      <family val="2"/>
    </font>
    <font>
      <sz val="8"/>
      <name val="Arial"/>
      <family val="2"/>
    </font>
    <font>
      <sz val="10"/>
      <name val="Helv"/>
      <family val="2"/>
    </font>
    <font>
      <sz val="11"/>
      <name val="ＭＳ Ｐゴシック"/>
      <charset val="128"/>
    </font>
    <font>
      <sz val="11"/>
      <color indexed="8"/>
      <name val="Calibri"/>
      <family val="2"/>
    </font>
    <font>
      <b/>
      <sz val="18"/>
      <color indexed="56"/>
      <name val="Cambria"/>
      <family val="2"/>
    </font>
    <font>
      <sz val="10"/>
      <color indexed="8"/>
      <name val="Arial"/>
      <family val="2"/>
    </font>
    <font>
      <sz val="12"/>
      <name val="Arial"/>
      <family val="2"/>
    </font>
    <font>
      <b/>
      <sz val="20"/>
      <name val="Arial"/>
      <family val="2"/>
    </font>
    <font>
      <sz val="14"/>
      <name val="Arial"/>
      <family val="2"/>
    </font>
    <font>
      <sz val="10"/>
      <name val="Helv"/>
      <charset val="204"/>
    </font>
    <font>
      <sz val="10"/>
      <name val="Helv"/>
    </font>
    <font>
      <sz val="10"/>
      <name val="Arial"/>
      <family val="2"/>
    </font>
    <font>
      <sz val="10"/>
      <name val="Arial"/>
      <family val="2"/>
      <charset val="177"/>
    </font>
    <font>
      <sz val="10"/>
      <color indexed="9"/>
      <name val="Arial"/>
      <family val="2"/>
    </font>
    <font>
      <sz val="10"/>
      <color indexed="10"/>
      <name val="Arial"/>
      <family val="2"/>
    </font>
    <font>
      <u/>
      <sz val="10"/>
      <color indexed="20"/>
      <name val="Arial"/>
      <family val="2"/>
    </font>
    <font>
      <b/>
      <sz val="8"/>
      <name val="Arial"/>
      <family val="2"/>
    </font>
    <font>
      <b/>
      <sz val="10"/>
      <color indexed="52"/>
      <name val="Arial"/>
      <family val="2"/>
    </font>
    <font>
      <sz val="10"/>
      <color indexed="52"/>
      <name val="Arial"/>
      <family val="2"/>
    </font>
    <font>
      <sz val="11"/>
      <name val="Tms Rmn"/>
      <family val="1"/>
    </font>
    <font>
      <sz val="10"/>
      <name val="MS Sans Serif"/>
      <family val="2"/>
    </font>
    <font>
      <sz val="9"/>
      <name val="Times New Roman"/>
      <family val="1"/>
    </font>
    <font>
      <sz val="10"/>
      <color indexed="62"/>
      <name val="Arial"/>
      <family val="2"/>
    </font>
    <font>
      <sz val="8"/>
      <name val="Arial"/>
      <family val="2"/>
    </font>
    <font>
      <sz val="10"/>
      <color indexed="20"/>
      <name val="Arial"/>
      <family val="2"/>
    </font>
    <font>
      <i/>
      <sz val="8"/>
      <name val="Arial"/>
      <family val="2"/>
    </font>
    <font>
      <sz val="10"/>
      <color indexed="60"/>
      <name val="Arial"/>
      <family val="2"/>
    </font>
    <font>
      <sz val="10"/>
      <name val="Courier"/>
      <family val="3"/>
    </font>
    <font>
      <sz val="11"/>
      <name val="–¾’©"/>
      <family val="3"/>
      <charset val="128"/>
    </font>
    <font>
      <sz val="12"/>
      <name val="Helv"/>
    </font>
    <font>
      <sz val="12"/>
      <name val="Helv"/>
      <family val="2"/>
    </font>
    <font>
      <sz val="12"/>
      <name val="Arial MT"/>
      <family val="2"/>
    </font>
    <font>
      <sz val="10"/>
      <name val="Arial"/>
      <family val="2"/>
      <charset val="238"/>
    </font>
    <font>
      <sz val="11"/>
      <name val="ＭＳ Ｐゴシック"/>
      <family val="3"/>
      <charset val="128"/>
    </font>
    <font>
      <b/>
      <sz val="10"/>
      <color indexed="8"/>
      <name val="Arial"/>
      <family val="2"/>
    </font>
    <font>
      <b/>
      <sz val="10"/>
      <color indexed="39"/>
      <name val="Arial"/>
      <family val="2"/>
    </font>
    <font>
      <b/>
      <sz val="12"/>
      <color indexed="8"/>
      <name val="Arial"/>
      <family val="2"/>
    </font>
    <font>
      <sz val="10"/>
      <color indexed="8"/>
      <name val="Arial"/>
      <family val="2"/>
    </font>
    <font>
      <sz val="10"/>
      <color indexed="39"/>
      <name val="Arial"/>
      <family val="2"/>
    </font>
    <font>
      <b/>
      <sz val="19"/>
      <color indexed="10"/>
      <name val="Arial"/>
      <family val="2"/>
    </font>
    <font>
      <sz val="10"/>
      <color indexed="17"/>
      <name val="Arial"/>
      <family val="2"/>
    </font>
    <font>
      <b/>
      <sz val="10"/>
      <color indexed="63"/>
      <name val="Arial"/>
      <family val="2"/>
    </font>
    <font>
      <b/>
      <sz val="16"/>
      <name val="Arial"/>
      <family val="2"/>
    </font>
    <font>
      <b/>
      <sz val="9"/>
      <name val="Arial"/>
      <family val="2"/>
    </font>
    <font>
      <i/>
      <sz val="10"/>
      <color indexed="23"/>
      <name val="Arial"/>
      <family val="2"/>
    </font>
    <font>
      <b/>
      <sz val="15"/>
      <color indexed="56"/>
      <name val="Arial"/>
      <family val="2"/>
    </font>
    <font>
      <b/>
      <sz val="13"/>
      <color indexed="56"/>
      <name val="Arial"/>
      <family val="2"/>
    </font>
    <font>
      <b/>
      <sz val="11"/>
      <color indexed="56"/>
      <name val="Arial"/>
      <family val="2"/>
    </font>
    <font>
      <b/>
      <sz val="10"/>
      <color indexed="9"/>
      <name val="Arial"/>
      <family val="2"/>
    </font>
    <font>
      <sz val="10"/>
      <color indexed="8"/>
      <name val="Arial"/>
      <family val="2"/>
    </font>
    <font>
      <sz val="16"/>
      <name val="ＭＳ ゴシック"/>
      <family val="3"/>
      <charset val="128"/>
    </font>
    <font>
      <sz val="12"/>
      <name val="Times New Roman"/>
      <family val="1"/>
    </font>
    <font>
      <sz val="11"/>
      <name val="굴림체"/>
      <family val="3"/>
      <charset val="128"/>
    </font>
    <font>
      <sz val="11"/>
      <name val="돋움"/>
      <family val="2"/>
    </font>
    <font>
      <sz val="12"/>
      <name val="宋体"/>
    </font>
    <font>
      <sz val="11"/>
      <name val="ＭＳ Ｐゴシック"/>
      <family val="2"/>
      <charset val="128"/>
    </font>
    <font>
      <b/>
      <sz val="18"/>
      <name val="Arial"/>
      <family val="2"/>
    </font>
    <font>
      <u/>
      <sz val="10"/>
      <color indexed="12"/>
      <name val="Arial"/>
      <family val="2"/>
    </font>
    <font>
      <sz val="9"/>
      <name val="Arial"/>
      <family val="2"/>
    </font>
    <font>
      <u/>
      <sz val="9.8000000000000007"/>
      <color theme="10"/>
      <name val="Arial"/>
      <family val="2"/>
    </font>
    <font>
      <sz val="7"/>
      <name val="Arial"/>
      <family val="2"/>
    </font>
    <font>
      <b/>
      <sz val="7"/>
      <name val="Arial"/>
      <family val="2"/>
    </font>
    <font>
      <b/>
      <sz val="20"/>
      <color indexed="10"/>
      <name val="Arial"/>
      <family val="2"/>
    </font>
    <font>
      <sz val="9"/>
      <color indexed="81"/>
      <name val="Tahoma"/>
      <family val="2"/>
    </font>
    <font>
      <b/>
      <sz val="9"/>
      <color indexed="81"/>
      <name val="Tahoma"/>
      <family val="2"/>
    </font>
    <font>
      <u/>
      <sz val="10"/>
      <color theme="10"/>
      <name val="Arial"/>
      <family val="2"/>
    </font>
    <font>
      <b/>
      <sz val="14"/>
      <name val="Arial"/>
      <family val="2"/>
    </font>
    <font>
      <sz val="8"/>
      <color rgb="FF000000"/>
      <name val="Tahoma"/>
      <family val="2"/>
    </font>
    <font>
      <b/>
      <i/>
      <sz val="10"/>
      <color rgb="FFFF0000"/>
      <name val="Arial"/>
      <family val="2"/>
    </font>
    <font>
      <b/>
      <i/>
      <sz val="10"/>
      <name val="Arial"/>
      <family val="2"/>
    </font>
    <font>
      <b/>
      <sz val="11"/>
      <name val="Arial"/>
      <family val="2"/>
    </font>
    <font>
      <b/>
      <sz val="11"/>
      <color theme="1"/>
      <name val="Calibri"/>
      <family val="2"/>
      <scheme val="minor"/>
    </font>
    <font>
      <u/>
      <sz val="10"/>
      <color rgb="FF0000FF"/>
      <name val="Arial"/>
      <family val="2"/>
    </font>
    <font>
      <sz val="10"/>
      <color theme="0"/>
      <name val="Arial"/>
      <family val="2"/>
    </font>
    <font>
      <b/>
      <sz val="10"/>
      <name val="Tahoma"/>
      <family val="2"/>
    </font>
    <font>
      <sz val="10"/>
      <name val="Tahoma"/>
      <family val="2"/>
    </font>
    <font>
      <b/>
      <sz val="11"/>
      <color rgb="FF222222"/>
      <name val="Arial"/>
      <family val="2"/>
    </font>
    <font>
      <b/>
      <sz val="10"/>
      <color rgb="FF222222"/>
      <name val="Arial"/>
      <family val="2"/>
    </font>
    <font>
      <sz val="10"/>
      <color rgb="FF222222"/>
      <name val="Arial"/>
      <family val="2"/>
    </font>
    <font>
      <sz val="11"/>
      <color rgb="FF222222"/>
      <name val="Arial"/>
      <family val="2"/>
    </font>
    <font>
      <b/>
      <sz val="9"/>
      <color rgb="FFFF0000"/>
      <name val="Arial"/>
      <family val="2"/>
    </font>
    <font>
      <sz val="11"/>
      <name val="Calibri"/>
      <family val="2"/>
      <scheme val="minor"/>
    </font>
    <font>
      <sz val="12"/>
      <color theme="0"/>
      <name val="Arial"/>
      <family val="2"/>
    </font>
    <font>
      <b/>
      <u/>
      <sz val="10"/>
      <name val="Arial"/>
      <family val="2"/>
    </font>
    <font>
      <sz val="11"/>
      <color rgb="FF000000"/>
      <name val="Calibri"/>
      <family val="2"/>
    </font>
    <font>
      <sz val="10"/>
      <color rgb="FF000000"/>
      <name val="Tahoma"/>
      <family val="2"/>
    </font>
    <font>
      <sz val="10"/>
      <color rgb="FF222222"/>
      <name val="Tahoma"/>
      <family val="2"/>
    </font>
    <font>
      <sz val="9"/>
      <color rgb="FF000000"/>
      <name val="Arial"/>
      <family val="2"/>
    </font>
    <font>
      <sz val="10"/>
      <color rgb="FF000000"/>
      <name val="Arial"/>
      <family val="2"/>
    </font>
    <font>
      <sz val="10"/>
      <name val="Arial"/>
      <family val="2"/>
    </font>
  </fonts>
  <fills count="53">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indexed="8"/>
        <bgColor indexed="64"/>
      </patternFill>
    </fill>
    <fill>
      <patternFill patternType="solid">
        <fgColor indexed="22"/>
      </patternFill>
    </fill>
    <fill>
      <patternFill patternType="solid">
        <fgColor indexed="55"/>
      </patternFill>
    </fill>
    <fill>
      <patternFill patternType="solid">
        <fgColor indexed="26"/>
      </patternFill>
    </fill>
    <fill>
      <patternFill patternType="solid">
        <fgColor indexed="10"/>
        <bgColor indexed="64"/>
      </patternFill>
    </fill>
    <fill>
      <patternFill patternType="solid">
        <fgColor indexed="43"/>
      </patternFill>
    </fill>
    <fill>
      <patternFill patternType="solid">
        <fgColor indexed="43"/>
        <bgColor indexed="64"/>
      </patternFill>
    </fill>
    <fill>
      <patternFill patternType="solid">
        <fgColor indexed="50"/>
      </patternFill>
    </fill>
    <fill>
      <patternFill patternType="lightUp">
        <fgColor indexed="48"/>
        <bgColor indexed="51"/>
      </patternFill>
    </fill>
    <fill>
      <patternFill patternType="solid">
        <fgColor indexed="54"/>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13"/>
        <bgColor indexed="40"/>
      </patternFill>
    </fill>
    <fill>
      <patternFill patternType="solid">
        <fgColor indexed="13"/>
        <bgColor indexed="13"/>
      </patternFill>
    </fill>
    <fill>
      <patternFill patternType="solid">
        <fgColor indexed="9"/>
      </patternFill>
    </fill>
    <fill>
      <patternFill patternType="solid">
        <fgColor indexed="9"/>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2"/>
        <bgColor indexed="64"/>
      </patternFill>
    </fill>
    <fill>
      <patternFill patternType="solid">
        <fgColor rgb="FFFFC000"/>
        <bgColor indexed="64"/>
      </patternFill>
    </fill>
    <fill>
      <patternFill patternType="solid">
        <fgColor theme="4" tint="-0.249977111117893"/>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9" tint="-0.249977111117893"/>
        <bgColor indexed="64"/>
      </patternFill>
    </fill>
    <fill>
      <patternFill patternType="solid">
        <fgColor theme="7" tint="0.79998168889431442"/>
        <bgColor indexed="64"/>
      </patternFill>
    </fill>
  </fills>
  <borders count="129">
    <border>
      <left/>
      <right/>
      <top/>
      <bottom/>
      <diagonal/>
    </border>
    <border>
      <left/>
      <right/>
      <top/>
      <bottom style="hair">
        <color indexed="22"/>
      </bottom>
      <diagonal/>
    </border>
    <border>
      <left style="thin">
        <color indexed="9"/>
      </left>
      <right style="thin">
        <color indexed="9"/>
      </right>
      <top style="thin">
        <color indexed="9"/>
      </top>
      <bottom style="thin">
        <color indexed="9"/>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medium">
        <color indexed="64"/>
      </left>
      <right/>
      <top/>
      <bottom/>
      <diagonal/>
    </border>
    <border>
      <left/>
      <right style="medium">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right style="thin">
        <color theme="3" tint="0.79998168889431442"/>
      </right>
      <top style="thin">
        <color theme="3" tint="0.79998168889431442"/>
      </top>
      <bottom style="thin">
        <color theme="3" tint="0.79998168889431442"/>
      </bottom>
      <diagonal/>
    </border>
    <border>
      <left style="thin">
        <color theme="3" tint="0.79998168889431442"/>
      </left>
      <right style="thin">
        <color theme="3" tint="0.79998168889431442"/>
      </right>
      <top style="thin">
        <color theme="3" tint="0.79998168889431442"/>
      </top>
      <bottom/>
      <diagonal/>
    </border>
    <border>
      <left style="thin">
        <color theme="3" tint="0.79998168889431442"/>
      </left>
      <right style="thin">
        <color theme="3" tint="0.79998168889431442"/>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diagonal/>
    </border>
    <border>
      <left/>
      <right/>
      <top style="thin">
        <color theme="3" tint="0.79998168889431442"/>
      </top>
      <bottom style="thin">
        <color theme="3" tint="0.79998168889431442"/>
      </bottom>
      <diagonal/>
    </border>
    <border>
      <left style="thin">
        <color theme="3" tint="0.79998168889431442"/>
      </left>
      <right style="thin">
        <color theme="3" tint="0.79998168889431442"/>
      </right>
      <top/>
      <bottom style="thin">
        <color theme="3" tint="0.79998168889431442"/>
      </bottom>
      <diagonal/>
    </border>
    <border>
      <left style="medium">
        <color auto="1"/>
      </left>
      <right style="thin">
        <color theme="3" tint="0.79998168889431442"/>
      </right>
      <top style="medium">
        <color auto="1"/>
      </top>
      <bottom style="thin">
        <color theme="3" tint="0.79998168889431442"/>
      </bottom>
      <diagonal/>
    </border>
    <border>
      <left style="thin">
        <color theme="3" tint="0.79998168889431442"/>
      </left>
      <right style="thin">
        <color theme="3" tint="0.79998168889431442"/>
      </right>
      <top style="medium">
        <color auto="1"/>
      </top>
      <bottom style="thin">
        <color theme="3" tint="0.79998168889431442"/>
      </bottom>
      <diagonal/>
    </border>
    <border>
      <left style="thin">
        <color theme="3" tint="0.79998168889431442"/>
      </left>
      <right style="medium">
        <color auto="1"/>
      </right>
      <top style="medium">
        <color auto="1"/>
      </top>
      <bottom style="thin">
        <color theme="3" tint="0.79998168889431442"/>
      </bottom>
      <diagonal/>
    </border>
    <border>
      <left style="medium">
        <color auto="1"/>
      </left>
      <right style="medium">
        <color auto="1"/>
      </right>
      <top style="medium">
        <color auto="1"/>
      </top>
      <bottom style="thin">
        <color theme="3" tint="0.79998168889431442"/>
      </bottom>
      <diagonal/>
    </border>
    <border>
      <left style="medium">
        <color auto="1"/>
      </left>
      <right style="medium">
        <color auto="1"/>
      </right>
      <top style="thin">
        <color theme="3" tint="0.79998168889431442"/>
      </top>
      <bottom style="thin">
        <color theme="3" tint="0.79998168889431442"/>
      </bottom>
      <diagonal/>
    </border>
    <border>
      <left style="medium">
        <color auto="1"/>
      </left>
      <right style="medium">
        <color auto="1"/>
      </right>
      <top style="thin">
        <color theme="3" tint="0.79998168889431442"/>
      </top>
      <bottom style="medium">
        <color auto="1"/>
      </bottom>
      <diagonal/>
    </border>
    <border>
      <left style="medium">
        <color auto="1"/>
      </left>
      <right style="thin">
        <color theme="3" tint="0.79998168889431442"/>
      </right>
      <top style="medium">
        <color auto="1"/>
      </top>
      <bottom style="medium">
        <color auto="1"/>
      </bottom>
      <diagonal/>
    </border>
    <border>
      <left style="thin">
        <color theme="3" tint="0.79998168889431442"/>
      </left>
      <right style="thin">
        <color theme="3" tint="0.79998168889431442"/>
      </right>
      <top style="medium">
        <color auto="1"/>
      </top>
      <bottom style="medium">
        <color auto="1"/>
      </bottom>
      <diagonal/>
    </border>
    <border>
      <left style="thin">
        <color theme="3" tint="0.79998168889431442"/>
      </left>
      <right style="medium">
        <color auto="1"/>
      </right>
      <top style="medium">
        <color auto="1"/>
      </top>
      <bottom style="medium">
        <color auto="1"/>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theme="3" tint="0.79998168889431442"/>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auto="1"/>
      </right>
      <top style="medium">
        <color indexed="64"/>
      </top>
      <bottom/>
      <diagonal/>
    </border>
    <border>
      <left style="thin">
        <color auto="1"/>
      </left>
      <right style="medium">
        <color indexed="64"/>
      </right>
      <top style="medium">
        <color indexed="64"/>
      </top>
      <bottom/>
      <diagonal/>
    </border>
    <border>
      <left style="thin">
        <color indexed="64"/>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theme="3" tint="0.79998168889431442"/>
      </right>
      <top/>
      <bottom style="thin">
        <color theme="3" tint="0.79998168889431442"/>
      </bottom>
      <diagonal/>
    </border>
    <border>
      <left/>
      <right/>
      <top/>
      <bottom style="medium">
        <color indexed="64"/>
      </bottom>
      <diagonal/>
    </border>
    <border>
      <left/>
      <right style="thin">
        <color theme="3" tint="0.79998168889431442"/>
      </right>
      <top style="medium">
        <color auto="1"/>
      </top>
      <bottom style="medium">
        <color auto="1"/>
      </bottom>
      <diagonal/>
    </border>
    <border>
      <left style="thin">
        <color theme="3" tint="0.79998168889431442"/>
      </left>
      <right/>
      <top style="medium">
        <color auto="1"/>
      </top>
      <bottom style="medium">
        <color auto="1"/>
      </bottom>
      <diagonal/>
    </border>
    <border>
      <left style="medium">
        <color indexed="64"/>
      </left>
      <right style="medium">
        <color indexed="64"/>
      </right>
      <top style="medium">
        <color indexed="64"/>
      </top>
      <bottom style="medium">
        <color indexed="64"/>
      </bottom>
      <diagonal/>
    </border>
    <border>
      <left style="thin">
        <color theme="3" tint="0.79998168889431442"/>
      </left>
      <right/>
      <top/>
      <bottom style="thin">
        <color theme="3" tint="0.79998168889431442"/>
      </bottom>
      <diagonal/>
    </border>
    <border>
      <left/>
      <right style="thin">
        <color theme="3" tint="0.79998168889431442"/>
      </right>
      <top/>
      <bottom style="medium">
        <color auto="1"/>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auto="1"/>
      </left>
      <right style="thin">
        <color auto="1"/>
      </right>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thin">
        <color theme="4" tint="0.79998168889431442"/>
      </left>
      <right style="thin">
        <color theme="4" tint="0.79998168889431442"/>
      </right>
      <top style="thin">
        <color theme="4" tint="0.79998168889431442"/>
      </top>
      <bottom style="thin">
        <color theme="4" tint="0.79998168889431442"/>
      </bottom>
      <diagonal/>
    </border>
    <border>
      <left style="thin">
        <color theme="3" tint="0.79998168889431442"/>
      </left>
      <right/>
      <top style="thin">
        <color theme="3" tint="0.79998168889431442"/>
      </top>
      <bottom style="thin">
        <color theme="3" tint="0.79998168889431442"/>
      </bottom>
      <diagonal/>
    </border>
    <border>
      <left style="medium">
        <color indexed="64"/>
      </left>
      <right/>
      <top style="thin">
        <color indexed="64"/>
      </top>
      <bottom style="thin">
        <color indexed="64"/>
      </bottom>
      <diagonal/>
    </border>
    <border>
      <left style="thin">
        <color theme="4" tint="0.79998168889431442"/>
      </left>
      <right/>
      <top style="thin">
        <color theme="4" tint="0.79998168889431442"/>
      </top>
      <bottom style="thin">
        <color theme="4" tint="0.79998168889431442"/>
      </bottom>
      <diagonal/>
    </border>
    <border>
      <left/>
      <right style="thin">
        <color theme="4" tint="0.79998168889431442"/>
      </right>
      <top style="thin">
        <color theme="4" tint="0.79998168889431442"/>
      </top>
      <bottom style="thin">
        <color theme="4" tint="0.79998168889431442"/>
      </bottom>
      <diagonal/>
    </border>
    <border>
      <left style="thin">
        <color theme="4" tint="0.79998168889431442"/>
      </left>
      <right style="thin">
        <color theme="4" tint="0.79998168889431442"/>
      </right>
      <top style="thin">
        <color theme="4" tint="0.79998168889431442"/>
      </top>
      <bottom/>
      <diagonal/>
    </border>
    <border>
      <left style="thin">
        <color theme="4" tint="0.79998168889431442"/>
      </left>
      <right style="thin">
        <color theme="4" tint="0.79998168889431442"/>
      </right>
      <top/>
      <bottom style="thin">
        <color theme="4" tint="0.79998168889431442"/>
      </bottom>
      <diagonal/>
    </border>
    <border>
      <left style="thin">
        <color theme="0"/>
      </left>
      <right style="thin">
        <color theme="0"/>
      </right>
      <top style="thin">
        <color theme="0"/>
      </top>
      <bottom style="thin">
        <color theme="0"/>
      </bottom>
      <diagonal/>
    </border>
    <border>
      <left style="thin">
        <color auto="1"/>
      </left>
      <right/>
      <top/>
      <bottom style="medium">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medium">
        <color auto="1"/>
      </left>
      <right style="medium">
        <color auto="1"/>
      </right>
      <top style="medium">
        <color indexed="64"/>
      </top>
      <bottom style="thin">
        <color theme="0" tint="-0.14996795556505021"/>
      </bottom>
      <diagonal/>
    </border>
    <border>
      <left style="medium">
        <color auto="1"/>
      </left>
      <right style="medium">
        <color auto="1"/>
      </right>
      <top style="thin">
        <color theme="0" tint="-0.14996795556505021"/>
      </top>
      <bottom style="thin">
        <color theme="0" tint="-0.14996795556505021"/>
      </bottom>
      <diagonal/>
    </border>
    <border>
      <left style="medium">
        <color auto="1"/>
      </left>
      <right style="medium">
        <color auto="1"/>
      </right>
      <top style="thin">
        <color theme="0" tint="-0.14996795556505021"/>
      </top>
      <bottom style="thin">
        <color theme="2" tint="-9.9948118533890809E-2"/>
      </bottom>
      <diagonal/>
    </border>
    <border>
      <left/>
      <right style="medium">
        <color indexed="64"/>
      </right>
      <top style="medium">
        <color indexed="64"/>
      </top>
      <bottom style="thin">
        <color theme="0" tint="-0.14996795556505021"/>
      </bottom>
      <diagonal/>
    </border>
    <border>
      <left/>
      <right style="medium">
        <color indexed="64"/>
      </right>
      <top style="thin">
        <color theme="0" tint="-0.14996795556505021"/>
      </top>
      <bottom style="thin">
        <color theme="0" tint="-0.14996795556505021"/>
      </bottom>
      <diagonal/>
    </border>
    <border>
      <left style="medium">
        <color indexed="64"/>
      </left>
      <right style="medium">
        <color indexed="64"/>
      </right>
      <top style="thin">
        <color theme="0" tint="-0.14996795556505021"/>
      </top>
      <bottom style="medium">
        <color indexed="64"/>
      </bottom>
      <diagonal/>
    </border>
    <border>
      <left style="thin">
        <color auto="1"/>
      </left>
      <right style="medium">
        <color indexed="64"/>
      </right>
      <top style="medium">
        <color indexed="64"/>
      </top>
      <bottom style="thin">
        <color theme="0" tint="-0.14996795556505021"/>
      </bottom>
      <diagonal/>
    </border>
    <border>
      <left style="thin">
        <color indexed="64"/>
      </left>
      <right style="medium">
        <color indexed="64"/>
      </right>
      <top style="thin">
        <color theme="0" tint="-0.14996795556505021"/>
      </top>
      <bottom style="thin">
        <color theme="0" tint="-0.14996795556505021"/>
      </bottom>
      <diagonal/>
    </border>
    <border>
      <left style="medium">
        <color indexed="64"/>
      </left>
      <right style="medium">
        <color indexed="64"/>
      </right>
      <top style="thin">
        <color theme="0" tint="-0.14996795556505021"/>
      </top>
      <bottom/>
      <diagonal/>
    </border>
    <border>
      <left style="medium">
        <color indexed="64"/>
      </left>
      <right style="medium">
        <color indexed="64"/>
      </right>
      <top/>
      <bottom style="thin">
        <color theme="0" tint="-0.14996795556505021"/>
      </bottom>
      <diagonal/>
    </border>
    <border>
      <left style="medium">
        <color auto="1"/>
      </left>
      <right style="medium">
        <color auto="1"/>
      </right>
      <top style="thin">
        <color theme="3" tint="0.79995117038483843"/>
      </top>
      <bottom/>
      <diagonal/>
    </border>
    <border>
      <left style="medium">
        <color indexed="64"/>
      </left>
      <right style="medium">
        <color indexed="64"/>
      </right>
      <top style="thin">
        <color theme="4" tint="0.79998168889431442"/>
      </top>
      <bottom style="medium">
        <color indexed="64"/>
      </bottom>
      <diagonal/>
    </border>
    <border>
      <left style="medium">
        <color indexed="64"/>
      </left>
      <right style="medium">
        <color indexed="64"/>
      </right>
      <top style="medium">
        <color theme="4" tint="0.79998168889431442"/>
      </top>
      <bottom style="medium">
        <color indexed="64"/>
      </bottom>
      <diagonal/>
    </border>
    <border>
      <left/>
      <right style="medium">
        <color indexed="64"/>
      </right>
      <top style="thin">
        <color theme="0" tint="-0.14996795556505021"/>
      </top>
      <bottom/>
      <diagonal/>
    </border>
    <border>
      <left style="medium">
        <color indexed="64"/>
      </left>
      <right style="medium">
        <color indexed="64"/>
      </right>
      <top/>
      <bottom style="thin">
        <color theme="4" tint="0.79998168889431442"/>
      </bottom>
      <diagonal/>
    </border>
    <border>
      <left/>
      <right/>
      <top/>
      <bottom style="medium">
        <color indexed="30"/>
      </bottom>
      <diagonal/>
    </border>
    <border>
      <left style="thin">
        <color auto="1"/>
      </left>
      <right/>
      <top/>
      <bottom/>
      <diagonal/>
    </border>
    <border>
      <left style="medium">
        <color indexed="64"/>
      </left>
      <right style="medium">
        <color indexed="64"/>
      </right>
      <top/>
      <bottom style="thin">
        <color theme="3" tint="0.79995117038483843"/>
      </bottom>
      <diagonal/>
    </border>
    <border>
      <left style="thin">
        <color theme="3" tint="0.79995117038483843"/>
      </left>
      <right style="thin">
        <color theme="3" tint="0.79995117038483843"/>
      </right>
      <top style="thin">
        <color theme="3" tint="0.79995117038483843"/>
      </top>
      <bottom style="thin">
        <color theme="3" tint="0.79995117038483843"/>
      </bottom>
      <diagonal/>
    </border>
    <border>
      <left/>
      <right style="medium">
        <color indexed="64"/>
      </right>
      <top/>
      <bottom style="medium">
        <color indexed="64"/>
      </bottom>
      <diagonal/>
    </border>
    <border>
      <left style="medium">
        <color auto="1"/>
      </left>
      <right style="medium">
        <color auto="1"/>
      </right>
      <top style="thin">
        <color theme="2" tint="-9.9948118533890809E-2"/>
      </top>
      <bottom style="thin">
        <color theme="4" tint="0.59996337778862885"/>
      </bottom>
      <diagonal/>
    </border>
    <border>
      <left/>
      <right/>
      <top/>
      <bottom style="medium">
        <color indexed="64"/>
      </bottom>
      <diagonal/>
    </border>
    <border>
      <left style="thin">
        <color theme="3" tint="0.79998168889431442"/>
      </left>
      <right/>
      <top/>
      <bottom/>
      <diagonal/>
    </border>
  </borders>
  <cellStyleXfs count="2982">
    <xf numFmtId="0" fontId="0" fillId="0" borderId="0"/>
    <xf numFmtId="0" fontId="11" fillId="0" borderId="0"/>
    <xf numFmtId="0" fontId="11" fillId="0" borderId="0"/>
    <xf numFmtId="0" fontId="11" fillId="0" borderId="0"/>
    <xf numFmtId="0" fontId="1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21" fillId="0" borderId="0"/>
    <xf numFmtId="0" fontId="21" fillId="0" borderId="0"/>
    <xf numFmtId="0" fontId="13" fillId="0" borderId="0"/>
    <xf numFmtId="0" fontId="13" fillId="0" borderId="0"/>
    <xf numFmtId="0" fontId="13" fillId="0" borderId="0"/>
    <xf numFmtId="0" fontId="11" fillId="0" borderId="0"/>
    <xf numFmtId="0" fontId="21" fillId="0" borderId="0"/>
    <xf numFmtId="0" fontId="21"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21" fillId="0" borderId="0"/>
    <xf numFmtId="0" fontId="13" fillId="0" borderId="0"/>
    <xf numFmtId="0" fontId="13" fillId="0" borderId="0"/>
    <xf numFmtId="0" fontId="13" fillId="0" borderId="0"/>
    <xf numFmtId="0" fontId="21" fillId="0" borderId="0"/>
    <xf numFmtId="0" fontId="13" fillId="0" borderId="0"/>
    <xf numFmtId="0" fontId="13" fillId="0" borderId="0"/>
    <xf numFmtId="0" fontId="21"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179" fontId="11" fillId="0" borderId="0" applyFont="0" applyFill="0" applyBorder="0" applyAlignment="0" applyProtection="0"/>
    <xf numFmtId="0" fontId="21"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179" fontId="11" fillId="0" borderId="0" applyFont="0" applyFill="0" applyBorder="0" applyAlignment="0" applyProtection="0"/>
    <xf numFmtId="0" fontId="21"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21"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21" fillId="0" borderId="0"/>
    <xf numFmtId="0" fontId="21" fillId="0" borderId="0"/>
    <xf numFmtId="0" fontId="13" fillId="0" borderId="0"/>
    <xf numFmtId="0" fontId="13" fillId="0" borderId="0"/>
    <xf numFmtId="0" fontId="8"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8" fillId="2" borderId="0"/>
    <xf numFmtId="0" fontId="11" fillId="2" borderId="0"/>
    <xf numFmtId="0" fontId="11" fillId="2" borderId="0"/>
    <xf numFmtId="0" fontId="8" fillId="2" borderId="0"/>
    <xf numFmtId="0" fontId="11" fillId="2" borderId="0"/>
    <xf numFmtId="0" fontId="8"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1" fillId="2" borderId="0"/>
    <xf numFmtId="0" fontId="13" fillId="0" borderId="0"/>
    <xf numFmtId="0" fontId="22" fillId="0" borderId="0"/>
    <xf numFmtId="0" fontId="21"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4" fontId="11" fillId="3" borderId="1"/>
    <xf numFmtId="174" fontId="11" fillId="3" borderId="1"/>
    <xf numFmtId="174" fontId="11" fillId="3" borderId="1"/>
    <xf numFmtId="174" fontId="11" fillId="3" borderId="1"/>
    <xf numFmtId="174" fontId="11" fillId="3" borderId="1"/>
    <xf numFmtId="174" fontId="11" fillId="3" borderId="1"/>
    <xf numFmtId="174" fontId="11" fillId="3" borderId="1"/>
    <xf numFmtId="174" fontId="11" fillId="3" borderId="1"/>
    <xf numFmtId="174" fontId="11" fillId="3" borderId="1"/>
    <xf numFmtId="174" fontId="11" fillId="3" borderId="1"/>
    <xf numFmtId="174" fontId="11" fillId="3" borderId="1"/>
    <xf numFmtId="174" fontId="11" fillId="3" borderId="1"/>
    <xf numFmtId="174" fontId="11" fillId="3" borderId="1"/>
    <xf numFmtId="174" fontId="11" fillId="3" borderId="1"/>
    <xf numFmtId="174" fontId="11" fillId="3" borderId="1"/>
    <xf numFmtId="174" fontId="11" fillId="3" borderId="1"/>
    <xf numFmtId="174" fontId="11" fillId="3" borderId="1"/>
    <xf numFmtId="174" fontId="11" fillId="3" borderId="1"/>
    <xf numFmtId="174" fontId="11" fillId="3" borderId="1"/>
    <xf numFmtId="174" fontId="11" fillId="3" borderId="1"/>
    <xf numFmtId="174" fontId="11" fillId="3" borderId="1"/>
    <xf numFmtId="174" fontId="11" fillId="3" borderId="1"/>
    <xf numFmtId="174" fontId="11" fillId="3" borderId="1"/>
    <xf numFmtId="174" fontId="11" fillId="3" borderId="1"/>
    <xf numFmtId="174" fontId="11" fillId="3" borderId="1"/>
    <xf numFmtId="174" fontId="11" fillId="3" borderId="1"/>
    <xf numFmtId="174" fontId="11" fillId="3" borderId="1"/>
    <xf numFmtId="174" fontId="11" fillId="3" borderId="1"/>
    <xf numFmtId="174" fontId="11" fillId="3" borderId="1"/>
    <xf numFmtId="174" fontId="11" fillId="3" borderId="1"/>
    <xf numFmtId="174" fontId="11" fillId="3" borderId="1"/>
    <xf numFmtId="174" fontId="11" fillId="3" borderId="1"/>
    <xf numFmtId="174" fontId="11" fillId="3" borderId="1"/>
    <xf numFmtId="174" fontId="11" fillId="3" borderId="1"/>
    <xf numFmtId="174" fontId="11" fillId="3" borderId="1"/>
    <xf numFmtId="174" fontId="11" fillId="3" borderId="1"/>
    <xf numFmtId="0" fontId="22" fillId="0" borderId="0"/>
    <xf numFmtId="0" fontId="13" fillId="0" borderId="0"/>
    <xf numFmtId="0" fontId="13" fillId="0" borderId="0"/>
    <xf numFmtId="0" fontId="13" fillId="0" borderId="0"/>
    <xf numFmtId="0" fontId="13" fillId="0" borderId="0"/>
    <xf numFmtId="0" fontId="13" fillId="0" borderId="0"/>
    <xf numFmtId="0" fontId="2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23" fillId="0" borderId="0"/>
    <xf numFmtId="0" fontId="24" fillId="0" borderId="0"/>
    <xf numFmtId="0" fontId="24" fillId="0" borderId="0"/>
    <xf numFmtId="0" fontId="24" fillId="0" borderId="0"/>
    <xf numFmtId="0" fontId="24" fillId="0" borderId="0"/>
    <xf numFmtId="0" fontId="23"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0" fontId="23" fillId="0" borderId="0"/>
    <xf numFmtId="0" fontId="24" fillId="0" borderId="0"/>
    <xf numFmtId="0" fontId="24" fillId="0" borderId="0"/>
    <xf numFmtId="0" fontId="24" fillId="0" borderId="0"/>
    <xf numFmtId="0" fontId="24" fillId="0" borderId="0"/>
    <xf numFmtId="0" fontId="23"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0" fontId="23" fillId="0" borderId="0"/>
    <xf numFmtId="0" fontId="24" fillId="0" borderId="0"/>
    <xf numFmtId="0" fontId="24" fillId="0" borderId="0"/>
    <xf numFmtId="0" fontId="24" fillId="0" borderId="0"/>
    <xf numFmtId="0" fontId="24" fillId="0" borderId="0"/>
    <xf numFmtId="0" fontId="23"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0" fontId="23" fillId="0" borderId="0"/>
    <xf numFmtId="0" fontId="24" fillId="0" borderId="0"/>
    <xf numFmtId="0" fontId="24" fillId="0" borderId="0"/>
    <xf numFmtId="0" fontId="24" fillId="0" borderId="0"/>
    <xf numFmtId="0" fontId="24" fillId="0" borderId="0"/>
    <xf numFmtId="0" fontId="23" fillId="0" borderId="0"/>
    <xf numFmtId="0" fontId="11" fillId="0" borderId="0"/>
    <xf numFmtId="0" fontId="11" fillId="0" borderId="0"/>
    <xf numFmtId="0" fontId="11" fillId="0" borderId="0"/>
    <xf numFmtId="0" fontId="11" fillId="0" borderId="0"/>
    <xf numFmtId="0" fontId="24" fillId="0" borderId="0"/>
    <xf numFmtId="0" fontId="11" fillId="0" borderId="0"/>
    <xf numFmtId="0" fontId="11" fillId="0" borderId="0"/>
    <xf numFmtId="0" fontId="13" fillId="0" borderId="0"/>
    <xf numFmtId="0" fontId="13" fillId="0" borderId="0"/>
    <xf numFmtId="0" fontId="13" fillId="0" borderId="0"/>
    <xf numFmtId="0" fontId="21"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11" fillId="0" borderId="0"/>
    <xf numFmtId="0" fontId="11"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8"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8" fillId="0" borderId="0"/>
    <xf numFmtId="0" fontId="11" fillId="0" borderId="0"/>
    <xf numFmtId="0" fontId="11" fillId="0" borderId="0"/>
    <xf numFmtId="0" fontId="1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49" fontId="11" fillId="0" borderId="0">
      <alignment horizontal="left" indent="1"/>
    </xf>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25" fillId="14"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6" fillId="0" borderId="0" applyNumberFormat="0" applyFill="0" applyBorder="0" applyAlignment="0" applyProtection="0"/>
    <xf numFmtId="0" fontId="12" fillId="21" borderId="2">
      <alignment vertical="top" wrapText="1"/>
      <protection hidden="1"/>
    </xf>
    <xf numFmtId="0" fontId="27" fillId="0" borderId="0" applyNumberFormat="0" applyFill="0" applyBorder="0" applyAlignment="0" applyProtection="0">
      <alignment vertical="top"/>
      <protection locked="0"/>
    </xf>
    <xf numFmtId="0" fontId="28" fillId="21" borderId="2">
      <alignment vertical="top" wrapText="1"/>
      <protection hidden="1"/>
    </xf>
    <xf numFmtId="180" fontId="11" fillId="0" borderId="0" applyFill="0" applyBorder="0" applyAlignment="0"/>
    <xf numFmtId="0" fontId="29" fillId="22" borderId="3" applyNumberFormat="0" applyAlignment="0" applyProtection="0"/>
    <xf numFmtId="0" fontId="30" fillId="0" borderId="4" applyNumberFormat="0" applyFill="0" applyAlignment="0" applyProtection="0"/>
    <xf numFmtId="187" fontId="31" fillId="0" borderId="0"/>
    <xf numFmtId="187" fontId="31" fillId="0" borderId="0"/>
    <xf numFmtId="187" fontId="31" fillId="0" borderId="0"/>
    <xf numFmtId="187" fontId="31" fillId="0" borderId="0"/>
    <xf numFmtId="187" fontId="31" fillId="0" borderId="0"/>
    <xf numFmtId="187" fontId="31" fillId="0" borderId="0"/>
    <xf numFmtId="187" fontId="31" fillId="0" borderId="0"/>
    <xf numFmtId="187" fontId="31" fillId="0" borderId="0"/>
    <xf numFmtId="38" fontId="14" fillId="0" borderId="0" applyFont="0" applyFill="0" applyBorder="0" applyAlignment="0" applyProtection="0"/>
    <xf numFmtId="38" fontId="32" fillId="0" borderId="0" applyFont="0" applyFill="0" applyBorder="0" applyAlignment="0" applyProtection="0"/>
    <xf numFmtId="168" fontId="15" fillId="0" borderId="0" applyFont="0" applyFill="0" applyBorder="0" applyAlignment="0" applyProtection="0"/>
    <xf numFmtId="168" fontId="11" fillId="0" borderId="0" applyFont="0" applyFill="0" applyBorder="0" applyAlignment="0" applyProtection="0"/>
    <xf numFmtId="40" fontId="14" fillId="0" borderId="0" applyFont="0" applyFill="0" applyBorder="0" applyAlignment="0" applyProtection="0"/>
    <xf numFmtId="40" fontId="32" fillId="0" borderId="0" applyFont="0" applyFill="0" applyBorder="0" applyAlignment="0" applyProtection="0"/>
    <xf numFmtId="0" fontId="11" fillId="24" borderId="6" applyNumberFormat="0" applyFont="0" applyAlignment="0" applyProtection="0"/>
    <xf numFmtId="164" fontId="32" fillId="0" borderId="0" applyFont="0" applyFill="0" applyBorder="0" applyAlignment="0" applyProtection="0"/>
    <xf numFmtId="167" fontId="15" fillId="0" borderId="0" applyFont="0" applyFill="0" applyBorder="0" applyAlignment="0" applyProtection="0"/>
    <xf numFmtId="167" fontId="11" fillId="0" borderId="0" applyFont="0" applyFill="0" applyBorder="0" applyAlignment="0" applyProtection="0"/>
    <xf numFmtId="169" fontId="14" fillId="0" borderId="0" applyFont="0" applyFill="0" applyBorder="0" applyAlignment="0" applyProtection="0"/>
    <xf numFmtId="167" fontId="15" fillId="0" borderId="0" applyFont="0" applyFill="0" applyBorder="0" applyAlignment="0" applyProtection="0"/>
    <xf numFmtId="167" fontId="11" fillId="0" borderId="0" applyFont="0" applyFill="0" applyBorder="0" applyAlignment="0" applyProtection="0"/>
    <xf numFmtId="165" fontId="32" fillId="0" borderId="0" applyFont="0" applyFill="0" applyBorder="0" applyAlignment="0" applyProtection="0"/>
    <xf numFmtId="41" fontId="11" fillId="0" borderId="0" applyFont="0" applyFill="0" applyBorder="0" applyAlignment="0" applyProtection="0"/>
    <xf numFmtId="172" fontId="33" fillId="0" borderId="0"/>
    <xf numFmtId="38" fontId="32" fillId="0" borderId="0" applyFont="0" applyFill="0" applyBorder="0" applyAlignment="0" applyProtection="0"/>
    <xf numFmtId="40" fontId="32" fillId="0" borderId="0" applyFont="0" applyFill="0" applyBorder="0" applyAlignment="0" applyProtection="0"/>
    <xf numFmtId="0" fontId="11" fillId="0" borderId="0" applyNumberFormat="0" applyFont="0">
      <alignment vertical="center"/>
      <protection locked="0"/>
    </xf>
    <xf numFmtId="0" fontId="34" fillId="9" borderId="3" applyNumberFormat="0" applyAlignment="0" applyProtection="0"/>
    <xf numFmtId="175" fontId="12" fillId="25" borderId="2">
      <alignment vertical="top"/>
      <protection locked="0" hidden="1"/>
    </xf>
    <xf numFmtId="173" fontId="11" fillId="0" borderId="0" applyFont="0" applyFill="0" applyBorder="0" applyAlignment="0" applyProtection="0"/>
    <xf numFmtId="38" fontId="35" fillId="2" borderId="0" applyNumberFormat="0" applyBorder="0" applyAlignment="0" applyProtection="0"/>
    <xf numFmtId="0" fontId="9" fillId="0" borderId="7" applyNumberFormat="0" applyAlignment="0" applyProtection="0">
      <alignment horizontal="left" vertical="center"/>
    </xf>
    <xf numFmtId="0" fontId="9" fillId="0" borderId="8">
      <alignment horizontal="left" vertical="center"/>
    </xf>
    <xf numFmtId="10" fontId="35" fillId="3" borderId="12" applyNumberFormat="0" applyBorder="0" applyAlignment="0" applyProtection="0"/>
    <xf numFmtId="0" fontId="36" fillId="5" borderId="0" applyNumberFormat="0" applyBorder="0" applyAlignment="0" applyProtection="0"/>
    <xf numFmtId="0" fontId="37" fillId="21" borderId="2">
      <alignment vertical="top" wrapText="1"/>
      <protection hidden="1"/>
    </xf>
    <xf numFmtId="41" fontId="8" fillId="0" borderId="0" applyFont="0" applyFill="0" applyBorder="0" applyAlignment="0" applyProtection="0"/>
    <xf numFmtId="43" fontId="8" fillId="0" borderId="0" applyFont="0" applyFill="0" applyBorder="0" applyAlignment="0" applyProtection="0"/>
    <xf numFmtId="181" fontId="11" fillId="0" borderId="0" applyFont="0" applyFill="0" applyBorder="0" applyAlignment="0" applyProtection="0"/>
    <xf numFmtId="0" fontId="38" fillId="26" borderId="0" applyNumberFormat="0" applyBorder="0" applyAlignment="0" applyProtection="0"/>
    <xf numFmtId="0" fontId="39" fillId="0" borderId="0"/>
    <xf numFmtId="182" fontId="40" fillId="0" borderId="0"/>
    <xf numFmtId="0" fontId="41" fillId="0" borderId="0"/>
    <xf numFmtId="0" fontId="15" fillId="0" borderId="0"/>
    <xf numFmtId="0" fontId="14" fillId="0" borderId="0"/>
    <xf numFmtId="0" fontId="42" fillId="0" borderId="0"/>
    <xf numFmtId="0" fontId="11" fillId="0" borderId="0"/>
    <xf numFmtId="0" fontId="11" fillId="0" borderId="0"/>
    <xf numFmtId="0" fontId="11" fillId="0" borderId="0"/>
    <xf numFmtId="0" fontId="11" fillId="0" borderId="0"/>
    <xf numFmtId="0" fontId="41" fillId="0" borderId="0"/>
    <xf numFmtId="0" fontId="43" fillId="0" borderId="0"/>
    <xf numFmtId="0" fontId="44" fillId="0" borderId="0"/>
    <xf numFmtId="175" fontId="12" fillId="21" borderId="2">
      <alignment vertical="top"/>
      <protection hidden="1"/>
    </xf>
    <xf numFmtId="183" fontId="11" fillId="0" borderId="0" applyFont="0" applyFill="0" applyBorder="0" applyAlignment="0" applyProtection="0"/>
    <xf numFmtId="184" fontId="11" fillId="0" borderId="0" applyFont="0" applyFill="0" applyBorder="0" applyAlignment="0" applyProtection="0"/>
    <xf numFmtId="10" fontId="11" fillId="0" borderId="0" applyFont="0" applyFill="0" applyBorder="0" applyAlignment="0" applyProtection="0"/>
    <xf numFmtId="9" fontId="45" fillId="0" borderId="0" applyFont="0" applyFill="0" applyBorder="0" applyAlignment="0" applyProtection="0"/>
    <xf numFmtId="9" fontId="11" fillId="0" borderId="0" applyFont="0" applyFill="0" applyBorder="0" applyAlignment="0" applyProtection="0"/>
    <xf numFmtId="9" fontId="45" fillId="0" borderId="0" applyFont="0" applyFill="0" applyBorder="0" applyAlignment="0" applyProtection="0"/>
    <xf numFmtId="9" fontId="32" fillId="0" borderId="0" applyFont="0" applyFill="0" applyBorder="0" applyAlignment="0" applyProtection="0"/>
    <xf numFmtId="4" fontId="46" fillId="26" borderId="14" applyNumberFormat="0" applyProtection="0">
      <alignment vertical="center"/>
    </xf>
    <xf numFmtId="4" fontId="47" fillId="27" borderId="14" applyNumberFormat="0" applyProtection="0">
      <alignment vertical="center"/>
    </xf>
    <xf numFmtId="4" fontId="46" fillId="27" borderId="14" applyNumberFormat="0" applyProtection="0">
      <alignment horizontal="left" vertical="center" indent="1"/>
    </xf>
    <xf numFmtId="0" fontId="46" fillId="27" borderId="14" applyNumberFormat="0" applyProtection="0">
      <alignment horizontal="left" vertical="top" indent="1"/>
    </xf>
    <xf numFmtId="4" fontId="10" fillId="0" borderId="0" applyNumberFormat="0" applyProtection="0">
      <alignment horizontal="left" vertical="top" wrapText="1" indent="1"/>
    </xf>
    <xf numFmtId="4" fontId="17" fillId="5" borderId="14" applyNumberFormat="0" applyProtection="0">
      <alignment horizontal="right" vertical="center"/>
    </xf>
    <xf numFmtId="4" fontId="17" fillId="11" borderId="14" applyNumberFormat="0" applyProtection="0">
      <alignment horizontal="right" vertical="center"/>
    </xf>
    <xf numFmtId="4" fontId="17" fillId="18" borderId="14" applyNumberFormat="0" applyProtection="0">
      <alignment horizontal="right" vertical="center"/>
    </xf>
    <xf numFmtId="4" fontId="17" fillId="13" borderId="14" applyNumberFormat="0" applyProtection="0">
      <alignment horizontal="right" vertical="center"/>
    </xf>
    <xf numFmtId="4" fontId="17" fillId="17" borderId="14" applyNumberFormat="0" applyProtection="0">
      <alignment horizontal="right" vertical="center"/>
    </xf>
    <xf numFmtId="4" fontId="17" fillId="20" borderId="14" applyNumberFormat="0" applyProtection="0">
      <alignment horizontal="right" vertical="center"/>
    </xf>
    <xf numFmtId="4" fontId="17" fillId="19" borderId="14" applyNumberFormat="0" applyProtection="0">
      <alignment horizontal="right" vertical="center"/>
    </xf>
    <xf numFmtId="4" fontId="17" fillId="28" borderId="14" applyNumberFormat="0" applyProtection="0">
      <alignment horizontal="right" vertical="center"/>
    </xf>
    <xf numFmtId="4" fontId="17" fillId="12" borderId="14" applyNumberFormat="0" applyProtection="0">
      <alignment horizontal="right" vertical="center"/>
    </xf>
    <xf numFmtId="4" fontId="46" fillId="29" borderId="0" applyNumberFormat="0" applyProtection="0">
      <alignment horizontal="left" vertical="top" wrapText="1" indent="1"/>
    </xf>
    <xf numFmtId="4" fontId="17" fillId="13" borderId="0" applyNumberFormat="0" applyProtection="0">
      <alignment horizontal="left" vertical="top" wrapText="1" indent="1"/>
    </xf>
    <xf numFmtId="4" fontId="48" fillId="30" borderId="0" applyNumberFormat="0" applyProtection="0">
      <alignment horizontal="left" vertical="center" indent="1"/>
    </xf>
    <xf numFmtId="4" fontId="11" fillId="0" borderId="14" applyNumberFormat="0" applyProtection="0">
      <alignment horizontal="right" vertical="center"/>
    </xf>
    <xf numFmtId="4" fontId="11" fillId="13" borderId="0" applyNumberFormat="0" applyProtection="0">
      <alignment horizontal="left" vertical="top" wrapText="1" indent="1"/>
    </xf>
    <xf numFmtId="4" fontId="49" fillId="0" borderId="0" applyNumberFormat="0" applyProtection="0">
      <alignment horizontal="left" vertical="top" wrapText="1" indent="1"/>
    </xf>
    <xf numFmtId="0" fontId="8" fillId="30" borderId="14" applyNumberFormat="0" applyProtection="0">
      <alignment horizontal="left" vertical="center" indent="1"/>
    </xf>
    <xf numFmtId="0" fontId="8" fillId="30" borderId="14" applyNumberFormat="0" applyProtection="0">
      <alignment horizontal="left" vertical="top" indent="1"/>
    </xf>
    <xf numFmtId="0" fontId="8" fillId="31" borderId="14" applyNumberFormat="0" applyProtection="0">
      <alignment horizontal="left" vertical="center" indent="1"/>
    </xf>
    <xf numFmtId="0" fontId="8" fillId="31" borderId="14" applyNumberFormat="0" applyProtection="0">
      <alignment horizontal="left" vertical="top" indent="1"/>
    </xf>
    <xf numFmtId="0" fontId="8" fillId="32" borderId="14" applyNumberFormat="0" applyProtection="0">
      <alignment horizontal="left" vertical="center" indent="1"/>
    </xf>
    <xf numFmtId="0" fontId="8" fillId="32" borderId="14" applyNumberFormat="0" applyProtection="0">
      <alignment horizontal="left" vertical="top" indent="1"/>
    </xf>
    <xf numFmtId="0" fontId="8" fillId="33" borderId="14" applyNumberFormat="0" applyProtection="0">
      <alignment horizontal="left" vertical="center" indent="1"/>
    </xf>
    <xf numFmtId="0" fontId="8" fillId="33" borderId="14" applyNumberFormat="0" applyProtection="0">
      <alignment horizontal="left" vertical="top" indent="1"/>
    </xf>
    <xf numFmtId="4" fontId="17" fillId="3" borderId="14" applyNumberFormat="0" applyProtection="0">
      <alignment vertical="center"/>
    </xf>
    <xf numFmtId="4" fontId="50" fillId="3" borderId="14" applyNumberFormat="0" applyProtection="0">
      <alignment vertical="center"/>
    </xf>
    <xf numFmtId="4" fontId="17" fillId="3" borderId="14" applyNumberFormat="0" applyProtection="0">
      <alignment horizontal="left" vertical="center" indent="1"/>
    </xf>
    <xf numFmtId="0" fontId="17" fillId="3" borderId="14" applyNumberFormat="0" applyProtection="0">
      <alignment horizontal="left" vertical="top" indent="1"/>
    </xf>
    <xf numFmtId="4" fontId="18" fillId="0" borderId="14" applyNumberFormat="0" applyProtection="0">
      <alignment horizontal="right" vertical="center"/>
    </xf>
    <xf numFmtId="4" fontId="9" fillId="0" borderId="14" applyNumberFormat="0" applyProtection="0">
      <alignment horizontal="right" vertical="center"/>
    </xf>
    <xf numFmtId="4" fontId="9" fillId="34" borderId="14" applyNumberFormat="0" applyProtection="0">
      <alignment horizontal="left" vertical="center" indent="1"/>
    </xf>
    <xf numFmtId="0" fontId="9" fillId="35" borderId="14" applyNumberFormat="0" applyProtection="0">
      <alignment horizontal="left" vertical="top" indent="1"/>
    </xf>
    <xf numFmtId="4" fontId="51" fillId="36" borderId="0" applyNumberFormat="0" applyProtection="0">
      <alignment horizontal="left" vertical="center" indent="1"/>
    </xf>
    <xf numFmtId="4" fontId="11" fillId="0" borderId="14" applyNumberFormat="0" applyProtection="0">
      <alignment horizontal="right" vertical="center"/>
    </xf>
    <xf numFmtId="0" fontId="52" fillId="6" borderId="0" applyNumberFormat="0" applyBorder="0" applyAlignment="0" applyProtection="0"/>
    <xf numFmtId="0" fontId="12" fillId="25" borderId="2">
      <alignment vertical="top"/>
      <protection locked="0" hidden="1"/>
    </xf>
    <xf numFmtId="0" fontId="53" fillId="22" borderId="13" applyNumberFormat="0" applyAlignment="0" applyProtection="0"/>
    <xf numFmtId="3" fontId="35" fillId="0" borderId="0"/>
    <xf numFmtId="0" fontId="32" fillId="0" borderId="0"/>
    <xf numFmtId="0" fontId="54" fillId="0" borderId="0"/>
    <xf numFmtId="0" fontId="13" fillId="0" borderId="0"/>
    <xf numFmtId="3" fontId="55" fillId="0" borderId="0" applyNumberFormat="0"/>
    <xf numFmtId="0" fontId="56" fillId="0" borderId="0" applyNumberFormat="0" applyFill="0" applyBorder="0" applyAlignment="0" applyProtection="0"/>
    <xf numFmtId="0" fontId="16" fillId="0" borderId="0" applyNumberFormat="0" applyFill="0" applyBorder="0" applyAlignment="0" applyProtection="0"/>
    <xf numFmtId="0" fontId="57" fillId="0" borderId="9" applyNumberFormat="0" applyFill="0" applyAlignment="0" applyProtection="0"/>
    <xf numFmtId="0" fontId="58" fillId="0" borderId="10" applyNumberFormat="0" applyFill="0" applyAlignment="0" applyProtection="0"/>
    <xf numFmtId="0" fontId="59" fillId="0" borderId="11" applyNumberFormat="0" applyFill="0" applyAlignment="0" applyProtection="0"/>
    <xf numFmtId="0" fontId="59" fillId="0" borderId="0" applyNumberFormat="0" applyFill="0" applyBorder="0" applyAlignment="0" applyProtection="0"/>
    <xf numFmtId="0" fontId="55" fillId="0" borderId="8">
      <alignment horizontal="right" wrapText="1"/>
    </xf>
    <xf numFmtId="185" fontId="11" fillId="0" borderId="0" applyFont="0" applyFill="0" applyBorder="0" applyAlignment="0" applyProtection="0"/>
    <xf numFmtId="176" fontId="8" fillId="0" borderId="0" applyFont="0" applyFill="0" applyBorder="0" applyAlignment="0" applyProtection="0"/>
    <xf numFmtId="177" fontId="8" fillId="0" borderId="0" applyFont="0" applyFill="0" applyBorder="0" applyAlignment="0" applyProtection="0"/>
    <xf numFmtId="0" fontId="60" fillId="23" borderId="5" applyNumberFormat="0" applyAlignment="0" applyProtection="0"/>
    <xf numFmtId="170" fontId="32" fillId="0" borderId="0" applyFont="0" applyFill="0" applyBorder="0" applyAlignment="0" applyProtection="0"/>
    <xf numFmtId="171" fontId="32" fillId="0" borderId="0" applyFont="0" applyFill="0" applyBorder="0" applyAlignment="0" applyProtection="0"/>
    <xf numFmtId="0" fontId="61" fillId="0" borderId="0"/>
    <xf numFmtId="0" fontId="62" fillId="0" borderId="0" applyNumberFormat="0" applyFill="0" applyBorder="0" applyAlignment="0"/>
    <xf numFmtId="178" fontId="64" fillId="0" borderId="0" applyFont="0" applyFill="0" applyBorder="0" applyAlignment="0" applyProtection="0"/>
    <xf numFmtId="186" fontId="65" fillId="0" borderId="0" applyFont="0" applyFill="0" applyBorder="0" applyAlignment="0" applyProtection="0"/>
    <xf numFmtId="0" fontId="64" fillId="0" borderId="0"/>
    <xf numFmtId="168" fontId="63" fillId="0" borderId="0" applyFont="0" applyFill="0" applyBorder="0" applyAlignment="0" applyProtection="0"/>
    <xf numFmtId="0" fontId="63" fillId="0" borderId="0"/>
    <xf numFmtId="0" fontId="66" fillId="0" borderId="0"/>
    <xf numFmtId="168" fontId="11" fillId="0" borderId="0" applyFont="0" applyFill="0" applyBorder="0" applyAlignment="0" applyProtection="0"/>
    <xf numFmtId="38" fontId="14" fillId="0" borderId="0" applyFont="0" applyFill="0" applyBorder="0" applyAlignment="0" applyProtection="0"/>
    <xf numFmtId="0" fontId="67" fillId="0" borderId="0"/>
    <xf numFmtId="0" fontId="67" fillId="0" borderId="0"/>
    <xf numFmtId="0" fontId="67" fillId="0" borderId="0"/>
    <xf numFmtId="0" fontId="45" fillId="0" borderId="0"/>
    <xf numFmtId="0" fontId="35" fillId="0" borderId="0" applyFill="0" applyBorder="0" applyProtection="0">
      <alignment vertical="top"/>
    </xf>
    <xf numFmtId="167" fontId="11" fillId="0" borderId="0" applyFont="0" applyFill="0" applyBorder="0" applyAlignment="0" applyProtection="0"/>
    <xf numFmtId="166" fontId="11" fillId="0" borderId="0" applyFont="0" applyFill="0" applyBorder="0" applyAlignment="0" applyProtection="0"/>
    <xf numFmtId="0" fontId="7" fillId="0" borderId="0"/>
    <xf numFmtId="0" fontId="69" fillId="0" borderId="0" applyNumberFormat="0" applyFill="0" applyBorder="0" applyAlignment="0" applyProtection="0">
      <alignment vertical="top"/>
      <protection locked="0"/>
    </xf>
    <xf numFmtId="0" fontId="6" fillId="0" borderId="0"/>
    <xf numFmtId="0" fontId="5" fillId="0" borderId="0"/>
    <xf numFmtId="0" fontId="8" fillId="0" borderId="0"/>
    <xf numFmtId="0" fontId="4" fillId="0" borderId="0"/>
    <xf numFmtId="0" fontId="8" fillId="0" borderId="0"/>
    <xf numFmtId="0" fontId="71" fillId="0" borderId="0" applyNumberFormat="0" applyFill="0" applyBorder="0" applyAlignment="0" applyProtection="0">
      <alignment vertical="top"/>
      <protection locked="0"/>
    </xf>
    <xf numFmtId="0" fontId="8" fillId="0" borderId="0"/>
    <xf numFmtId="0" fontId="77"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79" fontId="8" fillId="0" borderId="0" applyFont="0" applyFill="0" applyBorder="0" applyAlignment="0" applyProtection="0"/>
    <xf numFmtId="179" fontId="8" fillId="0" borderId="0" applyFont="0" applyFill="0" applyBorder="0" applyAlignment="0" applyProtection="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0" fontId="8" fillId="2" borderId="0"/>
    <xf numFmtId="174" fontId="8" fillId="3" borderId="1"/>
    <xf numFmtId="174" fontId="8" fillId="3" borderId="1"/>
    <xf numFmtId="174" fontId="8" fillId="3" borderId="1"/>
    <xf numFmtId="174" fontId="8" fillId="3" borderId="1"/>
    <xf numFmtId="174" fontId="8" fillId="3" borderId="1"/>
    <xf numFmtId="174" fontId="8" fillId="3" borderId="1"/>
    <xf numFmtId="174" fontId="8" fillId="3" borderId="1"/>
    <xf numFmtId="174" fontId="8" fillId="3" borderId="1"/>
    <xf numFmtId="174" fontId="8" fillId="3" borderId="1"/>
    <xf numFmtId="174" fontId="8" fillId="3" borderId="1"/>
    <xf numFmtId="174" fontId="8" fillId="3" borderId="1"/>
    <xf numFmtId="174" fontId="8" fillId="3" borderId="1"/>
    <xf numFmtId="174" fontId="8" fillId="3" borderId="1"/>
    <xf numFmtId="174" fontId="8" fillId="3" borderId="1"/>
    <xf numFmtId="174" fontId="8" fillId="3" borderId="1"/>
    <xf numFmtId="174" fontId="8" fillId="3" borderId="1"/>
    <xf numFmtId="174" fontId="8" fillId="3" borderId="1"/>
    <xf numFmtId="174" fontId="8" fillId="3" borderId="1"/>
    <xf numFmtId="174" fontId="8" fillId="3" borderId="1"/>
    <xf numFmtId="174" fontId="8" fillId="3" borderId="1"/>
    <xf numFmtId="174" fontId="8" fillId="3" borderId="1"/>
    <xf numFmtId="174" fontId="8" fillId="3" borderId="1"/>
    <xf numFmtId="174" fontId="8" fillId="3" borderId="1"/>
    <xf numFmtId="174" fontId="8" fillId="3" borderId="1"/>
    <xf numFmtId="174" fontId="8" fillId="3" borderId="1"/>
    <xf numFmtId="174" fontId="8" fillId="3" borderId="1"/>
    <xf numFmtId="174" fontId="8" fillId="3" borderId="1"/>
    <xf numFmtId="174" fontId="8" fillId="3" borderId="1"/>
    <xf numFmtId="174" fontId="8" fillId="3" borderId="1"/>
    <xf numFmtId="174" fontId="8" fillId="3" borderId="1"/>
    <xf numFmtId="174" fontId="8" fillId="3" borderId="1"/>
    <xf numFmtId="174" fontId="8" fillId="3" borderId="1"/>
    <xf numFmtId="174" fontId="8" fillId="3" borderId="1"/>
    <xf numFmtId="174" fontId="8" fillId="3" borderId="1"/>
    <xf numFmtId="174" fontId="8" fillId="3" borderId="1"/>
    <xf numFmtId="174" fontId="8" fillId="3" borderId="1"/>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49" fontId="8" fillId="0" borderId="0">
      <alignment horizontal="left" indent="1"/>
    </xf>
    <xf numFmtId="180" fontId="8" fillId="0" borderId="0" applyFill="0" applyBorder="0" applyAlignment="0"/>
    <xf numFmtId="168" fontId="8" fillId="0" borderId="0" applyFont="0" applyFill="0" applyBorder="0" applyAlignment="0" applyProtection="0"/>
    <xf numFmtId="188" fontId="8" fillId="0" borderId="0" applyFont="0" applyFill="0" applyBorder="0" applyAlignment="0" applyProtection="0"/>
    <xf numFmtId="0" fontId="8" fillId="24" borderId="6" applyNumberFormat="0" applyFont="0" applyAlignment="0" applyProtection="0"/>
    <xf numFmtId="167" fontId="8" fillId="0" borderId="0" applyFont="0" applyFill="0" applyBorder="0" applyAlignment="0" applyProtection="0"/>
    <xf numFmtId="167" fontId="8" fillId="0" borderId="0" applyFont="0" applyFill="0" applyBorder="0" applyAlignment="0" applyProtection="0"/>
    <xf numFmtId="41" fontId="8" fillId="0" borderId="0" applyFont="0" applyFill="0" applyBorder="0" applyAlignment="0" applyProtection="0"/>
    <xf numFmtId="0" fontId="8" fillId="0" borderId="0" applyNumberFormat="0" applyFont="0">
      <alignment vertical="center"/>
      <protection locked="0"/>
    </xf>
    <xf numFmtId="173" fontId="8" fillId="0" borderId="0" applyFont="0" applyFill="0" applyBorder="0" applyAlignment="0" applyProtection="0"/>
    <xf numFmtId="38" fontId="12" fillId="2" borderId="0" applyNumberFormat="0" applyBorder="0" applyAlignment="0" applyProtection="0"/>
    <xf numFmtId="10" fontId="12" fillId="3" borderId="12" applyNumberFormat="0" applyBorder="0" applyAlignment="0" applyProtection="0"/>
    <xf numFmtId="0" fontId="8" fillId="0" borderId="0"/>
    <xf numFmtId="0" fontId="8" fillId="0" borderId="0"/>
    <xf numFmtId="0" fontId="8" fillId="0" borderId="0"/>
    <xf numFmtId="10" fontId="8" fillId="0" borderId="0" applyFont="0" applyFill="0" applyBorder="0" applyAlignment="0" applyProtection="0"/>
    <xf numFmtId="9" fontId="8" fillId="0" borderId="0" applyFont="0" applyFill="0" applyBorder="0" applyAlignment="0" applyProtection="0"/>
    <xf numFmtId="4" fontId="8" fillId="0" borderId="14" applyNumberFormat="0" applyProtection="0">
      <alignment horizontal="right" vertical="center"/>
    </xf>
    <xf numFmtId="4" fontId="8" fillId="13" borderId="0" applyNumberFormat="0" applyProtection="0">
      <alignment horizontal="left" vertical="top" wrapText="1" indent="1"/>
    </xf>
    <xf numFmtId="4" fontId="17" fillId="0" borderId="0" applyNumberFormat="0" applyProtection="0">
      <alignment horizontal="left" vertical="top" wrapText="1" indent="1"/>
    </xf>
    <xf numFmtId="4" fontId="8" fillId="0" borderId="14" applyNumberFormat="0" applyProtection="0">
      <alignment horizontal="right" vertical="center"/>
    </xf>
    <xf numFmtId="3" fontId="12" fillId="0" borderId="0"/>
    <xf numFmtId="0" fontId="12" fillId="0" borderId="0" applyFill="0" applyBorder="0" applyProtection="0">
      <alignment vertical="top"/>
    </xf>
    <xf numFmtId="0" fontId="8" fillId="0" borderId="0"/>
    <xf numFmtId="0" fontId="8" fillId="0" borderId="0"/>
    <xf numFmtId="0" fontId="8" fillId="0" borderId="0"/>
    <xf numFmtId="0" fontId="3" fillId="0" borderId="0"/>
    <xf numFmtId="0" fontId="3" fillId="0" borderId="0"/>
    <xf numFmtId="0" fontId="3" fillId="0" borderId="0"/>
    <xf numFmtId="0" fontId="3" fillId="0" borderId="0"/>
    <xf numFmtId="167" fontId="8" fillId="0" borderId="0" applyFont="0" applyFill="0" applyBorder="0" applyAlignment="0" applyProtection="0"/>
    <xf numFmtId="0" fontId="8" fillId="0" borderId="0"/>
    <xf numFmtId="0" fontId="59" fillId="0" borderId="121" applyNumberFormat="0" applyFill="0" applyAlignment="0" applyProtection="0"/>
    <xf numFmtId="0" fontId="3" fillId="0" borderId="0"/>
    <xf numFmtId="0" fontId="3" fillId="0" borderId="0"/>
    <xf numFmtId="0" fontId="3" fillId="0" borderId="0"/>
    <xf numFmtId="0" fontId="3" fillId="0" borderId="0"/>
    <xf numFmtId="167" fontId="8" fillId="0" borderId="0" applyFont="0" applyFill="0" applyBorder="0" applyAlignment="0" applyProtection="0"/>
    <xf numFmtId="0" fontId="3" fillId="0" borderId="0"/>
    <xf numFmtId="0" fontId="3" fillId="0" borderId="0"/>
    <xf numFmtId="0" fontId="3" fillId="0" borderId="0"/>
    <xf numFmtId="0" fontId="3" fillId="0" borderId="0"/>
    <xf numFmtId="167" fontId="8" fillId="0" borderId="0" applyFont="0" applyFill="0" applyBorder="0" applyAlignment="0" applyProtection="0"/>
    <xf numFmtId="0" fontId="8" fillId="0" borderId="0"/>
    <xf numFmtId="0" fontId="3" fillId="0" borderId="0"/>
    <xf numFmtId="0" fontId="3" fillId="0" borderId="0"/>
    <xf numFmtId="0" fontId="3" fillId="0" borderId="0"/>
    <xf numFmtId="0" fontId="3" fillId="0" borderId="0"/>
    <xf numFmtId="167" fontId="8" fillId="0" borderId="0" applyFont="0" applyFill="0" applyBorder="0" applyAlignment="0" applyProtection="0"/>
    <xf numFmtId="0" fontId="59" fillId="0" borderId="121" applyNumberFormat="0" applyFill="0" applyAlignment="0" applyProtection="0"/>
    <xf numFmtId="0" fontId="3" fillId="0" borderId="0"/>
    <xf numFmtId="0" fontId="3" fillId="0" borderId="0"/>
    <xf numFmtId="0" fontId="3" fillId="0" borderId="0"/>
    <xf numFmtId="0" fontId="3" fillId="0" borderId="0"/>
    <xf numFmtId="167" fontId="8" fillId="0" borderId="0" applyFont="0" applyFill="0" applyBorder="0" applyAlignment="0" applyProtection="0"/>
    <xf numFmtId="0" fontId="3" fillId="0" borderId="0"/>
    <xf numFmtId="0" fontId="3" fillId="0" borderId="0"/>
    <xf numFmtId="0" fontId="3" fillId="0" borderId="0"/>
    <xf numFmtId="0" fontId="3" fillId="0" borderId="0"/>
    <xf numFmtId="167" fontId="8" fillId="0" borderId="0" applyFont="0" applyFill="0" applyBorder="0" applyAlignment="0" applyProtection="0"/>
    <xf numFmtId="0" fontId="8" fillId="0" borderId="0"/>
    <xf numFmtId="167" fontId="8" fillId="0" borderId="0" applyFont="0" applyFill="0" applyBorder="0" applyAlignment="0" applyProtection="0"/>
    <xf numFmtId="0" fontId="3" fillId="0" borderId="0"/>
    <xf numFmtId="0" fontId="3" fillId="0" borderId="0"/>
    <xf numFmtId="0" fontId="3" fillId="0" borderId="0"/>
    <xf numFmtId="0" fontId="3" fillId="0" borderId="0"/>
    <xf numFmtId="0" fontId="8" fillId="0" borderId="0"/>
    <xf numFmtId="167"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167" fontId="8" fillId="0" borderId="0" applyFont="0" applyFill="0" applyBorder="0" applyAlignment="0" applyProtection="0"/>
    <xf numFmtId="0" fontId="59" fillId="0" borderId="121" applyNumberFormat="0" applyFill="0" applyAlignment="0" applyProtection="0"/>
    <xf numFmtId="0" fontId="59" fillId="0" borderId="121" applyNumberFormat="0" applyFill="0" applyAlignment="0" applyProtection="0"/>
    <xf numFmtId="0" fontId="8" fillId="0" borderId="0"/>
    <xf numFmtId="0" fontId="3" fillId="0" borderId="0"/>
    <xf numFmtId="0" fontId="3" fillId="0" borderId="0"/>
    <xf numFmtId="0" fontId="3" fillId="0" borderId="0"/>
    <xf numFmtId="0" fontId="3" fillId="0" borderId="0"/>
    <xf numFmtId="167" fontId="8"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9" fillId="0" borderId="121"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9" fillId="0" borderId="121" applyNumberFormat="0" applyFill="0" applyAlignment="0" applyProtection="0"/>
    <xf numFmtId="0" fontId="8" fillId="0" borderId="0"/>
    <xf numFmtId="0" fontId="3" fillId="0" borderId="0"/>
    <xf numFmtId="0" fontId="3" fillId="0" borderId="0"/>
    <xf numFmtId="0" fontId="3" fillId="0" borderId="0"/>
    <xf numFmtId="0" fontId="3" fillId="0" borderId="0"/>
    <xf numFmtId="0" fontId="3" fillId="0" borderId="0"/>
    <xf numFmtId="0" fontId="8" fillId="0" borderId="0"/>
    <xf numFmtId="167" fontId="8" fillId="0" borderId="0" applyFont="0" applyFill="0" applyBorder="0" applyAlignment="0" applyProtection="0"/>
    <xf numFmtId="0" fontId="59" fillId="0" borderId="121"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9" fillId="0" borderId="121"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9" fillId="0" borderId="121" applyNumberFormat="0" applyFill="0" applyAlignment="0" applyProtection="0"/>
    <xf numFmtId="0" fontId="59" fillId="0" borderId="121" applyNumberFormat="0" applyFill="0" applyAlignment="0" applyProtection="0"/>
    <xf numFmtId="167" fontId="8" fillId="0" borderId="0" applyFont="0" applyFill="0" applyBorder="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8" fillId="0" borderId="0"/>
    <xf numFmtId="0" fontId="8" fillId="0" borderId="0"/>
    <xf numFmtId="0" fontId="2" fillId="0" borderId="0"/>
    <xf numFmtId="0" fontId="2" fillId="0" borderId="0"/>
    <xf numFmtId="0" fontId="2" fillId="0" borderId="0"/>
    <xf numFmtId="0" fontId="2" fillId="0" borderId="0"/>
    <xf numFmtId="167" fontId="8" fillId="0" borderId="0" applyFont="0" applyFill="0" applyBorder="0" applyAlignment="0" applyProtection="0"/>
    <xf numFmtId="0" fontId="8" fillId="0" borderId="0"/>
    <xf numFmtId="167" fontId="8" fillId="0" borderId="0" applyFont="0" applyFill="0" applyBorder="0" applyAlignment="0" applyProtection="0"/>
    <xf numFmtId="167" fontId="8" fillId="0" borderId="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167"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167" fontId="8" fillId="0" borderId="0" applyFont="0" applyFill="0" applyBorder="0" applyAlignment="0" applyProtection="0"/>
    <xf numFmtId="0" fontId="59" fillId="0" borderId="121"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121"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121" applyNumberFormat="0" applyFill="0" applyAlignment="0" applyProtection="0"/>
    <xf numFmtId="0" fontId="59" fillId="0" borderId="121" applyNumberFormat="0" applyFill="0" applyAlignment="0" applyProtection="0"/>
    <xf numFmtId="0" fontId="8" fillId="0" borderId="0"/>
    <xf numFmtId="0" fontId="12" fillId="25" borderId="2">
      <alignment vertical="top"/>
      <protection locked="0" hidden="1"/>
    </xf>
    <xf numFmtId="4" fontId="17" fillId="19" borderId="14" applyNumberFormat="0" applyProtection="0">
      <alignment horizontal="right" vertical="center"/>
    </xf>
    <xf numFmtId="4" fontId="17" fillId="20" borderId="14" applyNumberFormat="0" applyProtection="0">
      <alignment horizontal="right" vertical="center"/>
    </xf>
    <xf numFmtId="4" fontId="17" fillId="12" borderId="14" applyNumberFormat="0" applyProtection="0">
      <alignment horizontal="right" vertical="center"/>
    </xf>
    <xf numFmtId="4" fontId="17" fillId="19" borderId="14" applyNumberFormat="0" applyProtection="0">
      <alignment horizontal="right" vertical="center"/>
    </xf>
    <xf numFmtId="4" fontId="17" fillId="17" borderId="14" applyNumberFormat="0" applyProtection="0">
      <alignment horizontal="right" vertical="center"/>
    </xf>
    <xf numFmtId="4" fontId="17" fillId="18" borderId="14" applyNumberFormat="0" applyProtection="0">
      <alignment horizontal="right" vertical="center"/>
    </xf>
    <xf numFmtId="4" fontId="17" fillId="11" borderId="14" applyNumberFormat="0" applyProtection="0">
      <alignment horizontal="right" vertical="center"/>
    </xf>
    <xf numFmtId="4" fontId="17" fillId="5" borderId="14" applyNumberFormat="0" applyProtection="0">
      <alignment horizontal="right" vertical="center"/>
    </xf>
    <xf numFmtId="4" fontId="17" fillId="13" borderId="14" applyNumberFormat="0" applyProtection="0">
      <alignment horizontal="right" vertical="center"/>
    </xf>
    <xf numFmtId="0" fontId="46" fillId="27" borderId="14" applyNumberFormat="0" applyProtection="0">
      <alignment horizontal="left" vertical="top" indent="1"/>
    </xf>
    <xf numFmtId="4" fontId="46" fillId="27" borderId="14" applyNumberFormat="0" applyProtection="0">
      <alignment horizontal="left" vertical="center" indent="1"/>
    </xf>
    <xf numFmtId="4" fontId="47" fillId="27" borderId="14" applyNumberFormat="0" applyProtection="0">
      <alignment vertical="center"/>
    </xf>
    <xf numFmtId="4" fontId="46" fillId="26" borderId="14" applyNumberFormat="0" applyProtection="0">
      <alignment vertical="center"/>
    </xf>
    <xf numFmtId="4" fontId="17" fillId="18" borderId="14" applyNumberFormat="0" applyProtection="0">
      <alignment horizontal="right" vertical="center"/>
    </xf>
    <xf numFmtId="4" fontId="17" fillId="11" borderId="14" applyNumberFormat="0" applyProtection="0">
      <alignment horizontal="right" vertical="center"/>
    </xf>
    <xf numFmtId="0" fontId="46" fillId="27" borderId="14" applyNumberFormat="0" applyProtection="0">
      <alignment horizontal="left" vertical="top" indent="1"/>
    </xf>
    <xf numFmtId="4" fontId="46" fillId="27" borderId="14" applyNumberFormat="0" applyProtection="0">
      <alignment horizontal="left" vertical="center" indent="1"/>
    </xf>
    <xf numFmtId="4" fontId="46" fillId="26" borderId="14" applyNumberFormat="0" applyProtection="0">
      <alignment vertical="center"/>
    </xf>
    <xf numFmtId="175" fontId="12" fillId="21" borderId="2">
      <alignment vertical="top"/>
      <protection hidden="1"/>
    </xf>
    <xf numFmtId="175" fontId="12" fillId="21" borderId="2">
      <alignment vertical="top"/>
      <protection hidden="1"/>
    </xf>
    <xf numFmtId="0" fontId="37" fillId="21" borderId="2">
      <alignment vertical="top" wrapText="1"/>
      <protection hidden="1"/>
    </xf>
    <xf numFmtId="0" fontId="34" fillId="9" borderId="3" applyNumberFormat="0" applyAlignment="0" applyProtection="0"/>
    <xf numFmtId="0" fontId="29" fillId="22" borderId="3" applyNumberFormat="0" applyAlignment="0" applyProtection="0"/>
    <xf numFmtId="4" fontId="8" fillId="0" borderId="14" applyNumberFormat="0" applyProtection="0">
      <alignment horizontal="right" vertical="center"/>
    </xf>
    <xf numFmtId="0" fontId="37" fillId="21" borderId="2">
      <alignment vertical="top" wrapText="1"/>
      <protection hidden="1"/>
    </xf>
    <xf numFmtId="10" fontId="12" fillId="3" borderId="12" applyNumberFormat="0" applyBorder="0" applyAlignment="0" applyProtection="0"/>
    <xf numFmtId="0" fontId="9" fillId="0" borderId="8">
      <alignment horizontal="left" vertical="center"/>
    </xf>
    <xf numFmtId="175" fontId="12" fillId="25" borderId="2">
      <alignment vertical="top"/>
      <protection locked="0" hidden="1"/>
    </xf>
    <xf numFmtId="0" fontId="34" fillId="9" borderId="3" applyNumberFormat="0" applyAlignment="0" applyProtection="0"/>
    <xf numFmtId="0" fontId="8" fillId="24" borderId="6" applyNumberFormat="0" applyFont="0" applyAlignment="0" applyProtection="0"/>
    <xf numFmtId="0" fontId="29" fillId="22" borderId="3" applyNumberFormat="0" applyAlignment="0" applyProtection="0"/>
    <xf numFmtId="0" fontId="28" fillId="21" borderId="2">
      <alignment vertical="top" wrapText="1"/>
      <protection hidden="1"/>
    </xf>
    <xf numFmtId="10" fontId="12" fillId="3" borderId="12" applyNumberFormat="0" applyBorder="0" applyAlignment="0" applyProtection="0"/>
    <xf numFmtId="0" fontId="8" fillId="24" borderId="6" applyNumberFormat="0" applyFont="0" applyAlignment="0" applyProtection="0"/>
    <xf numFmtId="0" fontId="53" fillId="22" borderId="13" applyNumberFormat="0" applyAlignment="0" applyProtection="0"/>
    <xf numFmtId="4" fontId="8" fillId="0" borderId="14" applyNumberFormat="0" applyProtection="0">
      <alignment horizontal="right" vertical="center"/>
    </xf>
    <xf numFmtId="0" fontId="9" fillId="35" borderId="14" applyNumberFormat="0" applyProtection="0">
      <alignment horizontal="left" vertical="top" indent="1"/>
    </xf>
    <xf numFmtId="4" fontId="9" fillId="34" borderId="14" applyNumberFormat="0" applyProtection="0">
      <alignment horizontal="left" vertical="center" indent="1"/>
    </xf>
    <xf numFmtId="4" fontId="9" fillId="0" borderId="14" applyNumberFormat="0" applyProtection="0">
      <alignment horizontal="right" vertical="center"/>
    </xf>
    <xf numFmtId="4" fontId="18" fillId="0" borderId="14" applyNumberFormat="0" applyProtection="0">
      <alignment horizontal="right" vertical="center"/>
    </xf>
    <xf numFmtId="0" fontId="17" fillId="3" borderId="14" applyNumberFormat="0" applyProtection="0">
      <alignment horizontal="left" vertical="top" indent="1"/>
    </xf>
    <xf numFmtId="4" fontId="17" fillId="3" borderId="14" applyNumberFormat="0" applyProtection="0">
      <alignment horizontal="left" vertical="center" indent="1"/>
    </xf>
    <xf numFmtId="4" fontId="50" fillId="3" borderId="14" applyNumberFormat="0" applyProtection="0">
      <alignment vertical="center"/>
    </xf>
    <xf numFmtId="4" fontId="17" fillId="3" borderId="14" applyNumberFormat="0" applyProtection="0">
      <alignment vertical="center"/>
    </xf>
    <xf numFmtId="0" fontId="8" fillId="33" borderId="14" applyNumberFormat="0" applyProtection="0">
      <alignment horizontal="left" vertical="top" indent="1"/>
    </xf>
    <xf numFmtId="0" fontId="8" fillId="33" borderId="14" applyNumberFormat="0" applyProtection="0">
      <alignment horizontal="left" vertical="center" indent="1"/>
    </xf>
    <xf numFmtId="0" fontId="8" fillId="32" borderId="14" applyNumberFormat="0" applyProtection="0">
      <alignment horizontal="left" vertical="top" indent="1"/>
    </xf>
    <xf numFmtId="0" fontId="8" fillId="32" borderId="14" applyNumberFormat="0" applyProtection="0">
      <alignment horizontal="left" vertical="center" indent="1"/>
    </xf>
    <xf numFmtId="0" fontId="8" fillId="31" borderId="14" applyNumberFormat="0" applyProtection="0">
      <alignment horizontal="left" vertical="top" indent="1"/>
    </xf>
    <xf numFmtId="0" fontId="8" fillId="31" borderId="14" applyNumberFormat="0" applyProtection="0">
      <alignment horizontal="left" vertical="center" indent="1"/>
    </xf>
    <xf numFmtId="0" fontId="8" fillId="30" borderId="14" applyNumberFormat="0" applyProtection="0">
      <alignment horizontal="left" vertical="top" indent="1"/>
    </xf>
    <xf numFmtId="0" fontId="8" fillId="30" borderId="14" applyNumberFormat="0" applyProtection="0">
      <alignment horizontal="left" vertical="center" indent="1"/>
    </xf>
    <xf numFmtId="4" fontId="8" fillId="0" borderId="14" applyNumberFormat="0" applyProtection="0">
      <alignment horizontal="right" vertical="center"/>
    </xf>
    <xf numFmtId="4" fontId="17" fillId="20" borderId="14" applyNumberFormat="0" applyProtection="0">
      <alignment horizontal="right" vertical="center"/>
    </xf>
    <xf numFmtId="4" fontId="17" fillId="13" borderId="14" applyNumberFormat="0" applyProtection="0">
      <alignment horizontal="right" vertical="center"/>
    </xf>
    <xf numFmtId="4" fontId="17" fillId="18" borderId="14" applyNumberFormat="0" applyProtection="0">
      <alignment horizontal="right" vertical="center"/>
    </xf>
    <xf numFmtId="4" fontId="17" fillId="11" borderId="14" applyNumberFormat="0" applyProtection="0">
      <alignment horizontal="right" vertical="center"/>
    </xf>
    <xf numFmtId="4" fontId="17" fillId="5" borderId="14" applyNumberFormat="0" applyProtection="0">
      <alignment horizontal="right" vertical="center"/>
    </xf>
    <xf numFmtId="0" fontId="46" fillId="27" borderId="14" applyNumberFormat="0" applyProtection="0">
      <alignment horizontal="left" vertical="top" indent="1"/>
    </xf>
    <xf numFmtId="4" fontId="46" fillId="27" borderId="14" applyNumberFormat="0" applyProtection="0">
      <alignment horizontal="left" vertical="center" indent="1"/>
    </xf>
    <xf numFmtId="4" fontId="47" fillId="27" borderId="14" applyNumberFormat="0" applyProtection="0">
      <alignment vertical="center"/>
    </xf>
    <xf numFmtId="4" fontId="46" fillId="26" borderId="14" applyNumberFormat="0" applyProtection="0">
      <alignment vertical="center"/>
    </xf>
    <xf numFmtId="0" fontId="37" fillId="21" borderId="2">
      <alignment vertical="top" wrapText="1"/>
      <protection hidden="1"/>
    </xf>
    <xf numFmtId="10" fontId="12" fillId="3" borderId="12" applyNumberFormat="0" applyBorder="0" applyAlignment="0" applyProtection="0"/>
    <xf numFmtId="0" fontId="9" fillId="0" borderId="8">
      <alignment horizontal="left" vertical="center"/>
    </xf>
    <xf numFmtId="175" fontId="12" fillId="25" borderId="2">
      <alignment vertical="top"/>
      <protection locked="0" hidden="1"/>
    </xf>
    <xf numFmtId="0" fontId="34" fillId="9" borderId="3" applyNumberFormat="0" applyAlignment="0" applyProtection="0"/>
    <xf numFmtId="4" fontId="8" fillId="0" borderId="14" applyNumberFormat="0" applyProtection="0">
      <alignment horizontal="right" vertical="center"/>
    </xf>
    <xf numFmtId="0" fontId="8" fillId="24" borderId="6" applyNumberFormat="0" applyFont="0" applyAlignment="0" applyProtection="0"/>
    <xf numFmtId="0" fontId="29" fillId="22" borderId="3" applyNumberFormat="0" applyAlignment="0" applyProtection="0"/>
    <xf numFmtId="0" fontId="28" fillId="21" borderId="2">
      <alignment vertical="top" wrapText="1"/>
      <protection hidden="1"/>
    </xf>
    <xf numFmtId="0" fontId="12" fillId="21" borderId="2">
      <alignment vertical="top" wrapText="1"/>
      <protection hidden="1"/>
    </xf>
    <xf numFmtId="0" fontId="59" fillId="0" borderId="121" applyNumberFormat="0" applyFill="0" applyAlignment="0" applyProtection="0"/>
    <xf numFmtId="167" fontId="8" fillId="0" borderId="0" applyFont="0" applyFill="0" applyBorder="0" applyAlignment="0" applyProtection="0"/>
    <xf numFmtId="0" fontId="8" fillId="0" borderId="0"/>
    <xf numFmtId="4" fontId="17" fillId="17" borderId="14" applyNumberFormat="0" applyProtection="0">
      <alignment horizontal="right" vertical="center"/>
    </xf>
    <xf numFmtId="4" fontId="17" fillId="28" borderId="14" applyNumberFormat="0" applyProtection="0">
      <alignment horizontal="right" vertical="center"/>
    </xf>
    <xf numFmtId="4" fontId="17" fillId="20" borderId="14" applyNumberFormat="0" applyProtection="0">
      <alignment horizontal="right" vertical="center"/>
    </xf>
    <xf numFmtId="4" fontId="17" fillId="13" borderId="14" applyNumberFormat="0" applyProtection="0">
      <alignment horizontal="right" vertical="center"/>
    </xf>
    <xf numFmtId="167" fontId="8" fillId="0" borderId="0" applyFont="0" applyFill="0" applyBorder="0" applyAlignment="0" applyProtection="0"/>
    <xf numFmtId="0" fontId="1" fillId="0" borderId="0"/>
    <xf numFmtId="0" fontId="1" fillId="0" borderId="0"/>
    <xf numFmtId="0" fontId="1" fillId="0" borderId="0"/>
    <xf numFmtId="0" fontId="1" fillId="0" borderId="0"/>
    <xf numFmtId="0" fontId="12" fillId="21" borderId="2">
      <alignment vertical="top" wrapText="1"/>
      <protection hidden="1"/>
    </xf>
    <xf numFmtId="4" fontId="17" fillId="12" borderId="14" applyNumberFormat="0" applyProtection="0">
      <alignment horizontal="right" vertical="center"/>
    </xf>
    <xf numFmtId="4" fontId="17" fillId="17" borderId="14" applyNumberFormat="0" applyProtection="0">
      <alignment horizontal="right" vertical="center"/>
    </xf>
    <xf numFmtId="4" fontId="17" fillId="28" borderId="14"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167" fontId="8" fillId="0" borderId="0" applyFont="0" applyFill="0" applyBorder="0" applyAlignment="0" applyProtection="0"/>
    <xf numFmtId="0" fontId="59" fillId="0" borderId="121"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121"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121" applyNumberFormat="0" applyFill="0" applyAlignment="0" applyProtection="0"/>
    <xf numFmtId="0" fontId="59" fillId="0" borderId="121" applyNumberFormat="0" applyFill="0" applyAlignment="0" applyProtection="0"/>
    <xf numFmtId="0" fontId="8" fillId="0" borderId="0"/>
    <xf numFmtId="0" fontId="1" fillId="0" borderId="0"/>
    <xf numFmtId="0" fontId="1" fillId="0" borderId="0"/>
    <xf numFmtId="0" fontId="1" fillId="0" borderId="0"/>
    <xf numFmtId="0" fontId="1" fillId="0" borderId="0"/>
    <xf numFmtId="167" fontId="8" fillId="0" borderId="0" applyFont="0" applyFill="0" applyBorder="0" applyAlignment="0" applyProtection="0"/>
    <xf numFmtId="0" fontId="59" fillId="0" borderId="121"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121"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8" fillId="0" borderId="0"/>
    <xf numFmtId="0" fontId="59" fillId="0" borderId="121" applyNumberFormat="0" applyFill="0" applyAlignment="0" applyProtection="0"/>
    <xf numFmtId="0" fontId="59" fillId="0" borderId="121" applyNumberFormat="0" applyFill="0" applyAlignment="0" applyProtection="0"/>
    <xf numFmtId="0" fontId="8" fillId="0" borderId="0"/>
    <xf numFmtId="0" fontId="59" fillId="0" borderId="121" applyNumberFormat="0" applyFill="0" applyAlignment="0" applyProtection="0"/>
    <xf numFmtId="0" fontId="8" fillId="0" borderId="0"/>
    <xf numFmtId="167" fontId="8" fillId="0" borderId="0" applyFont="0" applyFill="0" applyBorder="0" applyAlignment="0" applyProtection="0"/>
    <xf numFmtId="0" fontId="8" fillId="32" borderId="14" applyNumberFormat="0" applyProtection="0">
      <alignment horizontal="left" vertical="center" indent="1"/>
    </xf>
    <xf numFmtId="0" fontId="59" fillId="0" borderId="121" applyNumberFormat="0" applyFill="0" applyAlignment="0" applyProtection="0"/>
    <xf numFmtId="0" fontId="8" fillId="31" borderId="14" applyNumberFormat="0" applyProtection="0">
      <alignment horizontal="left" vertical="center" indent="1"/>
    </xf>
    <xf numFmtId="0" fontId="59" fillId="0" borderId="121" applyNumberFormat="0" applyFill="0" applyAlignment="0" applyProtection="0"/>
    <xf numFmtId="0" fontId="59" fillId="0" borderId="121" applyNumberFormat="0" applyFill="0" applyAlignment="0" applyProtection="0"/>
    <xf numFmtId="0" fontId="34" fillId="9" borderId="3" applyNumberFormat="0" applyAlignment="0" applyProtection="0"/>
    <xf numFmtId="0" fontId="8" fillId="0" borderId="0"/>
    <xf numFmtId="175" fontId="12" fillId="21" borderId="2">
      <alignment vertical="top"/>
      <protection hidden="1"/>
    </xf>
    <xf numFmtId="0" fontId="8" fillId="0" borderId="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4" fontId="17" fillId="5" borderId="14" applyNumberFormat="0" applyProtection="0">
      <alignment horizontal="right" vertical="center"/>
    </xf>
    <xf numFmtId="4" fontId="17" fillId="17" borderId="14" applyNumberFormat="0" applyProtection="0">
      <alignment horizontal="right" vertical="center"/>
    </xf>
    <xf numFmtId="4" fontId="8" fillId="0" borderId="14" applyNumberFormat="0" applyProtection="0">
      <alignment horizontal="right" vertical="center"/>
    </xf>
    <xf numFmtId="0" fontId="53" fillId="22" borderId="13" applyNumberFormat="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167" fontId="8" fillId="0" borderId="0" applyFont="0" applyFill="0" applyBorder="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4" fontId="17" fillId="11" borderId="14" applyNumberFormat="0" applyProtection="0">
      <alignment horizontal="right" vertical="center"/>
    </xf>
    <xf numFmtId="4" fontId="17" fillId="12" borderId="14" applyNumberFormat="0" applyProtection="0">
      <alignment horizontal="right" vertical="center"/>
    </xf>
    <xf numFmtId="0" fontId="8" fillId="33" borderId="14" applyNumberFormat="0" applyProtection="0">
      <alignment horizontal="left" vertical="top" indent="1"/>
    </xf>
    <xf numFmtId="0" fontId="9" fillId="35" borderId="14" applyNumberFormat="0" applyProtection="0">
      <alignment horizontal="left" vertical="top" indent="1"/>
    </xf>
    <xf numFmtId="0" fontId="8" fillId="0" borderId="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167" fontId="8" fillId="0" borderId="0" applyFont="0" applyFill="0" applyBorder="0" applyAlignment="0" applyProtection="0"/>
    <xf numFmtId="0" fontId="59" fillId="0" borderId="121" applyNumberFormat="0" applyFill="0" applyAlignment="0" applyProtection="0"/>
    <xf numFmtId="4" fontId="46" fillId="26" borderId="14" applyNumberFormat="0" applyProtection="0">
      <alignment vertical="center"/>
    </xf>
    <xf numFmtId="4" fontId="17" fillId="18" borderId="14" applyNumberFormat="0" applyProtection="0">
      <alignment horizontal="right" vertical="center"/>
    </xf>
    <xf numFmtId="0" fontId="8" fillId="0" borderId="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175" fontId="12" fillId="25" borderId="2">
      <alignment vertical="top"/>
      <protection locked="0" hidden="1"/>
    </xf>
    <xf numFmtId="0" fontId="8" fillId="24" borderId="6" applyNumberFormat="0" applyFont="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167" fontId="8" fillId="0" borderId="0" applyFont="0" applyFill="0" applyBorder="0" applyAlignment="0" applyProtection="0"/>
    <xf numFmtId="0" fontId="59" fillId="0" borderId="121" applyNumberFormat="0" applyFill="0" applyAlignment="0" applyProtection="0"/>
    <xf numFmtId="0" fontId="59" fillId="0" borderId="121" applyNumberFormat="0" applyFill="0" applyAlignment="0" applyProtection="0"/>
    <xf numFmtId="0" fontId="28" fillId="21" borderId="2">
      <alignment vertical="top" wrapText="1"/>
      <protection hidden="1"/>
    </xf>
    <xf numFmtId="0" fontId="59" fillId="0" borderId="121" applyNumberFormat="0" applyFill="0" applyAlignment="0" applyProtection="0"/>
    <xf numFmtId="0" fontId="8" fillId="0" borderId="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37" fillId="21" borderId="2">
      <alignment vertical="top" wrapText="1"/>
      <protection hidden="1"/>
    </xf>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12" fillId="25" borderId="2">
      <alignment vertical="top"/>
      <protection locked="0" hidden="1"/>
    </xf>
    <xf numFmtId="0" fontId="59" fillId="0" borderId="121" applyNumberFormat="0" applyFill="0" applyAlignment="0" applyProtection="0"/>
    <xf numFmtId="0" fontId="59" fillId="0" borderId="121" applyNumberFormat="0" applyFill="0" applyAlignment="0" applyProtection="0"/>
    <xf numFmtId="0" fontId="1" fillId="0" borderId="0"/>
    <xf numFmtId="0" fontId="59" fillId="0" borderId="121" applyNumberFormat="0" applyFill="0" applyAlignment="0" applyProtection="0"/>
    <xf numFmtId="0" fontId="1" fillId="0" borderId="0"/>
    <xf numFmtId="0" fontId="1" fillId="0" borderId="0"/>
    <xf numFmtId="0" fontId="1" fillId="0" borderId="0"/>
    <xf numFmtId="0" fontId="59" fillId="0" borderId="121" applyNumberFormat="0" applyFill="0" applyAlignment="0" applyProtection="0"/>
    <xf numFmtId="0" fontId="8" fillId="24" borderId="6" applyNumberFormat="0" applyFont="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29" fillId="22" borderId="3" applyNumberFormat="0" applyAlignment="0" applyProtection="0"/>
    <xf numFmtId="0" fontId="12" fillId="21" borderId="2">
      <alignment vertical="top" wrapText="1"/>
      <protection hidden="1"/>
    </xf>
    <xf numFmtId="0" fontId="59" fillId="0" borderId="121" applyNumberFormat="0" applyFill="0" applyAlignment="0" applyProtection="0"/>
    <xf numFmtId="4" fontId="47" fillId="27" borderId="14" applyNumberFormat="0" applyProtection="0">
      <alignment vertical="center"/>
    </xf>
    <xf numFmtId="4" fontId="17" fillId="20" borderId="14" applyNumberFormat="0" applyProtection="0">
      <alignment horizontal="right" vertical="center"/>
    </xf>
    <xf numFmtId="0" fontId="8" fillId="31" borderId="14" applyNumberFormat="0" applyProtection="0">
      <alignment horizontal="left" vertical="top" indent="1"/>
    </xf>
    <xf numFmtId="0" fontId="17" fillId="3" borderId="14" applyNumberFormat="0" applyProtection="0">
      <alignment horizontal="left" vertical="top" indent="1"/>
    </xf>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121"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121" applyNumberFormat="0" applyFill="0" applyAlignment="0" applyProtection="0"/>
    <xf numFmtId="0" fontId="59" fillId="0" borderId="121" applyNumberFormat="0" applyFill="0" applyAlignment="0" applyProtection="0"/>
    <xf numFmtId="0" fontId="8" fillId="0" borderId="0"/>
    <xf numFmtId="0" fontId="1" fillId="0" borderId="0"/>
    <xf numFmtId="0" fontId="1" fillId="0" borderId="0"/>
    <xf numFmtId="0" fontId="1" fillId="0" borderId="0"/>
    <xf numFmtId="0" fontId="1" fillId="0" borderId="0"/>
    <xf numFmtId="0" fontId="59" fillId="0" borderId="121"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121" applyNumberFormat="0" applyFill="0" applyAlignment="0" applyProtection="0"/>
    <xf numFmtId="0" fontId="1" fillId="0" borderId="0"/>
    <xf numFmtId="0" fontId="1" fillId="0" borderId="0"/>
    <xf numFmtId="0" fontId="1" fillId="0" borderId="0"/>
    <xf numFmtId="0" fontId="1" fillId="0" borderId="0"/>
    <xf numFmtId="0" fontId="59" fillId="0" borderId="121"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121"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121"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1" fillId="0" borderId="0"/>
    <xf numFmtId="0" fontId="1" fillId="0" borderId="0"/>
    <xf numFmtId="0" fontId="1" fillId="0" borderId="0"/>
    <xf numFmtId="0" fontId="1" fillId="0" borderId="0"/>
    <xf numFmtId="0" fontId="59" fillId="0" borderId="121"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121" applyNumberFormat="0" applyFill="0" applyAlignment="0" applyProtection="0"/>
    <xf numFmtId="0" fontId="59" fillId="0" borderId="121" applyNumberFormat="0" applyFill="0" applyAlignment="0" applyProtection="0"/>
    <xf numFmtId="4" fontId="17" fillId="3" borderId="14" applyNumberFormat="0" applyProtection="0">
      <alignment vertical="center"/>
    </xf>
    <xf numFmtId="4" fontId="50" fillId="3" borderId="14" applyNumberFormat="0" applyProtection="0">
      <alignment vertical="center"/>
    </xf>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4" fontId="46" fillId="27" borderId="14" applyNumberFormat="0" applyProtection="0">
      <alignment horizontal="left" vertical="center" indent="1"/>
    </xf>
    <xf numFmtId="0" fontId="59" fillId="0" borderId="121" applyNumberFormat="0" applyFill="0" applyAlignment="0" applyProtection="0"/>
    <xf numFmtId="4" fontId="9" fillId="34" borderId="14" applyNumberFormat="0" applyProtection="0">
      <alignment horizontal="left" vertical="center" indent="1"/>
    </xf>
    <xf numFmtId="4" fontId="9" fillId="0" borderId="14" applyNumberFormat="0" applyProtection="0">
      <alignment horizontal="right" vertical="center"/>
    </xf>
    <xf numFmtId="0" fontId="8" fillId="30" borderId="14" applyNumberFormat="0" applyProtection="0">
      <alignment horizontal="left" vertical="center" indent="1"/>
    </xf>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46" fillId="27" borderId="14" applyNumberFormat="0" applyProtection="0">
      <alignment horizontal="left" vertical="top" indent="1"/>
    </xf>
    <xf numFmtId="0" fontId="59" fillId="0" borderId="121" applyNumberFormat="0" applyFill="0" applyAlignment="0" applyProtection="0"/>
    <xf numFmtId="0" fontId="59" fillId="0" borderId="121" applyNumberFormat="0" applyFill="0" applyAlignment="0" applyProtection="0"/>
    <xf numFmtId="4" fontId="17" fillId="28" borderId="14" applyNumberFormat="0" applyProtection="0">
      <alignment horizontal="right" vertical="center"/>
    </xf>
    <xf numFmtId="0" fontId="59" fillId="0" borderId="121" applyNumberFormat="0" applyFill="0" applyAlignment="0" applyProtection="0"/>
    <xf numFmtId="4" fontId="8" fillId="0" borderId="14" applyNumberFormat="0" applyProtection="0">
      <alignment horizontal="right" vertical="center"/>
    </xf>
    <xf numFmtId="0" fontId="8" fillId="30" borderId="14" applyNumberFormat="0" applyProtection="0">
      <alignment horizontal="left" vertical="top" indent="1"/>
    </xf>
    <xf numFmtId="4" fontId="18" fillId="0" borderId="14" applyNumberFormat="0" applyProtection="0">
      <alignment horizontal="right" vertical="center"/>
    </xf>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4" fontId="17" fillId="13" borderId="14" applyNumberFormat="0" applyProtection="0">
      <alignment horizontal="right" vertical="center"/>
    </xf>
    <xf numFmtId="0" fontId="59" fillId="0" borderId="121" applyNumberFormat="0" applyFill="0" applyAlignment="0" applyProtection="0"/>
    <xf numFmtId="167" fontId="8" fillId="0" borderId="0" applyFont="0" applyFill="0" applyBorder="0" applyAlignment="0" applyProtection="0"/>
    <xf numFmtId="4" fontId="17" fillId="3" borderId="14" applyNumberFormat="0" applyProtection="0">
      <alignment horizontal="left" vertical="center" indent="1"/>
    </xf>
    <xf numFmtId="0" fontId="59" fillId="0" borderId="121" applyNumberFormat="0" applyFill="0" applyAlignment="0" applyProtection="0"/>
    <xf numFmtId="0" fontId="8" fillId="32" borderId="14" applyNumberFormat="0" applyProtection="0">
      <alignment horizontal="left" vertical="top" indent="1"/>
    </xf>
    <xf numFmtId="0" fontId="59" fillId="0" borderId="121" applyNumberFormat="0" applyFill="0" applyAlignment="0" applyProtection="0"/>
    <xf numFmtId="0" fontId="59" fillId="0" borderId="121" applyNumberFormat="0" applyFill="0" applyAlignment="0" applyProtection="0"/>
    <xf numFmtId="0" fontId="8" fillId="33" borderId="14" applyNumberFormat="0" applyProtection="0">
      <alignment horizontal="left" vertical="center" indent="1"/>
    </xf>
    <xf numFmtId="0" fontId="59" fillId="0" borderId="121" applyNumberFormat="0" applyFill="0" applyAlignment="0" applyProtection="0"/>
    <xf numFmtId="4" fontId="17" fillId="19" borderId="14" applyNumberFormat="0" applyProtection="0">
      <alignment horizontal="right" vertical="center"/>
    </xf>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167" fontId="8" fillId="0" borderId="0" applyFont="0" applyFill="0" applyBorder="0" applyAlignment="0" applyProtection="0"/>
    <xf numFmtId="167" fontId="8" fillId="0" borderId="0" applyFont="0" applyFill="0" applyBorder="0" applyAlignment="0" applyProtection="0"/>
    <xf numFmtId="4" fontId="8" fillId="0" borderId="14" applyNumberFormat="0" applyProtection="0">
      <alignment horizontal="right" vertical="center"/>
    </xf>
    <xf numFmtId="4" fontId="8" fillId="0" borderId="14" applyNumberFormat="0" applyProtection="0">
      <alignment horizontal="right" vertical="center"/>
    </xf>
    <xf numFmtId="167" fontId="8" fillId="0" borderId="0" applyFont="0" applyFill="0" applyBorder="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167" fontId="8" fillId="0" borderId="0" applyFont="0" applyFill="0" applyBorder="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4" fontId="17" fillId="19" borderId="14" applyNumberFormat="0" applyProtection="0">
      <alignment horizontal="right" vertical="center"/>
    </xf>
    <xf numFmtId="4" fontId="8" fillId="0" borderId="14" applyNumberFormat="0" applyProtection="0">
      <alignment horizontal="right" vertical="center"/>
    </xf>
    <xf numFmtId="4" fontId="17" fillId="28" borderId="14" applyNumberFormat="0" applyProtection="0">
      <alignment horizontal="right" vertical="center"/>
    </xf>
    <xf numFmtId="4" fontId="8" fillId="0" borderId="14" applyNumberFormat="0" applyProtection="0">
      <alignment horizontal="right" vertical="center"/>
    </xf>
    <xf numFmtId="0" fontId="8" fillId="30" borderId="14" applyNumberFormat="0" applyProtection="0">
      <alignment horizontal="left" vertical="center" indent="1"/>
    </xf>
    <xf numFmtId="0" fontId="8" fillId="30" borderId="14" applyNumberFormat="0" applyProtection="0">
      <alignment horizontal="left" vertical="top" indent="1"/>
    </xf>
    <xf numFmtId="0" fontId="8" fillId="31" borderId="14" applyNumberFormat="0" applyProtection="0">
      <alignment horizontal="left" vertical="center" indent="1"/>
    </xf>
    <xf numFmtId="0" fontId="8" fillId="31" borderId="14" applyNumberFormat="0" applyProtection="0">
      <alignment horizontal="left" vertical="top" indent="1"/>
    </xf>
    <xf numFmtId="0" fontId="8" fillId="32" borderId="14" applyNumberFormat="0" applyProtection="0">
      <alignment horizontal="left" vertical="center" indent="1"/>
    </xf>
    <xf numFmtId="0" fontId="8" fillId="32" borderId="14" applyNumberFormat="0" applyProtection="0">
      <alignment horizontal="left" vertical="top" indent="1"/>
    </xf>
    <xf numFmtId="0" fontId="8" fillId="33" borderId="14" applyNumberFormat="0" applyProtection="0">
      <alignment horizontal="left" vertical="center" indent="1"/>
    </xf>
    <xf numFmtId="0" fontId="8" fillId="33" borderId="14" applyNumberFormat="0" applyProtection="0">
      <alignment horizontal="left" vertical="top" indent="1"/>
    </xf>
    <xf numFmtId="4" fontId="17" fillId="3" borderId="14" applyNumberFormat="0" applyProtection="0">
      <alignment vertical="center"/>
    </xf>
    <xf numFmtId="4" fontId="50" fillId="3" borderId="14" applyNumberFormat="0" applyProtection="0">
      <alignment vertical="center"/>
    </xf>
    <xf numFmtId="4" fontId="17" fillId="3" borderId="14" applyNumberFormat="0" applyProtection="0">
      <alignment horizontal="left" vertical="center" indent="1"/>
    </xf>
    <xf numFmtId="0" fontId="17" fillId="3" borderId="14" applyNumberFormat="0" applyProtection="0">
      <alignment horizontal="left" vertical="top" indent="1"/>
    </xf>
    <xf numFmtId="4" fontId="18" fillId="0" borderId="14" applyNumberFormat="0" applyProtection="0">
      <alignment horizontal="right" vertical="center"/>
    </xf>
    <xf numFmtId="4" fontId="9" fillId="0" borderId="14" applyNumberFormat="0" applyProtection="0">
      <alignment horizontal="right" vertical="center"/>
    </xf>
    <xf numFmtId="4" fontId="9" fillId="34" borderId="14" applyNumberFormat="0" applyProtection="0">
      <alignment horizontal="left" vertical="center" indent="1"/>
    </xf>
    <xf numFmtId="0" fontId="9" fillId="35" borderId="14" applyNumberFormat="0" applyProtection="0">
      <alignment horizontal="left" vertical="top" indent="1"/>
    </xf>
    <xf numFmtId="0" fontId="8" fillId="30" borderId="14" applyNumberFormat="0" applyProtection="0">
      <alignment horizontal="left" vertical="top" indent="1"/>
    </xf>
    <xf numFmtId="4" fontId="8" fillId="0" borderId="14" applyNumberFormat="0" applyProtection="0">
      <alignment horizontal="right" vertical="center"/>
    </xf>
    <xf numFmtId="0" fontId="8" fillId="31" borderId="14" applyNumberFormat="0" applyProtection="0">
      <alignment horizontal="left" vertical="center" indent="1"/>
    </xf>
    <xf numFmtId="0" fontId="12" fillId="25" borderId="2">
      <alignment vertical="top"/>
      <protection locked="0" hidden="1"/>
    </xf>
    <xf numFmtId="0" fontId="53" fillId="22" borderId="13" applyNumberFormat="0" applyAlignment="0" applyProtection="0"/>
    <xf numFmtId="0" fontId="8" fillId="31" borderId="14" applyNumberFormat="0" applyProtection="0">
      <alignment horizontal="left" vertical="top" indent="1"/>
    </xf>
    <xf numFmtId="0" fontId="8" fillId="32" borderId="14" applyNumberFormat="0" applyProtection="0">
      <alignment horizontal="left" vertical="top" indent="1"/>
    </xf>
    <xf numFmtId="0" fontId="8" fillId="33" borderId="14" applyNumberFormat="0" applyProtection="0">
      <alignment horizontal="left" vertical="center" indent="1"/>
    </xf>
    <xf numFmtId="0" fontId="8" fillId="33" borderId="14" applyNumberFormat="0" applyProtection="0">
      <alignment horizontal="left" vertical="top" indent="1"/>
    </xf>
    <xf numFmtId="4" fontId="17" fillId="3" borderId="14" applyNumberFormat="0" applyProtection="0">
      <alignment vertical="center"/>
    </xf>
    <xf numFmtId="4" fontId="50" fillId="3" borderId="14" applyNumberFormat="0" applyProtection="0">
      <alignment vertical="center"/>
    </xf>
    <xf numFmtId="4" fontId="17" fillId="3" borderId="14" applyNumberFormat="0" applyProtection="0">
      <alignment horizontal="left" vertical="center" indent="1"/>
    </xf>
    <xf numFmtId="0" fontId="17" fillId="3" borderId="14" applyNumberFormat="0" applyProtection="0">
      <alignment horizontal="left" vertical="top" indent="1"/>
    </xf>
    <xf numFmtId="4" fontId="18" fillId="0" borderId="14" applyNumberFormat="0" applyProtection="0">
      <alignment horizontal="right" vertical="center"/>
    </xf>
    <xf numFmtId="0" fontId="59" fillId="0" borderId="121" applyNumberFormat="0" applyFill="0" applyAlignment="0" applyProtection="0"/>
    <xf numFmtId="4" fontId="9" fillId="0" borderId="14" applyNumberFormat="0" applyProtection="0">
      <alignment horizontal="right" vertical="center"/>
    </xf>
    <xf numFmtId="0" fontId="55" fillId="0" borderId="8">
      <alignment horizontal="right" wrapText="1"/>
    </xf>
    <xf numFmtId="4" fontId="9" fillId="34" borderId="14" applyNumberFormat="0" applyProtection="0">
      <alignment horizontal="left" vertical="center" indent="1"/>
    </xf>
    <xf numFmtId="0" fontId="9" fillId="35" borderId="14" applyNumberFormat="0" applyProtection="0">
      <alignment horizontal="left" vertical="top" indent="1"/>
    </xf>
    <xf numFmtId="4" fontId="8" fillId="0" borderId="14" applyNumberFormat="0" applyProtection="0">
      <alignment horizontal="right" vertical="center"/>
    </xf>
    <xf numFmtId="0" fontId="12" fillId="25" borderId="2">
      <alignment vertical="top"/>
      <protection locked="0" hidden="1"/>
    </xf>
    <xf numFmtId="0" fontId="53" fillId="22" borderId="13" applyNumberFormat="0" applyAlignment="0" applyProtection="0"/>
    <xf numFmtId="0" fontId="55" fillId="0" borderId="8">
      <alignment horizontal="right" wrapText="1"/>
    </xf>
    <xf numFmtId="0" fontId="8" fillId="24" borderId="6" applyNumberFormat="0" applyFont="0" applyAlignment="0" applyProtection="0"/>
    <xf numFmtId="10" fontId="12" fillId="3" borderId="12" applyNumberFormat="0" applyBorder="0" applyAlignment="0" applyProtection="0"/>
    <xf numFmtId="4" fontId="8" fillId="0" borderId="14" applyNumberFormat="0" applyProtection="0">
      <alignment horizontal="right" vertical="center"/>
    </xf>
    <xf numFmtId="10" fontId="12" fillId="3" borderId="12" applyNumberFormat="0" applyBorder="0" applyAlignment="0" applyProtection="0"/>
    <xf numFmtId="175" fontId="12" fillId="25" borderId="2">
      <alignment vertical="top"/>
      <protection locked="0" hidden="1"/>
    </xf>
    <xf numFmtId="0" fontId="8" fillId="24" borderId="6" applyNumberFormat="0" applyFont="0" applyAlignment="0" applyProtection="0"/>
    <xf numFmtId="175" fontId="12" fillId="21" borderId="2">
      <alignment vertical="top"/>
      <protection hidden="1"/>
    </xf>
    <xf numFmtId="0" fontId="55" fillId="0" borderId="8">
      <alignment horizontal="right" wrapText="1"/>
    </xf>
    <xf numFmtId="10" fontId="12" fillId="3" borderId="12" applyNumberFormat="0" applyBorder="0" applyAlignment="0" applyProtection="0"/>
    <xf numFmtId="0" fontId="28" fillId="21" borderId="2">
      <alignment vertical="top" wrapText="1"/>
      <protection hidden="1"/>
    </xf>
    <xf numFmtId="0" fontId="12" fillId="21" borderId="2">
      <alignment vertical="top" wrapText="1"/>
      <protection hidden="1"/>
    </xf>
    <xf numFmtId="0" fontId="8" fillId="24" borderId="6" applyNumberFormat="0" applyFont="0" applyAlignment="0" applyProtection="0"/>
    <xf numFmtId="4" fontId="47" fillId="27" borderId="14" applyNumberFormat="0" applyProtection="0">
      <alignment vertical="center"/>
    </xf>
    <xf numFmtId="4" fontId="17" fillId="5" borderId="14" applyNumberFormat="0" applyProtection="0">
      <alignment horizontal="right" vertical="center"/>
    </xf>
    <xf numFmtId="4" fontId="8" fillId="0" borderId="14" applyNumberFormat="0" applyProtection="0">
      <alignment horizontal="right" vertical="center"/>
    </xf>
    <xf numFmtId="4" fontId="17" fillId="12" borderId="14" applyNumberFormat="0" applyProtection="0">
      <alignment horizontal="right" vertical="center"/>
    </xf>
    <xf numFmtId="0" fontId="8" fillId="30" borderId="14" applyNumberFormat="0" applyProtection="0">
      <alignment horizontal="left" vertical="center" indent="1"/>
    </xf>
    <xf numFmtId="4" fontId="8" fillId="0" borderId="14" applyNumberFormat="0" applyProtection="0">
      <alignment horizontal="right" vertical="center"/>
    </xf>
    <xf numFmtId="0" fontId="8" fillId="32" borderId="14" applyNumberFormat="0" applyProtection="0">
      <alignment horizontal="left" vertical="center" indent="1"/>
    </xf>
    <xf numFmtId="0" fontId="9" fillId="0" borderId="8">
      <alignment horizontal="left" vertical="center"/>
    </xf>
    <xf numFmtId="0" fontId="9" fillId="0" borderId="8">
      <alignment horizontal="left" vertical="center"/>
    </xf>
    <xf numFmtId="10" fontId="12" fillId="3" borderId="12" applyNumberFormat="0" applyBorder="0" applyAlignment="0" applyProtection="0"/>
    <xf numFmtId="0" fontId="59" fillId="0" borderId="121" applyNumberFormat="0" applyFill="0" applyAlignment="0" applyProtection="0"/>
    <xf numFmtId="0" fontId="55" fillId="0" borderId="8">
      <alignment horizontal="right" wrapText="1"/>
    </xf>
    <xf numFmtId="10" fontId="12" fillId="3" borderId="12" applyNumberFormat="0" applyBorder="0" applyAlignment="0" applyProtection="0"/>
    <xf numFmtId="0" fontId="59" fillId="0" borderId="121" applyNumberFormat="0" applyFill="0" applyAlignment="0" applyProtection="0"/>
    <xf numFmtId="0" fontId="59" fillId="0" borderId="121" applyNumberFormat="0" applyFill="0" applyAlignment="0" applyProtection="0"/>
    <xf numFmtId="4" fontId="8" fillId="0" borderId="14" applyNumberFormat="0" applyProtection="0">
      <alignment horizontal="right" vertical="center"/>
    </xf>
    <xf numFmtId="0" fontId="59" fillId="0" borderId="121" applyNumberFormat="0" applyFill="0" applyAlignment="0" applyProtection="0"/>
    <xf numFmtId="0" fontId="12" fillId="21" borderId="2">
      <alignment vertical="top" wrapText="1"/>
      <protection hidden="1"/>
    </xf>
    <xf numFmtId="0" fontId="28" fillId="21" borderId="2">
      <alignment vertical="top" wrapText="1"/>
      <protection hidden="1"/>
    </xf>
    <xf numFmtId="0" fontId="29" fillId="22" borderId="3" applyNumberFormat="0" applyAlignment="0" applyProtection="0"/>
    <xf numFmtId="0" fontId="8" fillId="24" borderId="6" applyNumberFormat="0" applyFont="0" applyAlignment="0" applyProtection="0"/>
    <xf numFmtId="0" fontId="34" fillId="9" borderId="3" applyNumberFormat="0" applyAlignment="0" applyProtection="0"/>
    <xf numFmtId="175" fontId="12" fillId="25" borderId="2">
      <alignment vertical="top"/>
      <protection locked="0" hidden="1"/>
    </xf>
    <xf numFmtId="0" fontId="9" fillId="0" borderId="8">
      <alignment horizontal="left" vertical="center"/>
    </xf>
    <xf numFmtId="10" fontId="12" fillId="3" borderId="12" applyNumberFormat="0" applyBorder="0" applyAlignment="0" applyProtection="0"/>
    <xf numFmtId="0" fontId="37" fillId="21" borderId="2">
      <alignment vertical="top" wrapText="1"/>
      <protection hidden="1"/>
    </xf>
    <xf numFmtId="175" fontId="12" fillId="21" borderId="2">
      <alignment vertical="top"/>
      <protection hidden="1"/>
    </xf>
    <xf numFmtId="4" fontId="46" fillId="26" borderId="14" applyNumberFormat="0" applyProtection="0">
      <alignment vertical="center"/>
    </xf>
    <xf numFmtId="4" fontId="47" fillId="27" borderId="14" applyNumberFormat="0" applyProtection="0">
      <alignment vertical="center"/>
    </xf>
    <xf numFmtId="4" fontId="46" fillId="27" borderId="14" applyNumberFormat="0" applyProtection="0">
      <alignment horizontal="left" vertical="center" indent="1"/>
    </xf>
    <xf numFmtId="0" fontId="46" fillId="27" borderId="14" applyNumberFormat="0" applyProtection="0">
      <alignment horizontal="left" vertical="top" indent="1"/>
    </xf>
    <xf numFmtId="4" fontId="17" fillId="5" borderId="14" applyNumberFormat="0" applyProtection="0">
      <alignment horizontal="right" vertical="center"/>
    </xf>
    <xf numFmtId="4" fontId="17" fillId="11" borderId="14" applyNumberFormat="0" applyProtection="0">
      <alignment horizontal="right" vertical="center"/>
    </xf>
    <xf numFmtId="4" fontId="17" fillId="18" borderId="14" applyNumberFormat="0" applyProtection="0">
      <alignment horizontal="right" vertical="center"/>
    </xf>
    <xf numFmtId="4" fontId="17" fillId="13" borderId="14" applyNumberFormat="0" applyProtection="0">
      <alignment horizontal="right" vertical="center"/>
    </xf>
    <xf numFmtId="4" fontId="17" fillId="17" borderId="14" applyNumberFormat="0" applyProtection="0">
      <alignment horizontal="right" vertical="center"/>
    </xf>
    <xf numFmtId="4" fontId="17" fillId="20" borderId="14" applyNumberFormat="0" applyProtection="0">
      <alignment horizontal="right" vertical="center"/>
    </xf>
    <xf numFmtId="4" fontId="17" fillId="19" borderId="14" applyNumberFormat="0" applyProtection="0">
      <alignment horizontal="right" vertical="center"/>
    </xf>
    <xf numFmtId="4" fontId="17" fillId="28" borderId="14" applyNumberFormat="0" applyProtection="0">
      <alignment horizontal="right" vertical="center"/>
    </xf>
    <xf numFmtId="4" fontId="17" fillId="12" borderId="14" applyNumberFormat="0" applyProtection="0">
      <alignment horizontal="right" vertical="center"/>
    </xf>
    <xf numFmtId="4" fontId="8" fillId="0" borderId="14" applyNumberFormat="0" applyProtection="0">
      <alignment horizontal="right" vertical="center"/>
    </xf>
    <xf numFmtId="0" fontId="8" fillId="30" borderId="14" applyNumberFormat="0" applyProtection="0">
      <alignment horizontal="left" vertical="center" indent="1"/>
    </xf>
    <xf numFmtId="0" fontId="8" fillId="30" borderId="14" applyNumberFormat="0" applyProtection="0">
      <alignment horizontal="left" vertical="top" indent="1"/>
    </xf>
    <xf numFmtId="0" fontId="8" fillId="31" borderId="14" applyNumberFormat="0" applyProtection="0">
      <alignment horizontal="left" vertical="center" indent="1"/>
    </xf>
    <xf numFmtId="0" fontId="8" fillId="31" borderId="14" applyNumberFormat="0" applyProtection="0">
      <alignment horizontal="left" vertical="top" indent="1"/>
    </xf>
    <xf numFmtId="0" fontId="8" fillId="32" borderId="14" applyNumberFormat="0" applyProtection="0">
      <alignment horizontal="left" vertical="center" indent="1"/>
    </xf>
    <xf numFmtId="0" fontId="8" fillId="32" borderId="14" applyNumberFormat="0" applyProtection="0">
      <alignment horizontal="left" vertical="top" indent="1"/>
    </xf>
    <xf numFmtId="0" fontId="8" fillId="33" borderId="14" applyNumberFormat="0" applyProtection="0">
      <alignment horizontal="left" vertical="center" indent="1"/>
    </xf>
    <xf numFmtId="0" fontId="8" fillId="33" borderId="14" applyNumberFormat="0" applyProtection="0">
      <alignment horizontal="left" vertical="top" indent="1"/>
    </xf>
    <xf numFmtId="4" fontId="17" fillId="3" borderId="14" applyNumberFormat="0" applyProtection="0">
      <alignment vertical="center"/>
    </xf>
    <xf numFmtId="4" fontId="50" fillId="3" borderId="14" applyNumberFormat="0" applyProtection="0">
      <alignment vertical="center"/>
    </xf>
    <xf numFmtId="4" fontId="17" fillId="3" borderId="14" applyNumberFormat="0" applyProtection="0">
      <alignment horizontal="left" vertical="center" indent="1"/>
    </xf>
    <xf numFmtId="0" fontId="17" fillId="3" borderId="14" applyNumberFormat="0" applyProtection="0">
      <alignment horizontal="left" vertical="top" indent="1"/>
    </xf>
    <xf numFmtId="4" fontId="18" fillId="0" borderId="14" applyNumberFormat="0" applyProtection="0">
      <alignment horizontal="right" vertical="center"/>
    </xf>
    <xf numFmtId="4" fontId="9" fillId="0" borderId="14" applyNumberFormat="0" applyProtection="0">
      <alignment horizontal="right" vertical="center"/>
    </xf>
    <xf numFmtId="4" fontId="9" fillId="34" borderId="14" applyNumberFormat="0" applyProtection="0">
      <alignment horizontal="left" vertical="center" indent="1"/>
    </xf>
    <xf numFmtId="0" fontId="9" fillId="35" borderId="14" applyNumberFormat="0" applyProtection="0">
      <alignment horizontal="left" vertical="top" indent="1"/>
    </xf>
    <xf numFmtId="4" fontId="8" fillId="0" borderId="14" applyNumberFormat="0" applyProtection="0">
      <alignment horizontal="right" vertical="center"/>
    </xf>
    <xf numFmtId="0" fontId="12" fillId="25" borderId="2">
      <alignment vertical="top"/>
      <protection locked="0" hidden="1"/>
    </xf>
    <xf numFmtId="0" fontId="53" fillId="22" borderId="13" applyNumberFormat="0" applyAlignment="0" applyProtection="0"/>
    <xf numFmtId="0" fontId="59" fillId="0" borderId="121" applyNumberFormat="0" applyFill="0" applyAlignment="0" applyProtection="0"/>
    <xf numFmtId="0" fontId="55" fillId="0" borderId="8">
      <alignment horizontal="right" wrapText="1"/>
    </xf>
    <xf numFmtId="0" fontId="8" fillId="24" borderId="6" applyNumberFormat="0" applyFont="0" applyAlignment="0" applyProtection="0"/>
    <xf numFmtId="10" fontId="12" fillId="3" borderId="12" applyNumberFormat="0" applyBorder="0" applyAlignment="0" applyProtection="0"/>
    <xf numFmtId="4" fontId="8" fillId="0" borderId="14" applyNumberFormat="0" applyProtection="0">
      <alignment horizontal="right" vertical="center"/>
    </xf>
    <xf numFmtId="4" fontId="8" fillId="0" borderId="14" applyNumberFormat="0" applyProtection="0">
      <alignment horizontal="right" vertical="center"/>
    </xf>
    <xf numFmtId="0" fontId="8" fillId="24" borderId="6" applyNumberFormat="0" applyFont="0" applyAlignment="0" applyProtection="0"/>
    <xf numFmtId="0" fontId="12" fillId="25" borderId="2">
      <alignment vertical="top"/>
      <protection locked="0" hidden="1"/>
    </xf>
    <xf numFmtId="4" fontId="8" fillId="0" borderId="14" applyNumberFormat="0" applyProtection="0">
      <alignment horizontal="right" vertical="center"/>
    </xf>
    <xf numFmtId="4" fontId="8" fillId="0" borderId="14" applyNumberFormat="0" applyProtection="0">
      <alignment horizontal="right" vertical="center"/>
    </xf>
    <xf numFmtId="10" fontId="12" fillId="3" borderId="12" applyNumberFormat="0" applyBorder="0" applyAlignment="0" applyProtection="0"/>
    <xf numFmtId="0" fontId="8" fillId="24" borderId="6" applyNumberFormat="0" applyFont="0" applyAlignment="0" applyProtection="0"/>
    <xf numFmtId="0" fontId="55" fillId="0" borderId="8">
      <alignment horizontal="right" wrapText="1"/>
    </xf>
    <xf numFmtId="0" fontId="53" fillId="22" borderId="13" applyNumberFormat="0" applyAlignment="0" applyProtection="0"/>
    <xf numFmtId="0" fontId="12" fillId="25" borderId="2">
      <alignment vertical="top"/>
      <protection locked="0" hidden="1"/>
    </xf>
    <xf numFmtId="4" fontId="8" fillId="0" borderId="14" applyNumberFormat="0" applyProtection="0">
      <alignment horizontal="right" vertical="center"/>
    </xf>
    <xf numFmtId="0" fontId="9" fillId="35" borderId="14" applyNumberFormat="0" applyProtection="0">
      <alignment horizontal="left" vertical="top" indent="1"/>
    </xf>
    <xf numFmtId="4" fontId="9" fillId="34" borderId="14" applyNumberFormat="0" applyProtection="0">
      <alignment horizontal="left" vertical="center" indent="1"/>
    </xf>
    <xf numFmtId="4" fontId="9" fillId="0" borderId="14" applyNumberFormat="0" applyProtection="0">
      <alignment horizontal="right" vertical="center"/>
    </xf>
    <xf numFmtId="4" fontId="18" fillId="0" borderId="14" applyNumberFormat="0" applyProtection="0">
      <alignment horizontal="right" vertical="center"/>
    </xf>
    <xf numFmtId="0" fontId="17" fillId="3" borderId="14" applyNumberFormat="0" applyProtection="0">
      <alignment horizontal="left" vertical="top" indent="1"/>
    </xf>
    <xf numFmtId="4" fontId="17" fillId="3" borderId="14" applyNumberFormat="0" applyProtection="0">
      <alignment horizontal="left" vertical="center" indent="1"/>
    </xf>
    <xf numFmtId="4" fontId="50" fillId="3" borderId="14" applyNumberFormat="0" applyProtection="0">
      <alignment vertical="center"/>
    </xf>
    <xf numFmtId="4" fontId="17" fillId="3" borderId="14" applyNumberFormat="0" applyProtection="0">
      <alignment vertical="center"/>
    </xf>
    <xf numFmtId="0" fontId="8" fillId="33" borderId="14" applyNumberFormat="0" applyProtection="0">
      <alignment horizontal="left" vertical="top" indent="1"/>
    </xf>
    <xf numFmtId="0" fontId="8" fillId="33" borderId="14" applyNumberFormat="0" applyProtection="0">
      <alignment horizontal="left" vertical="center" indent="1"/>
    </xf>
    <xf numFmtId="0" fontId="8" fillId="32" borderId="14" applyNumberFormat="0" applyProtection="0">
      <alignment horizontal="left" vertical="top" indent="1"/>
    </xf>
    <xf numFmtId="0" fontId="8" fillId="32" borderId="14" applyNumberFormat="0" applyProtection="0">
      <alignment horizontal="left" vertical="center" indent="1"/>
    </xf>
    <xf numFmtId="0" fontId="8" fillId="31" borderId="14" applyNumberFormat="0" applyProtection="0">
      <alignment horizontal="left" vertical="top" indent="1"/>
    </xf>
    <xf numFmtId="0" fontId="8" fillId="31" borderId="14" applyNumberFormat="0" applyProtection="0">
      <alignment horizontal="left" vertical="center" indent="1"/>
    </xf>
    <xf numFmtId="0" fontId="8" fillId="30" borderId="14" applyNumberFormat="0" applyProtection="0">
      <alignment horizontal="left" vertical="top" indent="1"/>
    </xf>
    <xf numFmtId="0" fontId="8" fillId="30" borderId="14" applyNumberFormat="0" applyProtection="0">
      <alignment horizontal="left" vertical="center" indent="1"/>
    </xf>
    <xf numFmtId="4" fontId="8" fillId="0" borderId="14" applyNumberFormat="0" applyProtection="0">
      <alignment horizontal="right" vertical="center"/>
    </xf>
    <xf numFmtId="4" fontId="17" fillId="12" borderId="14" applyNumberFormat="0" applyProtection="0">
      <alignment horizontal="right" vertical="center"/>
    </xf>
    <xf numFmtId="4" fontId="17" fillId="28" borderId="14" applyNumberFormat="0" applyProtection="0">
      <alignment horizontal="right" vertical="center"/>
    </xf>
    <xf numFmtId="4" fontId="17" fillId="19" borderId="14" applyNumberFormat="0" applyProtection="0">
      <alignment horizontal="right" vertical="center"/>
    </xf>
    <xf numFmtId="4" fontId="17" fillId="20" borderId="14" applyNumberFormat="0" applyProtection="0">
      <alignment horizontal="right" vertical="center"/>
    </xf>
    <xf numFmtId="4" fontId="17" fillId="17" borderId="14" applyNumberFormat="0" applyProtection="0">
      <alignment horizontal="right" vertical="center"/>
    </xf>
    <xf numFmtId="4" fontId="17" fillId="13" borderId="14" applyNumberFormat="0" applyProtection="0">
      <alignment horizontal="right" vertical="center"/>
    </xf>
    <xf numFmtId="4" fontId="17" fillId="18" borderId="14" applyNumberFormat="0" applyProtection="0">
      <alignment horizontal="right" vertical="center"/>
    </xf>
    <xf numFmtId="4" fontId="17" fillId="11" borderId="14" applyNumberFormat="0" applyProtection="0">
      <alignment horizontal="right" vertical="center"/>
    </xf>
    <xf numFmtId="0" fontId="46" fillId="27" borderId="14" applyNumberFormat="0" applyProtection="0">
      <alignment horizontal="left" vertical="top" indent="1"/>
    </xf>
    <xf numFmtId="4" fontId="46" fillId="27" borderId="14" applyNumberFormat="0" applyProtection="0">
      <alignment horizontal="left" vertical="center" indent="1"/>
    </xf>
    <xf numFmtId="4" fontId="47" fillId="27" borderId="14" applyNumberFormat="0" applyProtection="0">
      <alignment vertical="center"/>
    </xf>
    <xf numFmtId="4" fontId="46" fillId="26" borderId="14" applyNumberFormat="0" applyProtection="0">
      <alignment vertical="center"/>
    </xf>
    <xf numFmtId="175" fontId="12" fillId="21" borderId="2">
      <alignment vertical="top"/>
      <protection hidden="1"/>
    </xf>
    <xf numFmtId="0" fontId="37" fillId="21" borderId="2">
      <alignment vertical="top" wrapText="1"/>
      <protection hidden="1"/>
    </xf>
    <xf numFmtId="10" fontId="12" fillId="3" borderId="12" applyNumberFormat="0" applyBorder="0" applyAlignment="0" applyProtection="0"/>
    <xf numFmtId="0" fontId="9" fillId="0" borderId="8">
      <alignment horizontal="left" vertical="center"/>
    </xf>
    <xf numFmtId="175" fontId="12" fillId="25" borderId="2">
      <alignment vertical="top"/>
      <protection locked="0" hidden="1"/>
    </xf>
    <xf numFmtId="0" fontId="34" fillId="9" borderId="3" applyNumberFormat="0" applyAlignment="0" applyProtection="0"/>
    <xf numFmtId="0" fontId="8" fillId="24" borderId="6" applyNumberFormat="0" applyFont="0" applyAlignment="0" applyProtection="0"/>
    <xf numFmtId="0" fontId="29" fillId="22" borderId="3" applyNumberFormat="0" applyAlignment="0" applyProtection="0"/>
    <xf numFmtId="0" fontId="28" fillId="21" borderId="2">
      <alignment vertical="top" wrapText="1"/>
      <protection hidden="1"/>
    </xf>
    <xf numFmtId="0" fontId="12" fillId="21" borderId="2">
      <alignment vertical="top" wrapText="1"/>
      <protection hidden="1"/>
    </xf>
    <xf numFmtId="0" fontId="55" fillId="0" borderId="8">
      <alignment horizontal="right" wrapText="1"/>
    </xf>
    <xf numFmtId="0" fontId="53" fillId="22" borderId="13" applyNumberFormat="0" applyAlignment="0" applyProtection="0"/>
    <xf numFmtId="0" fontId="9" fillId="35" borderId="14" applyNumberFormat="0" applyProtection="0">
      <alignment horizontal="left" vertical="top" indent="1"/>
    </xf>
    <xf numFmtId="4" fontId="9" fillId="34" borderId="14" applyNumberFormat="0" applyProtection="0">
      <alignment horizontal="left" vertical="center" indent="1"/>
    </xf>
    <xf numFmtId="4" fontId="9" fillId="0" borderId="14" applyNumberFormat="0" applyProtection="0">
      <alignment horizontal="right" vertical="center"/>
    </xf>
    <xf numFmtId="4" fontId="18" fillId="0" borderId="14" applyNumberFormat="0" applyProtection="0">
      <alignment horizontal="right" vertical="center"/>
    </xf>
    <xf numFmtId="0" fontId="17" fillId="3" borderId="14" applyNumberFormat="0" applyProtection="0">
      <alignment horizontal="left" vertical="top" indent="1"/>
    </xf>
    <xf numFmtId="4" fontId="17" fillId="3" borderId="14" applyNumberFormat="0" applyProtection="0">
      <alignment horizontal="left" vertical="center" indent="1"/>
    </xf>
    <xf numFmtId="4" fontId="50" fillId="3" borderId="14" applyNumberFormat="0" applyProtection="0">
      <alignment vertical="center"/>
    </xf>
    <xf numFmtId="4" fontId="17" fillId="3" borderId="14" applyNumberFormat="0" applyProtection="0">
      <alignment vertical="center"/>
    </xf>
    <xf numFmtId="0" fontId="8" fillId="33" borderId="14" applyNumberFormat="0" applyProtection="0">
      <alignment horizontal="left" vertical="top" indent="1"/>
    </xf>
    <xf numFmtId="0" fontId="8" fillId="33" borderId="14" applyNumberFormat="0" applyProtection="0">
      <alignment horizontal="left" vertical="center" indent="1"/>
    </xf>
    <xf numFmtId="0" fontId="8" fillId="32" borderId="14" applyNumberFormat="0" applyProtection="0">
      <alignment horizontal="left" vertical="top" indent="1"/>
    </xf>
    <xf numFmtId="0" fontId="8" fillId="32" borderId="14" applyNumberFormat="0" applyProtection="0">
      <alignment horizontal="left" vertical="center" indent="1"/>
    </xf>
    <xf numFmtId="0" fontId="8" fillId="31" borderId="14" applyNumberFormat="0" applyProtection="0">
      <alignment horizontal="left" vertical="top" indent="1"/>
    </xf>
    <xf numFmtId="0" fontId="8" fillId="31" borderId="14" applyNumberFormat="0" applyProtection="0">
      <alignment horizontal="left" vertical="center" indent="1"/>
    </xf>
    <xf numFmtId="0" fontId="8" fillId="30" borderId="14" applyNumberFormat="0" applyProtection="0">
      <alignment horizontal="left" vertical="top" indent="1"/>
    </xf>
    <xf numFmtId="0" fontId="8" fillId="30" borderId="14" applyNumberFormat="0" applyProtection="0">
      <alignment horizontal="left" vertical="center" indent="1"/>
    </xf>
    <xf numFmtId="4" fontId="8" fillId="0" borderId="14" applyNumberFormat="0" applyProtection="0">
      <alignment horizontal="right" vertical="center"/>
    </xf>
    <xf numFmtId="4" fontId="17" fillId="12" borderId="14" applyNumberFormat="0" applyProtection="0">
      <alignment horizontal="right" vertical="center"/>
    </xf>
    <xf numFmtId="4" fontId="17" fillId="28" borderId="14" applyNumberFormat="0" applyProtection="0">
      <alignment horizontal="right" vertical="center"/>
    </xf>
    <xf numFmtId="4" fontId="17" fillId="19" borderId="14" applyNumberFormat="0" applyProtection="0">
      <alignment horizontal="right" vertical="center"/>
    </xf>
    <xf numFmtId="4" fontId="17" fillId="20" borderId="14" applyNumberFormat="0" applyProtection="0">
      <alignment horizontal="right" vertical="center"/>
    </xf>
    <xf numFmtId="4" fontId="17" fillId="17" borderId="14" applyNumberFormat="0" applyProtection="0">
      <alignment horizontal="right" vertical="center"/>
    </xf>
    <xf numFmtId="4" fontId="17" fillId="13" borderId="14" applyNumberFormat="0" applyProtection="0">
      <alignment horizontal="right" vertical="center"/>
    </xf>
    <xf numFmtId="4" fontId="17" fillId="18" borderId="14" applyNumberFormat="0" applyProtection="0">
      <alignment horizontal="right" vertical="center"/>
    </xf>
    <xf numFmtId="4" fontId="17" fillId="11" borderId="14" applyNumberFormat="0" applyProtection="0">
      <alignment horizontal="right" vertical="center"/>
    </xf>
    <xf numFmtId="4" fontId="17" fillId="5" borderId="14" applyNumberFormat="0" applyProtection="0">
      <alignment horizontal="right" vertical="center"/>
    </xf>
    <xf numFmtId="0" fontId="46" fillId="27" borderId="14" applyNumberFormat="0" applyProtection="0">
      <alignment horizontal="left" vertical="top" indent="1"/>
    </xf>
    <xf numFmtId="4" fontId="46" fillId="27" borderId="14" applyNumberFormat="0" applyProtection="0">
      <alignment horizontal="left" vertical="center" indent="1"/>
    </xf>
    <xf numFmtId="4" fontId="47" fillId="27" borderId="14" applyNumberFormat="0" applyProtection="0">
      <alignment vertical="center"/>
    </xf>
    <xf numFmtId="4" fontId="46" fillId="26" borderId="14" applyNumberFormat="0" applyProtection="0">
      <alignment vertical="center"/>
    </xf>
    <xf numFmtId="175" fontId="12" fillId="21" borderId="2">
      <alignment vertical="top"/>
      <protection hidden="1"/>
    </xf>
    <xf numFmtId="0" fontId="37" fillId="21" borderId="2">
      <alignment vertical="top" wrapText="1"/>
      <protection hidden="1"/>
    </xf>
    <xf numFmtId="10" fontId="12" fillId="3" borderId="12" applyNumberFormat="0" applyBorder="0" applyAlignment="0" applyProtection="0"/>
    <xf numFmtId="0" fontId="9" fillId="0" borderId="8">
      <alignment horizontal="left" vertical="center"/>
    </xf>
    <xf numFmtId="175" fontId="12" fillId="25" borderId="2">
      <alignment vertical="top"/>
      <protection locked="0" hidden="1"/>
    </xf>
    <xf numFmtId="0" fontId="34" fillId="9" borderId="3" applyNumberFormat="0" applyAlignment="0" applyProtection="0"/>
    <xf numFmtId="0" fontId="8" fillId="24" borderId="6" applyNumberFormat="0" applyFont="0" applyAlignment="0" applyProtection="0"/>
    <xf numFmtId="0" fontId="29" fillId="22" borderId="3" applyNumberFormat="0" applyAlignment="0" applyProtection="0"/>
    <xf numFmtId="0" fontId="28" fillId="21" borderId="2">
      <alignment vertical="top" wrapText="1"/>
      <protection hidden="1"/>
    </xf>
    <xf numFmtId="0" fontId="12" fillId="21" borderId="2">
      <alignment vertical="top" wrapText="1"/>
      <protection hidden="1"/>
    </xf>
    <xf numFmtId="0" fontId="59" fillId="0" borderId="121" applyNumberFormat="0" applyFill="0" applyAlignment="0" applyProtection="0"/>
    <xf numFmtId="4" fontId="17" fillId="5" borderId="14" applyNumberFormat="0" applyProtection="0">
      <alignment horizontal="right" vertical="center"/>
    </xf>
    <xf numFmtId="10" fontId="12" fillId="3" borderId="12" applyNumberFormat="0" applyBorder="0" applyAlignment="0" applyProtection="0"/>
    <xf numFmtId="4" fontId="8" fillId="0" borderId="14" applyNumberFormat="0" applyProtection="0">
      <alignment horizontal="right" vertical="center"/>
    </xf>
    <xf numFmtId="4" fontId="8" fillId="0" borderId="14" applyNumberFormat="0" applyProtection="0">
      <alignment horizontal="right" vertical="center"/>
    </xf>
    <xf numFmtId="4" fontId="8" fillId="0" borderId="14" applyNumberFormat="0" applyProtection="0">
      <alignment horizontal="right" vertical="center"/>
    </xf>
    <xf numFmtId="0" fontId="12" fillId="21" borderId="2">
      <alignment vertical="top" wrapText="1"/>
      <protection hidden="1"/>
    </xf>
    <xf numFmtId="0" fontId="28" fillId="21" borderId="2">
      <alignment vertical="top" wrapText="1"/>
      <protection hidden="1"/>
    </xf>
    <xf numFmtId="0" fontId="29" fillId="22" borderId="3" applyNumberFormat="0" applyAlignment="0" applyProtection="0"/>
    <xf numFmtId="0" fontId="8" fillId="24" borderId="6" applyNumberFormat="0" applyFont="0" applyAlignment="0" applyProtection="0"/>
    <xf numFmtId="0" fontId="34" fillId="9" borderId="3" applyNumberFormat="0" applyAlignment="0" applyProtection="0"/>
    <xf numFmtId="175" fontId="12" fillId="25" borderId="2">
      <alignment vertical="top"/>
      <protection locked="0" hidden="1"/>
    </xf>
    <xf numFmtId="0" fontId="9" fillId="0" borderId="8">
      <alignment horizontal="left" vertical="center"/>
    </xf>
    <xf numFmtId="10" fontId="12" fillId="3" borderId="12" applyNumberFormat="0" applyBorder="0" applyAlignment="0" applyProtection="0"/>
    <xf numFmtId="0" fontId="37" fillId="21" borderId="2">
      <alignment vertical="top" wrapText="1"/>
      <protection hidden="1"/>
    </xf>
    <xf numFmtId="175" fontId="12" fillId="21" borderId="2">
      <alignment vertical="top"/>
      <protection hidden="1"/>
    </xf>
    <xf numFmtId="4" fontId="46" fillId="26" borderId="14" applyNumberFormat="0" applyProtection="0">
      <alignment vertical="center"/>
    </xf>
    <xf numFmtId="4" fontId="47" fillId="27" borderId="14" applyNumberFormat="0" applyProtection="0">
      <alignment vertical="center"/>
    </xf>
    <xf numFmtId="4" fontId="46" fillId="27" borderId="14" applyNumberFormat="0" applyProtection="0">
      <alignment horizontal="left" vertical="center" indent="1"/>
    </xf>
    <xf numFmtId="0" fontId="46" fillId="27" borderId="14" applyNumberFormat="0" applyProtection="0">
      <alignment horizontal="left" vertical="top" indent="1"/>
    </xf>
    <xf numFmtId="4" fontId="17" fillId="5" borderId="14" applyNumberFormat="0" applyProtection="0">
      <alignment horizontal="right" vertical="center"/>
    </xf>
    <xf numFmtId="4" fontId="17" fillId="11" borderId="14" applyNumberFormat="0" applyProtection="0">
      <alignment horizontal="right" vertical="center"/>
    </xf>
    <xf numFmtId="4" fontId="17" fillId="18" borderId="14" applyNumberFormat="0" applyProtection="0">
      <alignment horizontal="right" vertical="center"/>
    </xf>
    <xf numFmtId="4" fontId="17" fillId="13" borderId="14" applyNumberFormat="0" applyProtection="0">
      <alignment horizontal="right" vertical="center"/>
    </xf>
    <xf numFmtId="4" fontId="17" fillId="17" borderId="14" applyNumberFormat="0" applyProtection="0">
      <alignment horizontal="right" vertical="center"/>
    </xf>
    <xf numFmtId="4" fontId="17" fillId="20" borderId="14" applyNumberFormat="0" applyProtection="0">
      <alignment horizontal="right" vertical="center"/>
    </xf>
    <xf numFmtId="4" fontId="17" fillId="19" borderId="14" applyNumberFormat="0" applyProtection="0">
      <alignment horizontal="right" vertical="center"/>
    </xf>
    <xf numFmtId="4" fontId="17" fillId="28" borderId="14" applyNumberFormat="0" applyProtection="0">
      <alignment horizontal="right" vertical="center"/>
    </xf>
    <xf numFmtId="4" fontId="17" fillId="12" borderId="14" applyNumberFormat="0" applyProtection="0">
      <alignment horizontal="right" vertical="center"/>
    </xf>
    <xf numFmtId="4" fontId="8" fillId="0" borderId="14" applyNumberFormat="0" applyProtection="0">
      <alignment horizontal="right" vertical="center"/>
    </xf>
    <xf numFmtId="0" fontId="8" fillId="30" borderId="14" applyNumberFormat="0" applyProtection="0">
      <alignment horizontal="left" vertical="center" indent="1"/>
    </xf>
    <xf numFmtId="0" fontId="8" fillId="30" borderId="14" applyNumberFormat="0" applyProtection="0">
      <alignment horizontal="left" vertical="top" indent="1"/>
    </xf>
    <xf numFmtId="0" fontId="8" fillId="31" borderId="14" applyNumberFormat="0" applyProtection="0">
      <alignment horizontal="left" vertical="center" indent="1"/>
    </xf>
    <xf numFmtId="0" fontId="8" fillId="31" borderId="14" applyNumberFormat="0" applyProtection="0">
      <alignment horizontal="left" vertical="top" indent="1"/>
    </xf>
    <xf numFmtId="0" fontId="8" fillId="32" borderId="14" applyNumberFormat="0" applyProtection="0">
      <alignment horizontal="left" vertical="center" indent="1"/>
    </xf>
    <xf numFmtId="0" fontId="8" fillId="32" borderId="14" applyNumberFormat="0" applyProtection="0">
      <alignment horizontal="left" vertical="top" indent="1"/>
    </xf>
    <xf numFmtId="0" fontId="8" fillId="33" borderId="14" applyNumberFormat="0" applyProtection="0">
      <alignment horizontal="left" vertical="center" indent="1"/>
    </xf>
    <xf numFmtId="0" fontId="8" fillId="33" borderId="14" applyNumberFormat="0" applyProtection="0">
      <alignment horizontal="left" vertical="top" indent="1"/>
    </xf>
    <xf numFmtId="4" fontId="17" fillId="3" borderId="14" applyNumberFormat="0" applyProtection="0">
      <alignment vertical="center"/>
    </xf>
    <xf numFmtId="4" fontId="50" fillId="3" borderId="14" applyNumberFormat="0" applyProtection="0">
      <alignment vertical="center"/>
    </xf>
    <xf numFmtId="4" fontId="17" fillId="3" borderId="14" applyNumberFormat="0" applyProtection="0">
      <alignment horizontal="left" vertical="center" indent="1"/>
    </xf>
    <xf numFmtId="0" fontId="17" fillId="3" borderId="14" applyNumberFormat="0" applyProtection="0">
      <alignment horizontal="left" vertical="top" indent="1"/>
    </xf>
    <xf numFmtId="4" fontId="18" fillId="0" borderId="14" applyNumberFormat="0" applyProtection="0">
      <alignment horizontal="right" vertical="center"/>
    </xf>
    <xf numFmtId="4" fontId="9" fillId="0" borderId="14" applyNumberFormat="0" applyProtection="0">
      <alignment horizontal="right" vertical="center"/>
    </xf>
    <xf numFmtId="4" fontId="9" fillId="34" borderId="14" applyNumberFormat="0" applyProtection="0">
      <alignment horizontal="left" vertical="center" indent="1"/>
    </xf>
    <xf numFmtId="0" fontId="9" fillId="35" borderId="14" applyNumberFormat="0" applyProtection="0">
      <alignment horizontal="left" vertical="top" indent="1"/>
    </xf>
    <xf numFmtId="4" fontId="8" fillId="0" borderId="14" applyNumberFormat="0" applyProtection="0">
      <alignment horizontal="right" vertical="center"/>
    </xf>
    <xf numFmtId="0" fontId="12" fillId="25" borderId="2">
      <alignment vertical="top"/>
      <protection locked="0" hidden="1"/>
    </xf>
    <xf numFmtId="0" fontId="53" fillId="22" borderId="13" applyNumberFormat="0" applyAlignment="0" applyProtection="0"/>
    <xf numFmtId="0" fontId="59" fillId="0" borderId="121" applyNumberFormat="0" applyFill="0" applyAlignment="0" applyProtection="0"/>
    <xf numFmtId="0" fontId="55" fillId="0" borderId="8">
      <alignment horizontal="right" wrapText="1"/>
    </xf>
    <xf numFmtId="0" fontId="8" fillId="24" borderId="6" applyNumberFormat="0" applyFont="0" applyAlignment="0" applyProtection="0"/>
    <xf numFmtId="10" fontId="12" fillId="3" borderId="12" applyNumberFormat="0" applyBorder="0" applyAlignment="0" applyProtection="0"/>
    <xf numFmtId="4" fontId="8" fillId="0" borderId="14" applyNumberFormat="0" applyProtection="0">
      <alignment horizontal="right" vertical="center"/>
    </xf>
    <xf numFmtId="4" fontId="8" fillId="0" borderId="14" applyNumberFormat="0" applyProtection="0">
      <alignment horizontal="right" vertical="center"/>
    </xf>
    <xf numFmtId="0" fontId="12" fillId="21" borderId="2">
      <alignment vertical="top" wrapText="1"/>
      <protection hidden="1"/>
    </xf>
    <xf numFmtId="0" fontId="28" fillId="21" borderId="2">
      <alignment vertical="top" wrapText="1"/>
      <protection hidden="1"/>
    </xf>
    <xf numFmtId="0" fontId="29" fillId="22" borderId="3" applyNumberFormat="0" applyAlignment="0" applyProtection="0"/>
    <xf numFmtId="0" fontId="8" fillId="24" borderId="6" applyNumberFormat="0" applyFont="0" applyAlignment="0" applyProtection="0"/>
    <xf numFmtId="4" fontId="8" fillId="0" borderId="14" applyNumberFormat="0" applyProtection="0">
      <alignment horizontal="right" vertical="center"/>
    </xf>
    <xf numFmtId="0" fontId="34" fillId="9" borderId="3" applyNumberFormat="0" applyAlignment="0" applyProtection="0"/>
    <xf numFmtId="175" fontId="12" fillId="25" borderId="2">
      <alignment vertical="top"/>
      <protection locked="0" hidden="1"/>
    </xf>
    <xf numFmtId="0" fontId="9" fillId="0" borderId="8">
      <alignment horizontal="left" vertical="center"/>
    </xf>
    <xf numFmtId="10" fontId="12" fillId="3" borderId="12" applyNumberFormat="0" applyBorder="0" applyAlignment="0" applyProtection="0"/>
    <xf numFmtId="0" fontId="37" fillId="21" borderId="2">
      <alignment vertical="top" wrapText="1"/>
      <protection hidden="1"/>
    </xf>
    <xf numFmtId="4" fontId="46" fillId="26" borderId="14" applyNumberFormat="0" applyProtection="0">
      <alignment vertical="center"/>
    </xf>
    <xf numFmtId="4" fontId="47" fillId="27" borderId="14" applyNumberFormat="0" applyProtection="0">
      <alignment vertical="center"/>
    </xf>
    <xf numFmtId="4" fontId="46" fillId="27" borderId="14" applyNumberFormat="0" applyProtection="0">
      <alignment horizontal="left" vertical="center" indent="1"/>
    </xf>
    <xf numFmtId="0" fontId="46" fillId="27" borderId="14" applyNumberFormat="0" applyProtection="0">
      <alignment horizontal="left" vertical="top" indent="1"/>
    </xf>
    <xf numFmtId="4" fontId="17" fillId="5" borderId="14" applyNumberFormat="0" applyProtection="0">
      <alignment horizontal="right" vertical="center"/>
    </xf>
    <xf numFmtId="4" fontId="17" fillId="11" borderId="14" applyNumberFormat="0" applyProtection="0">
      <alignment horizontal="right" vertical="center"/>
    </xf>
    <xf numFmtId="4" fontId="17" fillId="18" borderId="14" applyNumberFormat="0" applyProtection="0">
      <alignment horizontal="right" vertical="center"/>
    </xf>
    <xf numFmtId="4" fontId="17" fillId="13" borderId="14" applyNumberFormat="0" applyProtection="0">
      <alignment horizontal="right" vertical="center"/>
    </xf>
    <xf numFmtId="4" fontId="17" fillId="17" borderId="14" applyNumberFormat="0" applyProtection="0">
      <alignment horizontal="right" vertical="center"/>
    </xf>
    <xf numFmtId="4" fontId="17" fillId="20" borderId="14" applyNumberFormat="0" applyProtection="0">
      <alignment horizontal="right" vertical="center"/>
    </xf>
    <xf numFmtId="4" fontId="17" fillId="19" borderId="14" applyNumberFormat="0" applyProtection="0">
      <alignment horizontal="right" vertical="center"/>
    </xf>
    <xf numFmtId="4" fontId="17" fillId="28" borderId="14" applyNumberFormat="0" applyProtection="0">
      <alignment horizontal="right" vertical="center"/>
    </xf>
    <xf numFmtId="4" fontId="17" fillId="12" borderId="14" applyNumberFormat="0" applyProtection="0">
      <alignment horizontal="right" vertical="center"/>
    </xf>
    <xf numFmtId="4" fontId="8" fillId="0" borderId="14" applyNumberFormat="0" applyProtection="0">
      <alignment horizontal="right" vertical="center"/>
    </xf>
    <xf numFmtId="0" fontId="8" fillId="30" borderId="14" applyNumberFormat="0" applyProtection="0">
      <alignment horizontal="left" vertical="center" indent="1"/>
    </xf>
    <xf numFmtId="0" fontId="8" fillId="30" borderId="14" applyNumberFormat="0" applyProtection="0">
      <alignment horizontal="left" vertical="top" indent="1"/>
    </xf>
    <xf numFmtId="0" fontId="8" fillId="31" borderId="14" applyNumberFormat="0" applyProtection="0">
      <alignment horizontal="left" vertical="center" indent="1"/>
    </xf>
    <xf numFmtId="0" fontId="8" fillId="31" borderId="14" applyNumberFormat="0" applyProtection="0">
      <alignment horizontal="left" vertical="top" indent="1"/>
    </xf>
    <xf numFmtId="0" fontId="8" fillId="32" borderId="14" applyNumberFormat="0" applyProtection="0">
      <alignment horizontal="left" vertical="center" indent="1"/>
    </xf>
    <xf numFmtId="0" fontId="8" fillId="32" borderId="14" applyNumberFormat="0" applyProtection="0">
      <alignment horizontal="left" vertical="top" indent="1"/>
    </xf>
    <xf numFmtId="0" fontId="8" fillId="33" borderId="14" applyNumberFormat="0" applyProtection="0">
      <alignment horizontal="left" vertical="center" indent="1"/>
    </xf>
    <xf numFmtId="0" fontId="8" fillId="33" borderId="14" applyNumberFormat="0" applyProtection="0">
      <alignment horizontal="left" vertical="top" indent="1"/>
    </xf>
    <xf numFmtId="4" fontId="17" fillId="3" borderId="14" applyNumberFormat="0" applyProtection="0">
      <alignment vertical="center"/>
    </xf>
    <xf numFmtId="4" fontId="50" fillId="3" borderId="14" applyNumberFormat="0" applyProtection="0">
      <alignment vertical="center"/>
    </xf>
    <xf numFmtId="4" fontId="17" fillId="3" borderId="14" applyNumberFormat="0" applyProtection="0">
      <alignment horizontal="left" vertical="center" indent="1"/>
    </xf>
    <xf numFmtId="0" fontId="17" fillId="3" borderId="14" applyNumberFormat="0" applyProtection="0">
      <alignment horizontal="left" vertical="top" indent="1"/>
    </xf>
    <xf numFmtId="4" fontId="18" fillId="0" borderId="14" applyNumberFormat="0" applyProtection="0">
      <alignment horizontal="right" vertical="center"/>
    </xf>
    <xf numFmtId="4" fontId="9" fillId="0" borderId="14" applyNumberFormat="0" applyProtection="0">
      <alignment horizontal="right" vertical="center"/>
    </xf>
    <xf numFmtId="4" fontId="9" fillId="34" borderId="14" applyNumberFormat="0" applyProtection="0">
      <alignment horizontal="left" vertical="center" indent="1"/>
    </xf>
    <xf numFmtId="0" fontId="9" fillId="35" borderId="14" applyNumberFormat="0" applyProtection="0">
      <alignment horizontal="left" vertical="top" indent="1"/>
    </xf>
    <xf numFmtId="4" fontId="8" fillId="0" borderId="14" applyNumberFormat="0" applyProtection="0">
      <alignment horizontal="right" vertical="center"/>
    </xf>
    <xf numFmtId="0" fontId="12" fillId="25" borderId="2">
      <alignment vertical="top"/>
      <protection locked="0" hidden="1"/>
    </xf>
    <xf numFmtId="0" fontId="53" fillId="22" borderId="13" applyNumberFormat="0" applyAlignment="0" applyProtection="0"/>
    <xf numFmtId="0" fontId="8" fillId="24" borderId="6" applyNumberFormat="0" applyFont="0" applyAlignment="0" applyProtection="0"/>
    <xf numFmtId="10" fontId="12" fillId="3" borderId="12" applyNumberFormat="0" applyBorder="0" applyAlignment="0" applyProtection="0"/>
    <xf numFmtId="0" fontId="12" fillId="21" borderId="2">
      <alignment vertical="top" wrapText="1"/>
      <protection hidden="1"/>
    </xf>
    <xf numFmtId="0" fontId="28" fillId="21" borderId="2">
      <alignment vertical="top" wrapText="1"/>
      <protection hidden="1"/>
    </xf>
    <xf numFmtId="0" fontId="29" fillId="22" borderId="3" applyNumberFormat="0" applyAlignment="0" applyProtection="0"/>
    <xf numFmtId="0" fontId="8" fillId="24" borderId="6" applyNumberFormat="0" applyFont="0" applyAlignment="0" applyProtection="0"/>
    <xf numFmtId="0" fontId="34" fillId="9" borderId="3" applyNumberFormat="0" applyAlignment="0" applyProtection="0"/>
    <xf numFmtId="175" fontId="12" fillId="25" borderId="2">
      <alignment vertical="top"/>
      <protection locked="0" hidden="1"/>
    </xf>
    <xf numFmtId="0" fontId="9" fillId="0" borderId="8">
      <alignment horizontal="left" vertical="center"/>
    </xf>
    <xf numFmtId="10" fontId="12" fillId="3" borderId="12" applyNumberFormat="0" applyBorder="0" applyAlignment="0" applyProtection="0"/>
    <xf numFmtId="0" fontId="37" fillId="21" borderId="2">
      <alignment vertical="top" wrapText="1"/>
      <protection hidden="1"/>
    </xf>
    <xf numFmtId="4" fontId="8" fillId="0" borderId="14" applyNumberFormat="0" applyProtection="0">
      <alignment horizontal="right" vertical="center"/>
    </xf>
    <xf numFmtId="0" fontId="29" fillId="22" borderId="3" applyNumberFormat="0" applyAlignment="0" applyProtection="0"/>
    <xf numFmtId="0" fontId="34" fillId="9" borderId="3" applyNumberFormat="0" applyAlignment="0" applyProtection="0"/>
    <xf numFmtId="0" fontId="37" fillId="21" borderId="2">
      <alignment vertical="top" wrapText="1"/>
      <protection hidden="1"/>
    </xf>
    <xf numFmtId="175" fontId="12" fillId="21" borderId="2">
      <alignment vertical="top"/>
      <protection hidden="1"/>
    </xf>
    <xf numFmtId="175" fontId="12" fillId="21" borderId="2">
      <alignment vertical="top"/>
      <protection hidden="1"/>
    </xf>
    <xf numFmtId="4" fontId="46" fillId="26" borderId="14" applyNumberFormat="0" applyProtection="0">
      <alignment vertical="center"/>
    </xf>
    <xf numFmtId="4" fontId="46" fillId="27" borderId="14" applyNumberFormat="0" applyProtection="0">
      <alignment horizontal="left" vertical="center" indent="1"/>
    </xf>
    <xf numFmtId="0" fontId="46" fillId="27" borderId="14" applyNumberFormat="0" applyProtection="0">
      <alignment horizontal="left" vertical="top" indent="1"/>
    </xf>
    <xf numFmtId="4" fontId="17" fillId="11" borderId="14" applyNumberFormat="0" applyProtection="0">
      <alignment horizontal="right" vertical="center"/>
    </xf>
    <xf numFmtId="4" fontId="17" fillId="18" borderId="14" applyNumberFormat="0" applyProtection="0">
      <alignment horizontal="right" vertical="center"/>
    </xf>
    <xf numFmtId="4" fontId="46" fillId="26" borderId="14" applyNumberFormat="0" applyProtection="0">
      <alignment vertical="center"/>
    </xf>
    <xf numFmtId="4" fontId="47" fillId="27" borderId="14" applyNumberFormat="0" applyProtection="0">
      <alignment vertical="center"/>
    </xf>
    <xf numFmtId="4" fontId="46" fillId="27" borderId="14" applyNumberFormat="0" applyProtection="0">
      <alignment horizontal="left" vertical="center" indent="1"/>
    </xf>
    <xf numFmtId="0" fontId="46" fillId="27" borderId="14" applyNumberFormat="0" applyProtection="0">
      <alignment horizontal="left" vertical="top" indent="1"/>
    </xf>
    <xf numFmtId="4" fontId="17" fillId="13" borderId="14" applyNumberFormat="0" applyProtection="0">
      <alignment horizontal="right" vertical="center"/>
    </xf>
    <xf numFmtId="4" fontId="17" fillId="5" borderId="14" applyNumberFormat="0" applyProtection="0">
      <alignment horizontal="right" vertical="center"/>
    </xf>
    <xf numFmtId="4" fontId="17" fillId="11" borderId="14" applyNumberFormat="0" applyProtection="0">
      <alignment horizontal="right" vertical="center"/>
    </xf>
    <xf numFmtId="4" fontId="17" fillId="18" borderId="14" applyNumberFormat="0" applyProtection="0">
      <alignment horizontal="right" vertical="center"/>
    </xf>
    <xf numFmtId="4" fontId="17" fillId="13" borderId="14" applyNumberFormat="0" applyProtection="0">
      <alignment horizontal="right" vertical="center"/>
    </xf>
    <xf numFmtId="4" fontId="17" fillId="17" borderId="14" applyNumberFormat="0" applyProtection="0">
      <alignment horizontal="right" vertical="center"/>
    </xf>
    <xf numFmtId="4" fontId="17" fillId="20" borderId="14" applyNumberFormat="0" applyProtection="0">
      <alignment horizontal="right" vertical="center"/>
    </xf>
    <xf numFmtId="4" fontId="17" fillId="19" borderId="14" applyNumberFormat="0" applyProtection="0">
      <alignment horizontal="right" vertical="center"/>
    </xf>
    <xf numFmtId="4" fontId="17" fillId="28" borderId="14" applyNumberFormat="0" applyProtection="0">
      <alignment horizontal="right" vertical="center"/>
    </xf>
    <xf numFmtId="4" fontId="17" fillId="12" borderId="14" applyNumberFormat="0" applyProtection="0">
      <alignment horizontal="right" vertical="center"/>
    </xf>
    <xf numFmtId="4" fontId="17" fillId="17" borderId="14" applyNumberFormat="0" applyProtection="0">
      <alignment horizontal="right" vertical="center"/>
    </xf>
    <xf numFmtId="4" fontId="17" fillId="20" borderId="14" applyNumberFormat="0" applyProtection="0">
      <alignment horizontal="right" vertical="center"/>
    </xf>
    <xf numFmtId="4" fontId="17" fillId="19" borderId="14" applyNumberFormat="0" applyProtection="0">
      <alignment horizontal="right" vertical="center"/>
    </xf>
    <xf numFmtId="4" fontId="8" fillId="0" borderId="14" applyNumberFormat="0" applyProtection="0">
      <alignment horizontal="right" vertical="center"/>
    </xf>
    <xf numFmtId="4" fontId="17" fillId="28" borderId="14" applyNumberFormat="0" applyProtection="0">
      <alignment horizontal="right" vertical="center"/>
    </xf>
    <xf numFmtId="4" fontId="8" fillId="0" borderId="14" applyNumberFormat="0" applyProtection="0">
      <alignment horizontal="right" vertical="center"/>
    </xf>
    <xf numFmtId="0" fontId="8" fillId="30" borderId="14" applyNumberFormat="0" applyProtection="0">
      <alignment horizontal="left" vertical="center" indent="1"/>
    </xf>
    <xf numFmtId="0" fontId="8" fillId="30" borderId="14" applyNumberFormat="0" applyProtection="0">
      <alignment horizontal="left" vertical="top" indent="1"/>
    </xf>
    <xf numFmtId="0" fontId="8" fillId="31" borderId="14" applyNumberFormat="0" applyProtection="0">
      <alignment horizontal="left" vertical="center" indent="1"/>
    </xf>
    <xf numFmtId="0" fontId="8" fillId="31" borderId="14" applyNumberFormat="0" applyProtection="0">
      <alignment horizontal="left" vertical="top" indent="1"/>
    </xf>
    <xf numFmtId="0" fontId="8" fillId="32" borderId="14" applyNumberFormat="0" applyProtection="0">
      <alignment horizontal="left" vertical="center" indent="1"/>
    </xf>
    <xf numFmtId="0" fontId="8" fillId="32" borderId="14" applyNumberFormat="0" applyProtection="0">
      <alignment horizontal="left" vertical="top" indent="1"/>
    </xf>
    <xf numFmtId="0" fontId="8" fillId="33" borderId="14" applyNumberFormat="0" applyProtection="0">
      <alignment horizontal="left" vertical="center" indent="1"/>
    </xf>
    <xf numFmtId="0" fontId="8" fillId="33" borderId="14" applyNumberFormat="0" applyProtection="0">
      <alignment horizontal="left" vertical="top" indent="1"/>
    </xf>
    <xf numFmtId="4" fontId="17" fillId="3" borderId="14" applyNumberFormat="0" applyProtection="0">
      <alignment vertical="center"/>
    </xf>
    <xf numFmtId="4" fontId="50" fillId="3" borderId="14" applyNumberFormat="0" applyProtection="0">
      <alignment vertical="center"/>
    </xf>
    <xf numFmtId="4" fontId="17" fillId="3" borderId="14" applyNumberFormat="0" applyProtection="0">
      <alignment horizontal="left" vertical="center" indent="1"/>
    </xf>
    <xf numFmtId="0" fontId="17" fillId="3" borderId="14" applyNumberFormat="0" applyProtection="0">
      <alignment horizontal="left" vertical="top" indent="1"/>
    </xf>
    <xf numFmtId="4" fontId="18" fillId="0" borderId="14" applyNumberFormat="0" applyProtection="0">
      <alignment horizontal="right" vertical="center"/>
    </xf>
    <xf numFmtId="4" fontId="9" fillId="0" borderId="14" applyNumberFormat="0" applyProtection="0">
      <alignment horizontal="right" vertical="center"/>
    </xf>
    <xf numFmtId="4" fontId="9" fillId="34" borderId="14" applyNumberFormat="0" applyProtection="0">
      <alignment horizontal="left" vertical="center" indent="1"/>
    </xf>
    <xf numFmtId="0" fontId="9" fillId="35" borderId="14" applyNumberFormat="0" applyProtection="0">
      <alignment horizontal="left" vertical="top" indent="1"/>
    </xf>
    <xf numFmtId="0" fontId="8" fillId="30" borderId="14" applyNumberFormat="0" applyProtection="0">
      <alignment horizontal="left" vertical="top" indent="1"/>
    </xf>
    <xf numFmtId="4" fontId="8" fillId="0" borderId="14" applyNumberFormat="0" applyProtection="0">
      <alignment horizontal="right" vertical="center"/>
    </xf>
    <xf numFmtId="0" fontId="8" fillId="31" borderId="14" applyNumberFormat="0" applyProtection="0">
      <alignment horizontal="left" vertical="center" indent="1"/>
    </xf>
    <xf numFmtId="0" fontId="12" fillId="25" borderId="2">
      <alignment vertical="top"/>
      <protection locked="0" hidden="1"/>
    </xf>
    <xf numFmtId="0" fontId="53" fillId="22" borderId="13" applyNumberFormat="0" applyAlignment="0" applyProtection="0"/>
    <xf numFmtId="0" fontId="8" fillId="31" borderId="14" applyNumberFormat="0" applyProtection="0">
      <alignment horizontal="left" vertical="top" indent="1"/>
    </xf>
    <xf numFmtId="0" fontId="8" fillId="32" borderId="14" applyNumberFormat="0" applyProtection="0">
      <alignment horizontal="left" vertical="top" indent="1"/>
    </xf>
    <xf numFmtId="0" fontId="8" fillId="33" borderId="14" applyNumberFormat="0" applyProtection="0">
      <alignment horizontal="left" vertical="center" indent="1"/>
    </xf>
    <xf numFmtId="0" fontId="8" fillId="33" borderId="14" applyNumberFormat="0" applyProtection="0">
      <alignment horizontal="left" vertical="top" indent="1"/>
    </xf>
    <xf numFmtId="4" fontId="17" fillId="3" borderId="14" applyNumberFormat="0" applyProtection="0">
      <alignment vertical="center"/>
    </xf>
    <xf numFmtId="4" fontId="50" fillId="3" borderId="14" applyNumberFormat="0" applyProtection="0">
      <alignment vertical="center"/>
    </xf>
    <xf numFmtId="4" fontId="17" fillId="3" borderId="14" applyNumberFormat="0" applyProtection="0">
      <alignment horizontal="left" vertical="center" indent="1"/>
    </xf>
    <xf numFmtId="0" fontId="17" fillId="3" borderId="14" applyNumberFormat="0" applyProtection="0">
      <alignment horizontal="left" vertical="top" indent="1"/>
    </xf>
    <xf numFmtId="4" fontId="18" fillId="0" borderId="14" applyNumberFormat="0" applyProtection="0">
      <alignment horizontal="right" vertical="center"/>
    </xf>
    <xf numFmtId="0" fontId="59" fillId="0" borderId="121" applyNumberFormat="0" applyFill="0" applyAlignment="0" applyProtection="0"/>
    <xf numFmtId="4" fontId="9" fillId="0" borderId="14" applyNumberFormat="0" applyProtection="0">
      <alignment horizontal="right" vertical="center"/>
    </xf>
    <xf numFmtId="0" fontId="55" fillId="0" borderId="8">
      <alignment horizontal="right" wrapText="1"/>
    </xf>
    <xf numFmtId="4" fontId="9" fillId="34" borderId="14" applyNumberFormat="0" applyProtection="0">
      <alignment horizontal="left" vertical="center" indent="1"/>
    </xf>
    <xf numFmtId="0" fontId="9" fillId="35" borderId="14" applyNumberFormat="0" applyProtection="0">
      <alignment horizontal="left" vertical="top" indent="1"/>
    </xf>
    <xf numFmtId="4" fontId="8" fillId="0" borderId="14" applyNumberFormat="0" applyProtection="0">
      <alignment horizontal="right" vertical="center"/>
    </xf>
    <xf numFmtId="0" fontId="12" fillId="25" borderId="2">
      <alignment vertical="top"/>
      <protection locked="0" hidden="1"/>
    </xf>
    <xf numFmtId="0" fontId="53" fillId="22" borderId="13" applyNumberFormat="0" applyAlignment="0" applyProtection="0"/>
    <xf numFmtId="0" fontId="55" fillId="0" borderId="8">
      <alignment horizontal="right" wrapText="1"/>
    </xf>
    <xf numFmtId="0" fontId="8" fillId="24" borderId="6" applyNumberFormat="0" applyFont="0" applyAlignment="0" applyProtection="0"/>
    <xf numFmtId="10" fontId="12" fillId="3" borderId="12" applyNumberFormat="0" applyBorder="0" applyAlignment="0" applyProtection="0"/>
    <xf numFmtId="4" fontId="8" fillId="0" borderId="14" applyNumberFormat="0" applyProtection="0">
      <alignment horizontal="right" vertical="center"/>
    </xf>
    <xf numFmtId="10" fontId="12" fillId="3" borderId="12" applyNumberFormat="0" applyBorder="0" applyAlignment="0" applyProtection="0"/>
    <xf numFmtId="175" fontId="12" fillId="25" borderId="2">
      <alignment vertical="top"/>
      <protection locked="0" hidden="1"/>
    </xf>
    <xf numFmtId="0" fontId="8" fillId="24" borderId="6" applyNumberFormat="0" applyFont="0" applyAlignment="0" applyProtection="0"/>
    <xf numFmtId="175" fontId="12" fillId="21" borderId="2">
      <alignment vertical="top"/>
      <protection hidden="1"/>
    </xf>
    <xf numFmtId="0" fontId="55" fillId="0" borderId="8">
      <alignment horizontal="right" wrapText="1"/>
    </xf>
    <xf numFmtId="10" fontId="12" fillId="3" borderId="12" applyNumberFormat="0" applyBorder="0" applyAlignment="0" applyProtection="0"/>
    <xf numFmtId="0" fontId="28" fillId="21" borderId="2">
      <alignment vertical="top" wrapText="1"/>
      <protection hidden="1"/>
    </xf>
    <xf numFmtId="0" fontId="12" fillId="21" borderId="2">
      <alignment vertical="top" wrapText="1"/>
      <protection hidden="1"/>
    </xf>
    <xf numFmtId="0" fontId="8" fillId="24" borderId="6" applyNumberFormat="0" applyFont="0" applyAlignment="0" applyProtection="0"/>
    <xf numFmtId="4" fontId="47" fillId="27" borderId="14" applyNumberFormat="0" applyProtection="0">
      <alignment vertical="center"/>
    </xf>
    <xf numFmtId="4" fontId="17" fillId="5" borderId="14" applyNumberFormat="0" applyProtection="0">
      <alignment horizontal="right" vertical="center"/>
    </xf>
    <xf numFmtId="4" fontId="8" fillId="0" borderId="14" applyNumberFormat="0" applyProtection="0">
      <alignment horizontal="right" vertical="center"/>
    </xf>
    <xf numFmtId="4" fontId="17" fillId="12" borderId="14" applyNumberFormat="0" applyProtection="0">
      <alignment horizontal="right" vertical="center"/>
    </xf>
    <xf numFmtId="0" fontId="8" fillId="30" borderId="14" applyNumberFormat="0" applyProtection="0">
      <alignment horizontal="left" vertical="center" indent="1"/>
    </xf>
    <xf numFmtId="4" fontId="8" fillId="0" borderId="14" applyNumberFormat="0" applyProtection="0">
      <alignment horizontal="right" vertical="center"/>
    </xf>
    <xf numFmtId="0" fontId="8" fillId="32" borderId="14" applyNumberFormat="0" applyProtection="0">
      <alignment horizontal="left" vertical="center" indent="1"/>
    </xf>
    <xf numFmtId="0" fontId="9" fillId="0" borderId="8">
      <alignment horizontal="left" vertical="center"/>
    </xf>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4" fontId="8" fillId="0" borderId="14" applyNumberFormat="0" applyProtection="0">
      <alignment horizontal="right" vertical="center"/>
    </xf>
    <xf numFmtId="0" fontId="59" fillId="0" borderId="121" applyNumberFormat="0" applyFill="0" applyAlignment="0" applyProtection="0"/>
    <xf numFmtId="0" fontId="12" fillId="21" borderId="2">
      <alignment vertical="top" wrapText="1"/>
      <protection hidden="1"/>
    </xf>
    <xf numFmtId="0" fontId="28" fillId="21" borderId="2">
      <alignment vertical="top" wrapText="1"/>
      <protection hidden="1"/>
    </xf>
    <xf numFmtId="0" fontId="29" fillId="22" borderId="3" applyNumberFormat="0" applyAlignment="0" applyProtection="0"/>
    <xf numFmtId="0" fontId="8" fillId="24" borderId="6" applyNumberFormat="0" applyFont="0" applyAlignment="0" applyProtection="0"/>
    <xf numFmtId="0" fontId="34" fillId="9" borderId="3" applyNumberFormat="0" applyAlignment="0" applyProtection="0"/>
    <xf numFmtId="175" fontId="12" fillId="25" borderId="2">
      <alignment vertical="top"/>
      <protection locked="0" hidden="1"/>
    </xf>
    <xf numFmtId="0" fontId="9" fillId="0" borderId="8">
      <alignment horizontal="left" vertical="center"/>
    </xf>
    <xf numFmtId="10" fontId="12" fillId="3" borderId="12" applyNumberFormat="0" applyBorder="0" applyAlignment="0" applyProtection="0"/>
    <xf numFmtId="0" fontId="37" fillId="21" borderId="2">
      <alignment vertical="top" wrapText="1"/>
      <protection hidden="1"/>
    </xf>
    <xf numFmtId="175" fontId="12" fillId="21" borderId="2">
      <alignment vertical="top"/>
      <protection hidden="1"/>
    </xf>
    <xf numFmtId="4" fontId="46" fillId="26" borderId="14" applyNumberFormat="0" applyProtection="0">
      <alignment vertical="center"/>
    </xf>
    <xf numFmtId="4" fontId="47" fillId="27" borderId="14" applyNumberFormat="0" applyProtection="0">
      <alignment vertical="center"/>
    </xf>
    <xf numFmtId="4" fontId="46" fillId="27" borderId="14" applyNumberFormat="0" applyProtection="0">
      <alignment horizontal="left" vertical="center" indent="1"/>
    </xf>
    <xf numFmtId="0" fontId="46" fillId="27" borderId="14" applyNumberFormat="0" applyProtection="0">
      <alignment horizontal="left" vertical="top" indent="1"/>
    </xf>
    <xf numFmtId="4" fontId="17" fillId="5" borderId="14" applyNumberFormat="0" applyProtection="0">
      <alignment horizontal="right" vertical="center"/>
    </xf>
    <xf numFmtId="4" fontId="17" fillId="11" borderId="14" applyNumberFormat="0" applyProtection="0">
      <alignment horizontal="right" vertical="center"/>
    </xf>
    <xf numFmtId="4" fontId="17" fillId="18" borderId="14" applyNumberFormat="0" applyProtection="0">
      <alignment horizontal="right" vertical="center"/>
    </xf>
    <xf numFmtId="4" fontId="17" fillId="13" borderId="14" applyNumberFormat="0" applyProtection="0">
      <alignment horizontal="right" vertical="center"/>
    </xf>
    <xf numFmtId="4" fontId="17" fillId="17" borderId="14" applyNumberFormat="0" applyProtection="0">
      <alignment horizontal="right" vertical="center"/>
    </xf>
    <xf numFmtId="4" fontId="17" fillId="20" borderId="14" applyNumberFormat="0" applyProtection="0">
      <alignment horizontal="right" vertical="center"/>
    </xf>
    <xf numFmtId="4" fontId="17" fillId="19" borderId="14" applyNumberFormat="0" applyProtection="0">
      <alignment horizontal="right" vertical="center"/>
    </xf>
    <xf numFmtId="4" fontId="17" fillId="28" borderId="14" applyNumberFormat="0" applyProtection="0">
      <alignment horizontal="right" vertical="center"/>
    </xf>
    <xf numFmtId="4" fontId="17" fillId="12" borderId="14" applyNumberFormat="0" applyProtection="0">
      <alignment horizontal="right" vertical="center"/>
    </xf>
    <xf numFmtId="4" fontId="8" fillId="0" borderId="14" applyNumberFormat="0" applyProtection="0">
      <alignment horizontal="right" vertical="center"/>
    </xf>
    <xf numFmtId="0" fontId="8" fillId="30" borderId="14" applyNumberFormat="0" applyProtection="0">
      <alignment horizontal="left" vertical="center" indent="1"/>
    </xf>
    <xf numFmtId="0" fontId="8" fillId="30" borderId="14" applyNumberFormat="0" applyProtection="0">
      <alignment horizontal="left" vertical="top" indent="1"/>
    </xf>
    <xf numFmtId="0" fontId="8" fillId="31" borderId="14" applyNumberFormat="0" applyProtection="0">
      <alignment horizontal="left" vertical="center" indent="1"/>
    </xf>
    <xf numFmtId="0" fontId="8" fillId="31" borderId="14" applyNumberFormat="0" applyProtection="0">
      <alignment horizontal="left" vertical="top" indent="1"/>
    </xf>
    <xf numFmtId="0" fontId="8" fillId="32" borderId="14" applyNumberFormat="0" applyProtection="0">
      <alignment horizontal="left" vertical="center" indent="1"/>
    </xf>
    <xf numFmtId="0" fontId="8" fillId="32" borderId="14" applyNumberFormat="0" applyProtection="0">
      <alignment horizontal="left" vertical="top" indent="1"/>
    </xf>
    <xf numFmtId="0" fontId="8" fillId="33" borderId="14" applyNumberFormat="0" applyProtection="0">
      <alignment horizontal="left" vertical="center" indent="1"/>
    </xf>
    <xf numFmtId="0" fontId="8" fillId="33" borderId="14" applyNumberFormat="0" applyProtection="0">
      <alignment horizontal="left" vertical="top" indent="1"/>
    </xf>
    <xf numFmtId="4" fontId="17" fillId="3" borderId="14" applyNumberFormat="0" applyProtection="0">
      <alignment vertical="center"/>
    </xf>
    <xf numFmtId="4" fontId="50" fillId="3" borderId="14" applyNumberFormat="0" applyProtection="0">
      <alignment vertical="center"/>
    </xf>
    <xf numFmtId="4" fontId="17" fillId="3" borderId="14" applyNumberFormat="0" applyProtection="0">
      <alignment horizontal="left" vertical="center" indent="1"/>
    </xf>
    <xf numFmtId="0" fontId="17" fillId="3" borderId="14" applyNumberFormat="0" applyProtection="0">
      <alignment horizontal="left" vertical="top" indent="1"/>
    </xf>
    <xf numFmtId="4" fontId="18" fillId="0" borderId="14" applyNumberFormat="0" applyProtection="0">
      <alignment horizontal="right" vertical="center"/>
    </xf>
    <xf numFmtId="4" fontId="9" fillId="0" borderId="14" applyNumberFormat="0" applyProtection="0">
      <alignment horizontal="right" vertical="center"/>
    </xf>
    <xf numFmtId="4" fontId="9" fillId="34" borderId="14" applyNumberFormat="0" applyProtection="0">
      <alignment horizontal="left" vertical="center" indent="1"/>
    </xf>
    <xf numFmtId="0" fontId="9" fillId="35" borderId="14" applyNumberFormat="0" applyProtection="0">
      <alignment horizontal="left" vertical="top" indent="1"/>
    </xf>
    <xf numFmtId="4" fontId="8" fillId="0" borderId="14" applyNumberFormat="0" applyProtection="0">
      <alignment horizontal="right" vertical="center"/>
    </xf>
    <xf numFmtId="0" fontId="12" fillId="25" borderId="2">
      <alignment vertical="top"/>
      <protection locked="0" hidden="1"/>
    </xf>
    <xf numFmtId="0" fontId="53" fillId="22" borderId="13" applyNumberFormat="0" applyAlignment="0" applyProtection="0"/>
    <xf numFmtId="0" fontId="59" fillId="0" borderId="121" applyNumberFormat="0" applyFill="0" applyAlignment="0" applyProtection="0"/>
    <xf numFmtId="0" fontId="55" fillId="0" borderId="8">
      <alignment horizontal="right" wrapText="1"/>
    </xf>
    <xf numFmtId="0" fontId="8" fillId="24" borderId="6" applyNumberFormat="0" applyFont="0" applyAlignment="0" applyProtection="0"/>
    <xf numFmtId="10" fontId="12" fillId="3" borderId="12" applyNumberFormat="0" applyBorder="0" applyAlignment="0" applyProtection="0"/>
    <xf numFmtId="4" fontId="8" fillId="0" borderId="14" applyNumberFormat="0" applyProtection="0">
      <alignment horizontal="right" vertical="center"/>
    </xf>
    <xf numFmtId="4" fontId="8" fillId="0" borderId="14" applyNumberFormat="0" applyProtection="0">
      <alignment horizontal="right" vertical="center"/>
    </xf>
    <xf numFmtId="0" fontId="8" fillId="0" borderId="0"/>
    <xf numFmtId="0" fontId="1" fillId="0" borderId="0"/>
    <xf numFmtId="0" fontId="1" fillId="0" borderId="0"/>
    <xf numFmtId="0" fontId="1" fillId="0" borderId="0"/>
    <xf numFmtId="0" fontId="1" fillId="0" borderId="0"/>
    <xf numFmtId="167" fontId="8" fillId="0" borderId="0" applyFont="0" applyFill="0" applyBorder="0" applyAlignment="0" applyProtection="0"/>
    <xf numFmtId="0" fontId="59" fillId="0" borderId="121"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121"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121" applyNumberFormat="0" applyFill="0" applyAlignment="0" applyProtection="0"/>
    <xf numFmtId="0" fontId="59" fillId="0" borderId="121"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121"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1" fillId="0" borderId="0"/>
    <xf numFmtId="0" fontId="1" fillId="0" borderId="0"/>
    <xf numFmtId="0" fontId="1" fillId="0" borderId="0"/>
    <xf numFmtId="0" fontId="1" fillId="0" borderId="0"/>
    <xf numFmtId="0" fontId="59" fillId="0" borderId="121"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121"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8" fillId="0" borderId="0"/>
    <xf numFmtId="0" fontId="59" fillId="0" borderId="121" applyNumberFormat="0" applyFill="0" applyAlignment="0" applyProtection="0"/>
    <xf numFmtId="0" fontId="59" fillId="0" borderId="121" applyNumberFormat="0" applyFill="0" applyAlignment="0" applyProtection="0"/>
    <xf numFmtId="167" fontId="8" fillId="0" borderId="0" applyFont="0" applyFill="0" applyBorder="0" applyAlignment="0" applyProtection="0"/>
    <xf numFmtId="167" fontId="8" fillId="0" borderId="0" applyFont="0" applyFill="0" applyBorder="0" applyAlignment="0" applyProtection="0"/>
    <xf numFmtId="0" fontId="8" fillId="0" borderId="0"/>
    <xf numFmtId="0" fontId="8" fillId="0" borderId="0"/>
    <xf numFmtId="0" fontId="8" fillId="0" borderId="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0" fontId="59" fillId="0" borderId="121" applyNumberFormat="0" applyFill="0" applyAlignment="0" applyProtection="0"/>
    <xf numFmtId="42" fontId="101" fillId="0" borderId="0" applyFont="0" applyFill="0" applyBorder="0" applyAlignment="0" applyProtection="0"/>
  </cellStyleXfs>
  <cellXfs count="517">
    <xf numFmtId="0" fontId="0" fillId="0" borderId="0" xfId="0"/>
    <xf numFmtId="14" fontId="0" fillId="0" borderId="0" xfId="0" applyNumberFormat="1"/>
    <xf numFmtId="49" fontId="0" fillId="0" borderId="0" xfId="0" applyNumberFormat="1"/>
    <xf numFmtId="1" fontId="0" fillId="0" borderId="0" xfId="0" applyNumberFormat="1"/>
    <xf numFmtId="0" fontId="8" fillId="37" borderId="49" xfId="0" applyFont="1" applyFill="1" applyBorder="1" applyAlignment="1" applyProtection="1">
      <alignment horizontal="left" vertical="center" wrapText="1"/>
      <protection locked="0"/>
    </xf>
    <xf numFmtId="0" fontId="8" fillId="37" borderId="0" xfId="0" applyFont="1" applyFill="1" applyAlignment="1" applyProtection="1">
      <alignment horizontal="left" vertical="center" wrapText="1"/>
      <protection locked="0"/>
    </xf>
    <xf numFmtId="0" fontId="0" fillId="37" borderId="46" xfId="0" applyFill="1" applyBorder="1" applyProtection="1">
      <protection locked="0"/>
    </xf>
    <xf numFmtId="0" fontId="0" fillId="37" borderId="49" xfId="0" applyFill="1" applyBorder="1" applyAlignment="1" applyProtection="1">
      <alignment vertical="center"/>
      <protection locked="0"/>
    </xf>
    <xf numFmtId="0" fontId="0" fillId="37" borderId="49" xfId="0" applyFill="1" applyBorder="1" applyProtection="1">
      <protection locked="0"/>
    </xf>
    <xf numFmtId="0" fontId="19" fillId="0" borderId="7" xfId="0" applyFont="1" applyBorder="1" applyAlignment="1" applyProtection="1">
      <alignment horizontal="center" vertical="center"/>
      <protection locked="0"/>
    </xf>
    <xf numFmtId="0" fontId="0" fillId="37" borderId="28" xfId="0" applyFill="1" applyBorder="1" applyProtection="1">
      <protection locked="0"/>
    </xf>
    <xf numFmtId="49" fontId="10" fillId="42" borderId="53" xfId="0" applyNumberFormat="1" applyFont="1" applyFill="1" applyBorder="1" applyAlignment="1" applyProtection="1">
      <alignment vertical="center"/>
      <protection locked="0"/>
    </xf>
    <xf numFmtId="0" fontId="0" fillId="37" borderId="15" xfId="0" applyFill="1" applyBorder="1" applyProtection="1">
      <protection locked="0"/>
    </xf>
    <xf numFmtId="0" fontId="10" fillId="0" borderId="7" xfId="0" applyFont="1" applyBorder="1" applyProtection="1">
      <protection locked="0"/>
    </xf>
    <xf numFmtId="0" fontId="0" fillId="0" borderId="7" xfId="0" applyBorder="1" applyAlignment="1" applyProtection="1">
      <alignment vertical="center"/>
      <protection locked="0"/>
    </xf>
    <xf numFmtId="0" fontId="18" fillId="37" borderId="46" xfId="0" applyFont="1" applyFill="1" applyBorder="1" applyProtection="1">
      <protection locked="0"/>
    </xf>
    <xf numFmtId="49" fontId="10" fillId="42" borderId="54" xfId="0" applyNumberFormat="1" applyFont="1" applyFill="1" applyBorder="1" applyAlignment="1" applyProtection="1">
      <alignment vertical="center"/>
      <protection locked="0"/>
    </xf>
    <xf numFmtId="0" fontId="0" fillId="42" borderId="23" xfId="0" applyFill="1" applyBorder="1" applyAlignment="1" applyProtection="1">
      <alignment horizontal="left" vertical="center"/>
      <protection locked="0"/>
    </xf>
    <xf numFmtId="0" fontId="8" fillId="45" borderId="35" xfId="0" applyFont="1" applyFill="1" applyBorder="1" applyAlignment="1" applyProtection="1">
      <alignment horizontal="left" vertical="center"/>
      <protection locked="0"/>
    </xf>
    <xf numFmtId="49" fontId="10" fillId="45" borderId="54" xfId="0" applyNumberFormat="1" applyFont="1" applyFill="1" applyBorder="1" applyAlignment="1" applyProtection="1">
      <alignment vertical="center"/>
      <protection locked="0"/>
    </xf>
    <xf numFmtId="0" fontId="0" fillId="37" borderId="28" xfId="0" applyFill="1" applyBorder="1" applyAlignment="1" applyProtection="1">
      <alignment horizontal="left"/>
      <protection locked="0"/>
    </xf>
    <xf numFmtId="0" fontId="8" fillId="42" borderId="24" xfId="0" applyFont="1" applyFill="1" applyBorder="1" applyAlignment="1" applyProtection="1">
      <alignment horizontal="left" vertical="center" wrapText="1"/>
      <protection locked="0"/>
    </xf>
    <xf numFmtId="0" fontId="8" fillId="42" borderId="23" xfId="0" applyFont="1" applyFill="1" applyBorder="1" applyAlignment="1" applyProtection="1">
      <alignment horizontal="left" vertical="center" wrapText="1"/>
      <protection locked="0"/>
    </xf>
    <xf numFmtId="0" fontId="8" fillId="43" borderId="23" xfId="0" applyFont="1" applyFill="1" applyBorder="1" applyAlignment="1" applyProtection="1">
      <alignment horizontal="left" vertical="center" wrapText="1"/>
      <protection locked="0"/>
    </xf>
    <xf numFmtId="0" fontId="8" fillId="42" borderId="23" xfId="0" applyFont="1" applyFill="1" applyBorder="1" applyAlignment="1" applyProtection="1">
      <alignment vertical="center" wrapText="1"/>
      <protection locked="0"/>
    </xf>
    <xf numFmtId="49" fontId="77" fillId="42" borderId="52" xfId="1111" applyNumberFormat="1" applyFill="1" applyBorder="1" applyAlignment="1" applyProtection="1">
      <alignment vertical="center"/>
      <protection locked="0"/>
    </xf>
    <xf numFmtId="0" fontId="8" fillId="42" borderId="21" xfId="0" applyFont="1" applyFill="1" applyBorder="1" applyAlignment="1" applyProtection="1">
      <alignment vertical="center" wrapText="1"/>
      <protection locked="0"/>
    </xf>
    <xf numFmtId="0" fontId="0" fillId="37" borderId="49" xfId="0" applyFill="1" applyBorder="1" applyAlignment="1" applyProtection="1">
      <alignment horizontal="left" vertical="center" wrapText="1"/>
      <protection locked="0"/>
    </xf>
    <xf numFmtId="49" fontId="77" fillId="37" borderId="49" xfId="1111" applyNumberFormat="1" applyFill="1" applyBorder="1" applyAlignment="1" applyProtection="1">
      <alignment vertical="center"/>
      <protection locked="0"/>
    </xf>
    <xf numFmtId="0" fontId="0" fillId="37" borderId="49" xfId="0" applyFill="1" applyBorder="1" applyAlignment="1" applyProtection="1">
      <alignment horizontal="left"/>
      <protection locked="0"/>
    </xf>
    <xf numFmtId="0" fontId="10" fillId="0" borderId="49" xfId="0" applyFont="1" applyBorder="1" applyAlignment="1" applyProtection="1">
      <alignment horizontal="center" vertical="center" textRotation="90" wrapText="1"/>
      <protection locked="0"/>
    </xf>
    <xf numFmtId="0" fontId="55" fillId="0" borderId="15" xfId="0" applyFont="1" applyBorder="1" applyAlignment="1" applyProtection="1">
      <alignment horizontal="center" vertical="center" wrapText="1"/>
      <protection locked="0"/>
    </xf>
    <xf numFmtId="0" fontId="0" fillId="37" borderId="0" xfId="0" applyFill="1" applyAlignment="1" applyProtection="1">
      <alignment horizontal="left" vertical="center" wrapText="1"/>
      <protection locked="0"/>
    </xf>
    <xf numFmtId="49" fontId="77" fillId="37" borderId="0" xfId="1111" applyNumberFormat="1" applyFill="1" applyAlignment="1" applyProtection="1">
      <alignment vertical="center"/>
      <protection locked="0"/>
    </xf>
    <xf numFmtId="0" fontId="0" fillId="37" borderId="0" xfId="0" applyFill="1" applyAlignment="1" applyProtection="1">
      <alignment horizontal="left"/>
      <protection locked="0"/>
    </xf>
    <xf numFmtId="0" fontId="10" fillId="0" borderId="0" xfId="0" applyFont="1" applyAlignment="1" applyProtection="1">
      <alignment horizontal="center" vertical="center" textRotation="90" wrapText="1"/>
      <protection locked="0"/>
    </xf>
    <xf numFmtId="0" fontId="8" fillId="37" borderId="0" xfId="0" applyFont="1" applyFill="1" applyAlignment="1" applyProtection="1">
      <alignment horizontal="left"/>
      <protection locked="0"/>
    </xf>
    <xf numFmtId="0" fontId="19" fillId="0" borderId="7" xfId="0" applyFont="1" applyBorder="1" applyAlignment="1" applyProtection="1">
      <alignment horizontal="center" vertical="center" wrapText="1"/>
      <protection locked="0"/>
    </xf>
    <xf numFmtId="0" fontId="19" fillId="0" borderId="29" xfId="0" applyFont="1" applyBorder="1" applyAlignment="1" applyProtection="1">
      <alignment horizontal="center" vertical="center" wrapText="1"/>
      <protection locked="0"/>
    </xf>
    <xf numFmtId="0" fontId="0" fillId="37" borderId="74" xfId="0" applyFill="1" applyBorder="1" applyProtection="1">
      <protection locked="0"/>
    </xf>
    <xf numFmtId="49" fontId="10" fillId="43" borderId="24" xfId="0" applyNumberFormat="1" applyFont="1" applyFill="1" applyBorder="1" applyAlignment="1" applyProtection="1">
      <alignment vertical="center"/>
      <protection locked="0"/>
    </xf>
    <xf numFmtId="0" fontId="0" fillId="37" borderId="60" xfId="0" applyFill="1" applyBorder="1" applyProtection="1">
      <protection locked="0"/>
    </xf>
    <xf numFmtId="0" fontId="8" fillId="43" borderId="24" xfId="0" applyFont="1" applyFill="1" applyBorder="1" applyAlignment="1" applyProtection="1">
      <alignment horizontal="left" vertical="center"/>
      <protection locked="0"/>
    </xf>
    <xf numFmtId="49" fontId="10" fillId="43" borderId="23" xfId="0" applyNumberFormat="1" applyFont="1" applyFill="1" applyBorder="1" applyAlignment="1" applyProtection="1">
      <alignment vertical="center"/>
      <protection locked="0"/>
    </xf>
    <xf numFmtId="0" fontId="8" fillId="43" borderId="23" xfId="0" applyFont="1" applyFill="1" applyBorder="1" applyAlignment="1" applyProtection="1">
      <alignment horizontal="left" vertical="center"/>
      <protection locked="0"/>
    </xf>
    <xf numFmtId="0" fontId="0" fillId="43" borderId="23" xfId="0" applyFill="1" applyBorder="1" applyAlignment="1" applyProtection="1">
      <alignment horizontal="left" vertical="center"/>
      <protection locked="0"/>
    </xf>
    <xf numFmtId="49" fontId="10" fillId="43" borderId="23" xfId="0" applyNumberFormat="1" applyFont="1" applyFill="1" applyBorder="1" applyAlignment="1" applyProtection="1">
      <alignment vertical="center" wrapText="1"/>
      <protection locked="0"/>
    </xf>
    <xf numFmtId="0" fontId="0" fillId="43" borderId="21" xfId="0" applyFill="1" applyBorder="1" applyAlignment="1" applyProtection="1">
      <alignment horizontal="left" vertical="center"/>
      <protection locked="0"/>
    </xf>
    <xf numFmtId="0" fontId="0" fillId="37" borderId="47" xfId="0" applyFill="1" applyBorder="1" applyProtection="1">
      <protection locked="0"/>
    </xf>
    <xf numFmtId="0" fontId="0" fillId="37" borderId="49" xfId="0" applyFill="1" applyBorder="1" applyAlignment="1" applyProtection="1">
      <alignment horizontal="left" vertical="center"/>
      <protection locked="0"/>
    </xf>
    <xf numFmtId="0" fontId="8" fillId="43" borderId="24" xfId="0" applyFont="1" applyFill="1" applyBorder="1" applyAlignment="1" applyProtection="1">
      <alignment horizontal="left" vertical="center" wrapText="1"/>
      <protection locked="0"/>
    </xf>
    <xf numFmtId="0" fontId="0" fillId="37" borderId="60" xfId="0" applyFill="1" applyBorder="1" applyAlignment="1" applyProtection="1">
      <alignment horizontal="left"/>
      <protection locked="0"/>
    </xf>
    <xf numFmtId="0" fontId="0" fillId="43" borderId="23" xfId="0" applyFill="1" applyBorder="1" applyAlignment="1" applyProtection="1">
      <alignment horizontal="left" vertical="center" wrapText="1"/>
      <protection locked="0"/>
    </xf>
    <xf numFmtId="49" fontId="77" fillId="43" borderId="21" xfId="1111" applyNumberFormat="1" applyFill="1" applyBorder="1" applyAlignment="1" applyProtection="1">
      <alignment vertical="center"/>
      <protection locked="0"/>
    </xf>
    <xf numFmtId="0" fontId="0" fillId="37" borderId="48" xfId="0" applyFill="1" applyBorder="1" applyAlignment="1" applyProtection="1">
      <alignment horizontal="left"/>
      <protection locked="0"/>
    </xf>
    <xf numFmtId="0" fontId="8" fillId="37" borderId="49" xfId="0" applyFont="1" applyFill="1" applyBorder="1" applyAlignment="1" applyProtection="1">
      <alignment vertical="center" wrapText="1"/>
      <protection locked="0"/>
    </xf>
    <xf numFmtId="0" fontId="0" fillId="0" borderId="46" xfId="0" applyBorder="1" applyProtection="1">
      <protection locked="0"/>
    </xf>
    <xf numFmtId="0" fontId="0" fillId="37" borderId="49" xfId="0" applyFill="1" applyBorder="1" applyAlignment="1" applyProtection="1">
      <alignment horizontal="center" vertical="center"/>
      <protection locked="0"/>
    </xf>
    <xf numFmtId="0" fontId="0" fillId="37" borderId="49" xfId="0" applyFill="1" applyBorder="1" applyAlignment="1" applyProtection="1">
      <alignment horizontal="center" vertical="top"/>
      <protection locked="0"/>
    </xf>
    <xf numFmtId="0" fontId="0" fillId="37" borderId="48" xfId="0" applyFill="1" applyBorder="1" applyProtection="1">
      <protection locked="0"/>
    </xf>
    <xf numFmtId="0" fontId="0" fillId="37" borderId="61" xfId="0" applyFill="1" applyBorder="1" applyProtection="1">
      <protection locked="0"/>
    </xf>
    <xf numFmtId="0" fontId="0" fillId="37" borderId="46" xfId="0" applyFill="1" applyBorder="1" applyAlignment="1" applyProtection="1">
      <alignment horizontal="center" vertical="center"/>
      <protection locked="0"/>
    </xf>
    <xf numFmtId="0" fontId="8" fillId="37" borderId="49" xfId="0" applyFont="1" applyFill="1" applyBorder="1" applyAlignment="1" applyProtection="1">
      <alignment vertical="center"/>
      <protection locked="0"/>
    </xf>
    <xf numFmtId="49" fontId="8" fillId="0" borderId="49" xfId="0" applyNumberFormat="1" applyFont="1" applyBorder="1" applyAlignment="1" applyProtection="1">
      <alignment horizontal="center" vertical="center"/>
      <protection locked="0"/>
    </xf>
    <xf numFmtId="0" fontId="0" fillId="37" borderId="82" xfId="0" applyFill="1" applyBorder="1" applyAlignment="1" applyProtection="1">
      <alignment horizontal="center" vertical="center"/>
      <protection locked="0"/>
    </xf>
    <xf numFmtId="0" fontId="0" fillId="37" borderId="61" xfId="0" applyFill="1" applyBorder="1" applyAlignment="1" applyProtection="1">
      <alignment horizontal="center" vertical="center"/>
      <protection locked="0"/>
    </xf>
    <xf numFmtId="0" fontId="8" fillId="37" borderId="61" xfId="0" applyFont="1" applyFill="1" applyBorder="1" applyAlignment="1" applyProtection="1">
      <alignment horizontal="right" vertical="center"/>
      <protection locked="0"/>
    </xf>
    <xf numFmtId="49" fontId="10" fillId="45" borderId="54" xfId="0" applyNumberFormat="1" applyFont="1" applyFill="1" applyBorder="1" applyAlignment="1" applyProtection="1">
      <alignment vertical="center" wrapText="1"/>
      <protection locked="0"/>
    </xf>
    <xf numFmtId="2" fontId="0" fillId="42" borderId="35" xfId="0" applyNumberFormat="1" applyFill="1" applyBorder="1" applyAlignment="1" applyProtection="1">
      <alignment horizontal="left" vertical="center"/>
      <protection hidden="1"/>
    </xf>
    <xf numFmtId="0" fontId="20" fillId="42" borderId="24" xfId="0" applyFont="1" applyFill="1" applyBorder="1" applyAlignment="1" applyProtection="1">
      <alignment horizontal="center" vertical="center" wrapText="1"/>
      <protection locked="0"/>
    </xf>
    <xf numFmtId="189" fontId="9" fillId="42" borderId="21" xfId="0" applyNumberFormat="1" applyFont="1" applyFill="1" applyBorder="1" applyAlignment="1" applyProtection="1">
      <alignment horizontal="center" vertical="center"/>
      <protection locked="0"/>
    </xf>
    <xf numFmtId="0" fontId="18" fillId="37" borderId="47" xfId="0" applyFont="1" applyFill="1" applyBorder="1" applyProtection="1">
      <protection locked="0"/>
    </xf>
    <xf numFmtId="0" fontId="0" fillId="0" borderId="7" xfId="0" applyBorder="1" applyAlignment="1" applyProtection="1">
      <alignment vertical="top"/>
      <protection locked="0"/>
    </xf>
    <xf numFmtId="0" fontId="8" fillId="37" borderId="84" xfId="0" applyFont="1" applyFill="1" applyBorder="1" applyProtection="1">
      <protection locked="0"/>
    </xf>
    <xf numFmtId="49" fontId="77" fillId="42" borderId="21" xfId="1111" applyNumberFormat="1" applyFill="1" applyBorder="1" applyAlignment="1" applyProtection="1">
      <alignment vertical="center"/>
      <protection locked="0"/>
    </xf>
    <xf numFmtId="0" fontId="8" fillId="43" borderId="21" xfId="0" applyFont="1" applyFill="1" applyBorder="1" applyAlignment="1" applyProtection="1">
      <alignment horizontal="left" vertical="center" wrapText="1"/>
      <protection locked="0"/>
    </xf>
    <xf numFmtId="0" fontId="70" fillId="37" borderId="85" xfId="0" applyFont="1" applyFill="1" applyBorder="1" applyAlignment="1" applyProtection="1">
      <alignment vertical="center" wrapText="1"/>
      <protection locked="0"/>
    </xf>
    <xf numFmtId="0" fontId="70" fillId="37" borderId="7" xfId="0" applyFont="1" applyFill="1" applyBorder="1" applyAlignment="1" applyProtection="1">
      <alignment vertical="center" wrapText="1"/>
      <protection locked="0"/>
    </xf>
    <xf numFmtId="0" fontId="0" fillId="37" borderId="85" xfId="0" applyFill="1" applyBorder="1" applyAlignment="1" applyProtection="1">
      <alignment horizontal="left" vertical="center"/>
      <protection locked="0"/>
    </xf>
    <xf numFmtId="0" fontId="55" fillId="0" borderId="7" xfId="0" applyFont="1" applyBorder="1" applyAlignment="1" applyProtection="1">
      <alignment horizontal="center" vertical="center" wrapText="1"/>
      <protection locked="0"/>
    </xf>
    <xf numFmtId="0" fontId="55" fillId="0" borderId="84" xfId="0" applyFont="1" applyBorder="1" applyAlignment="1" applyProtection="1">
      <alignment horizontal="center" vertical="center" wrapText="1"/>
      <protection locked="0"/>
    </xf>
    <xf numFmtId="49" fontId="8" fillId="42" borderId="22" xfId="1111" applyNumberFormat="1" applyFont="1" applyFill="1" applyBorder="1" applyAlignment="1" applyProtection="1">
      <alignment horizontal="center" vertical="center" wrapText="1"/>
      <protection locked="0"/>
    </xf>
    <xf numFmtId="49" fontId="8" fillId="42" borderId="21" xfId="1111" applyNumberFormat="1" applyFont="1" applyFill="1" applyBorder="1" applyAlignment="1" applyProtection="1">
      <alignment horizontal="center" vertical="center" wrapText="1"/>
      <protection locked="0"/>
    </xf>
    <xf numFmtId="0" fontId="0" fillId="0" borderId="47" xfId="0" applyBorder="1" applyProtection="1">
      <protection locked="0"/>
    </xf>
    <xf numFmtId="0" fontId="0" fillId="37" borderId="85" xfId="0" applyFill="1" applyBorder="1" applyAlignment="1" applyProtection="1">
      <alignment horizontal="center" vertical="center"/>
      <protection locked="0"/>
    </xf>
    <xf numFmtId="0" fontId="10" fillId="0" borderId="84" xfId="0" applyFont="1" applyBorder="1" applyAlignment="1" applyProtection="1">
      <alignment horizontal="center" vertical="center" textRotation="90" wrapText="1"/>
      <protection locked="0"/>
    </xf>
    <xf numFmtId="0" fontId="12" fillId="0" borderId="84" xfId="0" applyFont="1" applyBorder="1" applyAlignment="1" applyProtection="1">
      <alignment horizontal="center" vertical="center" wrapText="1"/>
      <protection locked="0"/>
    </xf>
    <xf numFmtId="49" fontId="8" fillId="0" borderId="85" xfId="0" applyNumberFormat="1" applyFont="1" applyBorder="1" applyAlignment="1" applyProtection="1">
      <alignment horizontal="center" vertical="center"/>
      <protection locked="0"/>
    </xf>
    <xf numFmtId="0" fontId="28" fillId="0" borderId="84" xfId="0" applyFont="1" applyBorder="1" applyAlignment="1" applyProtection="1">
      <alignment horizontal="center" vertical="center" wrapText="1"/>
      <protection locked="0"/>
    </xf>
    <xf numFmtId="0" fontId="0" fillId="37" borderId="87" xfId="0" applyFill="1" applyBorder="1" applyAlignment="1" applyProtection="1">
      <alignment horizontal="center" vertical="center"/>
      <protection locked="0"/>
    </xf>
    <xf numFmtId="0" fontId="8" fillId="37" borderId="7" xfId="0" applyFont="1" applyFill="1" applyBorder="1" applyAlignment="1" applyProtection="1">
      <alignment horizontal="right" vertical="center"/>
      <protection locked="0"/>
    </xf>
    <xf numFmtId="0" fontId="0" fillId="40" borderId="29" xfId="0" applyFill="1" applyBorder="1" applyAlignment="1" applyProtection="1">
      <alignment horizontal="center" vertical="center"/>
      <protection locked="0"/>
    </xf>
    <xf numFmtId="0" fontId="0" fillId="40" borderId="29" xfId="0" applyFill="1" applyBorder="1" applyAlignment="1" applyProtection="1">
      <alignment vertical="center"/>
      <protection locked="0"/>
    </xf>
    <xf numFmtId="0" fontId="10" fillId="40" borderId="29" xfId="0" applyFont="1" applyFill="1" applyBorder="1" applyAlignment="1" applyProtection="1">
      <alignment horizontal="right" vertical="center"/>
      <protection locked="0"/>
    </xf>
    <xf numFmtId="0" fontId="8" fillId="37" borderId="0" xfId="0" applyFont="1" applyFill="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0" fontId="0" fillId="37" borderId="88" xfId="0" applyFill="1" applyBorder="1" applyAlignment="1" applyProtection="1">
      <alignment horizontal="center" vertical="center"/>
      <protection locked="0"/>
    </xf>
    <xf numFmtId="0" fontId="8" fillId="42" borderId="58" xfId="0" applyFont="1" applyFill="1" applyBorder="1" applyAlignment="1" applyProtection="1">
      <alignment horizontal="center" vertical="center" wrapText="1"/>
      <protection locked="0"/>
    </xf>
    <xf numFmtId="195" fontId="8" fillId="42" borderId="51" xfId="0" applyNumberFormat="1" applyFont="1" applyFill="1" applyBorder="1" applyAlignment="1" applyProtection="1">
      <alignment horizontal="center" vertical="center" wrapText="1"/>
      <protection locked="0"/>
    </xf>
    <xf numFmtId="0" fontId="8" fillId="42" borderId="22" xfId="0" applyFont="1" applyFill="1" applyBorder="1" applyAlignment="1" applyProtection="1">
      <alignment horizontal="center" vertical="center" wrapText="1"/>
      <protection locked="0"/>
    </xf>
    <xf numFmtId="0" fontId="8" fillId="42" borderId="21" xfId="0" applyFont="1" applyFill="1" applyBorder="1" applyAlignment="1" applyProtection="1">
      <alignment horizontal="center" vertical="center" wrapText="1"/>
      <protection locked="0"/>
    </xf>
    <xf numFmtId="0" fontId="85" fillId="46" borderId="12" xfId="0" applyFont="1" applyFill="1" applyBorder="1" applyAlignment="1">
      <alignment horizontal="center" vertical="center"/>
    </xf>
    <xf numFmtId="0" fontId="85" fillId="46" borderId="91" xfId="0" applyFont="1" applyFill="1" applyBorder="1" applyAlignment="1">
      <alignment horizontal="center" vertical="center"/>
    </xf>
    <xf numFmtId="49" fontId="10" fillId="43" borderId="21" xfId="1112" applyNumberFormat="1" applyFont="1" applyFill="1" applyBorder="1" applyAlignment="1" applyProtection="1">
      <alignment vertical="center"/>
      <protection locked="0"/>
    </xf>
    <xf numFmtId="0" fontId="8" fillId="43" borderId="23" xfId="0" applyFont="1" applyFill="1" applyBorder="1" applyAlignment="1" applyProtection="1">
      <alignment vertical="center" wrapText="1"/>
      <protection locked="0"/>
    </xf>
    <xf numFmtId="0" fontId="8" fillId="43" borderId="21" xfId="0" applyFont="1" applyFill="1" applyBorder="1" applyAlignment="1" applyProtection="1">
      <alignment vertical="center" wrapText="1"/>
      <protection locked="0"/>
    </xf>
    <xf numFmtId="0" fontId="8" fillId="37" borderId="85" xfId="0" applyFont="1" applyFill="1" applyBorder="1" applyAlignment="1" applyProtection="1">
      <alignment vertical="center" wrapText="1"/>
      <protection locked="0"/>
    </xf>
    <xf numFmtId="0" fontId="85" fillId="46" borderId="91" xfId="0" applyFont="1" applyFill="1" applyBorder="1" applyAlignment="1">
      <alignment horizontal="center" vertical="center" wrapText="1"/>
    </xf>
    <xf numFmtId="0" fontId="85" fillId="46" borderId="12" xfId="0" applyFont="1" applyFill="1" applyBorder="1" applyAlignment="1">
      <alignment horizontal="center" vertical="center" wrapText="1"/>
    </xf>
    <xf numFmtId="0" fontId="10" fillId="45" borderId="12" xfId="0" applyFont="1" applyFill="1" applyBorder="1" applyAlignment="1">
      <alignment horizontal="right" vertical="center"/>
    </xf>
    <xf numFmtId="0" fontId="83" fillId="0" borderId="50" xfId="0" applyFont="1" applyBorder="1" applyAlignment="1">
      <alignment horizontal="center" vertical="center"/>
    </xf>
    <xf numFmtId="0" fontId="83" fillId="0" borderId="51" xfId="0" applyFont="1" applyBorder="1" applyAlignment="1">
      <alignment horizontal="center" vertical="center"/>
    </xf>
    <xf numFmtId="0" fontId="88" fillId="0" borderId="0" xfId="0" applyFont="1" applyAlignment="1">
      <alignment horizontal="center" vertical="center" wrapText="1"/>
    </xf>
    <xf numFmtId="0" fontId="88" fillId="0" borderId="0" xfId="0" applyFont="1"/>
    <xf numFmtId="0" fontId="89" fillId="0" borderId="0" xfId="0" applyFont="1" applyAlignment="1">
      <alignment horizontal="center" vertical="center" wrapText="1"/>
    </xf>
    <xf numFmtId="0" fontId="91" fillId="0" borderId="0" xfId="0" applyFont="1"/>
    <xf numFmtId="0" fontId="86" fillId="0" borderId="28" xfId="0" applyFont="1" applyBorder="1" applyAlignment="1">
      <alignment horizontal="center"/>
    </xf>
    <xf numFmtId="0" fontId="87" fillId="0" borderId="28" xfId="0" applyFont="1" applyBorder="1" applyAlignment="1">
      <alignment horizontal="center"/>
    </xf>
    <xf numFmtId="0" fontId="87" fillId="0" borderId="37" xfId="0" applyFont="1" applyBorder="1" applyAlignment="1">
      <alignment horizontal="center"/>
    </xf>
    <xf numFmtId="0" fontId="86" fillId="0" borderId="93" xfId="0" applyFont="1" applyBorder="1" applyAlignment="1">
      <alignment horizontal="center"/>
    </xf>
    <xf numFmtId="0" fontId="0" fillId="0" borderId="28" xfId="0" applyBorder="1"/>
    <xf numFmtId="0" fontId="0" fillId="0" borderId="37" xfId="0" applyBorder="1"/>
    <xf numFmtId="0" fontId="0" fillId="47" borderId="23" xfId="0" applyFill="1" applyBorder="1" applyAlignment="1" applyProtection="1">
      <alignment horizontal="left" vertical="center"/>
      <protection locked="0"/>
    </xf>
    <xf numFmtId="0" fontId="0" fillId="37" borderId="95" xfId="0" applyFill="1" applyBorder="1" applyProtection="1">
      <protection locked="0"/>
    </xf>
    <xf numFmtId="0" fontId="0" fillId="37" borderId="94" xfId="0" applyFill="1" applyBorder="1" applyAlignment="1" applyProtection="1">
      <alignment horizontal="center" vertical="center"/>
      <protection locked="0"/>
    </xf>
    <xf numFmtId="0" fontId="8" fillId="42" borderId="22" xfId="0" applyFont="1" applyFill="1" applyBorder="1" applyAlignment="1" applyProtection="1">
      <alignment horizontal="left" vertical="center"/>
      <protection locked="0"/>
    </xf>
    <xf numFmtId="0" fontId="8" fillId="42" borderId="35" xfId="0" applyFont="1" applyFill="1" applyBorder="1" applyAlignment="1" applyProtection="1">
      <alignment horizontal="left" vertical="center" wrapText="1"/>
      <protection hidden="1"/>
    </xf>
    <xf numFmtId="0" fontId="0" fillId="37" borderId="98" xfId="0" applyFill="1" applyBorder="1" applyAlignment="1" applyProtection="1">
      <alignment horizontal="center" vertical="center"/>
      <protection locked="0"/>
    </xf>
    <xf numFmtId="0" fontId="0" fillId="37" borderId="99" xfId="0" applyFill="1" applyBorder="1" applyAlignment="1" applyProtection="1">
      <alignment horizontal="center" vertical="center"/>
      <protection locked="0"/>
    </xf>
    <xf numFmtId="0" fontId="0" fillId="37" borderId="100" xfId="0" applyFill="1" applyBorder="1" applyAlignment="1" applyProtection="1">
      <alignment horizontal="center" vertical="center"/>
      <protection locked="0"/>
    </xf>
    <xf numFmtId="0" fontId="19" fillId="0" borderId="69" xfId="0" applyFont="1" applyBorder="1" applyAlignment="1" applyProtection="1">
      <alignment horizontal="center" vertical="center" wrapText="1"/>
      <protection locked="0"/>
    </xf>
    <xf numFmtId="0" fontId="0" fillId="0" borderId="101" xfId="0" applyBorder="1"/>
    <xf numFmtId="0" fontId="8" fillId="0" borderId="101" xfId="0" applyFont="1" applyBorder="1" applyAlignment="1">
      <alignment horizontal="center"/>
    </xf>
    <xf numFmtId="0" fontId="0" fillId="0" borderId="101" xfId="0" applyBorder="1" applyAlignment="1">
      <alignment horizontal="center"/>
    </xf>
    <xf numFmtId="0" fontId="0" fillId="0" borderId="0" xfId="0" applyAlignment="1">
      <alignment horizontal="center" vertical="center"/>
    </xf>
    <xf numFmtId="0" fontId="88" fillId="0" borderId="0" xfId="0" applyFont="1" applyAlignment="1">
      <alignment horizontal="center" vertical="center"/>
    </xf>
    <xf numFmtId="0" fontId="90" fillId="0" borderId="0" xfId="0" applyFont="1" applyAlignment="1">
      <alignment horizontal="center" vertical="center"/>
    </xf>
    <xf numFmtId="0" fontId="91" fillId="0" borderId="0" xfId="0" applyFont="1" applyAlignment="1">
      <alignment horizontal="center" vertical="center"/>
    </xf>
    <xf numFmtId="0" fontId="0" fillId="48" borderId="51" xfId="0" applyFill="1" applyBorder="1" applyAlignment="1">
      <alignment horizontal="center" vertical="center" wrapText="1"/>
    </xf>
    <xf numFmtId="0" fontId="83" fillId="48" borderId="51" xfId="0" applyFont="1" applyFill="1" applyBorder="1" applyAlignment="1">
      <alignment horizontal="center" vertical="center" wrapText="1"/>
    </xf>
    <xf numFmtId="0" fontId="0" fillId="48" borderId="90" xfId="0" applyFill="1" applyBorder="1" applyAlignment="1">
      <alignment horizontal="center" vertical="center" wrapText="1"/>
    </xf>
    <xf numFmtId="0" fontId="0" fillId="49" borderId="72" xfId="0" applyFill="1" applyBorder="1" applyAlignment="1">
      <alignment horizontal="center" vertical="center" wrapText="1"/>
    </xf>
    <xf numFmtId="0" fontId="0" fillId="49" borderId="102" xfId="0" applyFill="1" applyBorder="1" applyAlignment="1">
      <alignment horizontal="center" vertical="center" wrapText="1"/>
    </xf>
    <xf numFmtId="0" fontId="8" fillId="48" borderId="50" xfId="0" applyFont="1" applyFill="1" applyBorder="1" applyAlignment="1">
      <alignment horizontal="center" vertical="center" wrapText="1"/>
    </xf>
    <xf numFmtId="0" fontId="8" fillId="49" borderId="45" xfId="0" applyFont="1" applyFill="1" applyBorder="1" applyAlignment="1">
      <alignment horizontal="center" vertical="center" wrapText="1"/>
    </xf>
    <xf numFmtId="189" fontId="9" fillId="42" borderId="78" xfId="0" applyNumberFormat="1" applyFont="1" applyFill="1" applyBorder="1" applyAlignment="1" applyProtection="1">
      <alignment horizontal="center" vertical="center"/>
      <protection locked="0"/>
    </xf>
    <xf numFmtId="0" fontId="0" fillId="37" borderId="15" xfId="0" applyFill="1" applyBorder="1" applyAlignment="1" applyProtection="1">
      <alignment horizontal="left"/>
      <protection locked="0"/>
    </xf>
    <xf numFmtId="0" fontId="9" fillId="0" borderId="83" xfId="0" applyFont="1" applyBorder="1" applyAlignment="1" applyProtection="1">
      <alignment horizontal="center" vertical="center"/>
      <protection locked="0"/>
    </xf>
    <xf numFmtId="0" fontId="0" fillId="0" borderId="0" xfId="0" applyAlignment="1">
      <alignment vertical="center"/>
    </xf>
    <xf numFmtId="0" fontId="83" fillId="44" borderId="38" xfId="0" applyFont="1" applyFill="1" applyBorder="1" applyAlignment="1">
      <alignment vertical="center"/>
    </xf>
    <xf numFmtId="0" fontId="0" fillId="50" borderId="86" xfId="0" applyFill="1" applyBorder="1" applyAlignment="1">
      <alignment horizontal="center" vertical="center"/>
    </xf>
    <xf numFmtId="0" fontId="0" fillId="50" borderId="16" xfId="0" applyFill="1" applyBorder="1" applyAlignment="1">
      <alignment horizontal="center" vertical="center"/>
    </xf>
    <xf numFmtId="192" fontId="0" fillId="0" borderId="0" xfId="0" applyNumberFormat="1" applyAlignment="1">
      <alignment vertical="center"/>
    </xf>
    <xf numFmtId="167" fontId="0" fillId="0" borderId="0" xfId="0" applyNumberFormat="1" applyAlignment="1">
      <alignment vertical="center"/>
    </xf>
    <xf numFmtId="0" fontId="8" fillId="37" borderId="46" xfId="0" applyFont="1" applyFill="1" applyBorder="1" applyAlignment="1">
      <alignment vertical="center"/>
    </xf>
    <xf numFmtId="0" fontId="10" fillId="0" borderId="29" xfId="0" applyFont="1" applyBorder="1" applyAlignment="1">
      <alignment vertical="center"/>
    </xf>
    <xf numFmtId="0" fontId="0" fillId="0" borderId="32" xfId="0" applyBorder="1" applyAlignment="1">
      <alignment vertical="center"/>
    </xf>
    <xf numFmtId="0" fontId="0" fillId="0" borderId="44" xfId="0" applyBorder="1" applyAlignment="1">
      <alignment vertical="center"/>
    </xf>
    <xf numFmtId="0" fontId="0" fillId="0" borderId="21" xfId="0" applyBorder="1" applyAlignment="1">
      <alignment vertical="center"/>
    </xf>
    <xf numFmtId="0" fontId="8" fillId="0" borderId="0" xfId="0" applyFont="1" applyAlignment="1">
      <alignment vertical="center"/>
    </xf>
    <xf numFmtId="0" fontId="8" fillId="42" borderId="21" xfId="0" applyFont="1" applyFill="1" applyBorder="1" applyAlignment="1" applyProtection="1">
      <alignment horizontal="left" vertical="center" wrapText="1"/>
      <protection hidden="1"/>
    </xf>
    <xf numFmtId="196" fontId="0" fillId="42" borderId="35" xfId="0" applyNumberFormat="1" applyFill="1" applyBorder="1" applyAlignment="1" applyProtection="1">
      <alignment horizontal="left" vertical="center"/>
      <protection hidden="1"/>
    </xf>
    <xf numFmtId="197" fontId="94" fillId="51" borderId="0" xfId="0" applyNumberFormat="1" applyFont="1" applyFill="1" applyAlignment="1">
      <alignment horizontal="center" vertical="center"/>
    </xf>
    <xf numFmtId="14" fontId="94" fillId="51" borderId="0" xfId="0" applyNumberFormat="1" applyFont="1" applyFill="1" applyAlignment="1">
      <alignment horizontal="center" vertical="center"/>
    </xf>
    <xf numFmtId="0" fontId="94" fillId="51" borderId="0" xfId="0" applyFont="1" applyFill="1" applyAlignment="1">
      <alignment horizontal="center" vertical="center"/>
    </xf>
    <xf numFmtId="197" fontId="0" fillId="0" borderId="0" xfId="0" applyNumberFormat="1"/>
    <xf numFmtId="197" fontId="0" fillId="0" borderId="0" xfId="0" applyNumberFormat="1" applyAlignment="1">
      <alignment horizontal="center" vertical="center"/>
    </xf>
    <xf numFmtId="14" fontId="0" fillId="0" borderId="0" xfId="0" applyNumberFormat="1" applyAlignment="1">
      <alignment horizontal="center" vertical="center"/>
    </xf>
    <xf numFmtId="0" fontId="8" fillId="0" borderId="0" xfId="0" applyFont="1"/>
    <xf numFmtId="0" fontId="0" fillId="37" borderId="0" xfId="0" applyFill="1" applyAlignment="1" applyProtection="1">
      <alignment horizontal="center" vertical="center"/>
      <protection locked="0"/>
    </xf>
    <xf numFmtId="0" fontId="85" fillId="37" borderId="46" xfId="0" applyFont="1" applyFill="1" applyBorder="1" applyProtection="1">
      <protection locked="0"/>
    </xf>
    <xf numFmtId="0" fontId="94" fillId="37" borderId="46" xfId="0" applyFont="1" applyFill="1" applyBorder="1" applyProtection="1">
      <protection locked="0"/>
    </xf>
    <xf numFmtId="0" fontId="85" fillId="37" borderId="48" xfId="0" applyFont="1" applyFill="1" applyBorder="1" applyProtection="1">
      <protection locked="0"/>
    </xf>
    <xf numFmtId="0" fontId="85" fillId="37" borderId="94" xfId="0" applyFont="1" applyFill="1" applyBorder="1" applyAlignment="1" applyProtection="1">
      <alignment horizontal="center" vertical="center"/>
      <protection locked="0"/>
    </xf>
    <xf numFmtId="0" fontId="85" fillId="37" borderId="99" xfId="0" applyFont="1" applyFill="1" applyBorder="1" applyAlignment="1" applyProtection="1">
      <alignment horizontal="center" vertical="center"/>
      <protection locked="0"/>
    </xf>
    <xf numFmtId="0" fontId="85" fillId="37" borderId="46" xfId="0" applyFont="1" applyFill="1" applyBorder="1" applyAlignment="1" applyProtection="1">
      <alignment horizontal="center" vertical="center"/>
      <protection locked="0"/>
    </xf>
    <xf numFmtId="0" fontId="85" fillId="37" borderId="100" xfId="0" applyFont="1" applyFill="1" applyBorder="1" applyAlignment="1" applyProtection="1">
      <alignment horizontal="center" vertical="center"/>
      <protection locked="0"/>
    </xf>
    <xf numFmtId="0" fontId="85" fillId="37" borderId="0" xfId="0" applyFont="1" applyFill="1" applyAlignment="1" applyProtection="1">
      <alignment horizontal="center" vertical="center"/>
      <protection locked="0"/>
    </xf>
    <xf numFmtId="0" fontId="85" fillId="37" borderId="61" xfId="0" applyFont="1" applyFill="1" applyBorder="1" applyProtection="1">
      <protection locked="0"/>
    </xf>
    <xf numFmtId="0" fontId="85" fillId="0" borderId="46" xfId="0" applyFont="1" applyBorder="1" applyProtection="1">
      <protection locked="0"/>
    </xf>
    <xf numFmtId="2" fontId="8" fillId="42" borderId="35" xfId="0" applyNumberFormat="1" applyFont="1" applyFill="1" applyBorder="1" applyAlignment="1" applyProtection="1">
      <alignment horizontal="left" vertical="center" wrapText="1"/>
      <protection hidden="1"/>
    </xf>
    <xf numFmtId="0" fontId="87" fillId="0" borderId="15" xfId="0" applyFont="1" applyBorder="1" applyAlignment="1">
      <alignment horizontal="center"/>
    </xf>
    <xf numFmtId="0" fontId="89" fillId="0" borderId="0" xfId="0" applyFont="1" applyAlignment="1">
      <alignment horizontal="center" vertical="center"/>
    </xf>
    <xf numFmtId="0" fontId="86" fillId="0" borderId="38" xfId="0" applyFont="1" applyBorder="1" applyAlignment="1">
      <alignment horizontal="center"/>
    </xf>
    <xf numFmtId="0" fontId="0" fillId="50" borderId="38" xfId="0" applyFill="1" applyBorder="1" applyAlignment="1">
      <alignment horizontal="center" vertical="center"/>
    </xf>
    <xf numFmtId="0" fontId="0" fillId="50" borderId="29" xfId="0" applyFill="1" applyBorder="1" applyAlignment="1">
      <alignment horizontal="center" vertical="center"/>
    </xf>
    <xf numFmtId="0" fontId="97" fillId="0" borderId="0" xfId="0" applyFont="1" applyAlignment="1">
      <alignment vertical="center"/>
    </xf>
    <xf numFmtId="0" fontId="97" fillId="0" borderId="114" xfId="0" applyFont="1" applyBorder="1" applyAlignment="1">
      <alignment vertical="center"/>
    </xf>
    <xf numFmtId="0" fontId="97" fillId="0" borderId="28" xfId="0" applyFont="1" applyBorder="1" applyAlignment="1">
      <alignment vertical="center"/>
    </xf>
    <xf numFmtId="0" fontId="97" fillId="0" borderId="120" xfId="0" applyFont="1" applyBorder="1" applyAlignment="1">
      <alignment vertical="center"/>
    </xf>
    <xf numFmtId="0" fontId="10" fillId="0" borderId="0" xfId="0" applyFont="1"/>
    <xf numFmtId="0" fontId="0" fillId="0" borderId="0" xfId="0" applyProtection="1">
      <protection locked="0"/>
    </xf>
    <xf numFmtId="0" fontId="0" fillId="0" borderId="12" xfId="0" applyBorder="1" applyProtection="1">
      <protection locked="0"/>
    </xf>
    <xf numFmtId="0" fontId="0" fillId="0" borderId="12" xfId="0" applyBorder="1" applyAlignment="1" applyProtection="1">
      <alignment horizontal="center" vertical="center"/>
      <protection locked="0"/>
    </xf>
    <xf numFmtId="0" fontId="8" fillId="0" borderId="12" xfId="0" applyFont="1" applyBorder="1" applyAlignment="1" applyProtection="1">
      <alignment horizontal="center" vertical="center"/>
      <protection locked="0"/>
    </xf>
    <xf numFmtId="0" fontId="10" fillId="40" borderId="29" xfId="0" applyFont="1" applyFill="1" applyBorder="1" applyAlignment="1">
      <alignment horizontal="right" vertical="center"/>
    </xf>
    <xf numFmtId="0" fontId="10" fillId="42" borderId="51" xfId="0" applyFont="1" applyFill="1" applyBorder="1" applyAlignment="1">
      <alignment horizontal="center" vertical="center" wrapText="1"/>
    </xf>
    <xf numFmtId="0" fontId="8" fillId="0" borderId="27" xfId="0" applyFont="1" applyBorder="1" applyAlignment="1">
      <alignment vertical="center" wrapText="1"/>
    </xf>
    <xf numFmtId="0" fontId="0" fillId="0" borderId="26" xfId="0" applyBorder="1" applyAlignment="1">
      <alignment vertical="center" wrapText="1"/>
    </xf>
    <xf numFmtId="0" fontId="8" fillId="0" borderId="25" xfId="0" applyFont="1" applyBorder="1" applyAlignment="1">
      <alignment vertical="center"/>
    </xf>
    <xf numFmtId="0" fontId="8" fillId="39" borderId="57" xfId="0" applyFont="1" applyFill="1" applyBorder="1" applyAlignment="1">
      <alignment horizontal="center" vertical="center"/>
    </xf>
    <xf numFmtId="0" fontId="8" fillId="39" borderId="56" xfId="0" applyFont="1" applyFill="1" applyBorder="1" applyAlignment="1">
      <alignment horizontal="center" vertical="center"/>
    </xf>
    <xf numFmtId="0" fontId="8" fillId="39" borderId="71" xfId="0" applyFont="1" applyFill="1" applyBorder="1" applyAlignment="1">
      <alignment horizontal="center" vertical="center" wrapText="1"/>
    </xf>
    <xf numFmtId="0" fontId="8" fillId="0" borderId="19" xfId="0" applyFont="1" applyBorder="1" applyAlignment="1">
      <alignment vertical="center" wrapText="1"/>
    </xf>
    <xf numFmtId="0" fontId="8" fillId="0" borderId="18" xfId="0" applyFont="1" applyBorder="1" applyAlignment="1">
      <alignment vertical="center" wrapText="1"/>
    </xf>
    <xf numFmtId="0" fontId="0" fillId="0" borderId="19" xfId="0" applyBorder="1" applyAlignment="1">
      <alignment horizontal="left" vertical="center" wrapText="1"/>
    </xf>
    <xf numFmtId="0" fontId="0" fillId="0" borderId="25" xfId="0" applyBorder="1" applyAlignment="1">
      <alignment vertical="center" wrapText="1"/>
    </xf>
    <xf numFmtId="0" fontId="8" fillId="0" borderId="17" xfId="0" applyFont="1" applyBorder="1" applyAlignment="1">
      <alignment horizontal="left" vertical="center" wrapText="1"/>
    </xf>
    <xf numFmtId="0" fontId="8" fillId="0" borderId="17" xfId="0" applyFont="1" applyBorder="1" applyAlignment="1">
      <alignment vertical="center" wrapText="1"/>
    </xf>
    <xf numFmtId="0" fontId="0" fillId="0" borderId="18" xfId="0" applyBorder="1" applyAlignment="1">
      <alignment vertical="center" wrapText="1"/>
    </xf>
    <xf numFmtId="0" fontId="0" fillId="0" borderId="25" xfId="0" applyBorder="1" applyAlignment="1">
      <alignment horizontal="left" vertical="center" wrapText="1"/>
    </xf>
    <xf numFmtId="0" fontId="0" fillId="0" borderId="17" xfId="0" applyBorder="1" applyAlignment="1">
      <alignment horizontal="left" vertical="center" wrapText="1"/>
    </xf>
    <xf numFmtId="0" fontId="0" fillId="0" borderId="18" xfId="0" applyBorder="1" applyAlignment="1">
      <alignment horizontal="left" vertical="center" wrapText="1"/>
    </xf>
    <xf numFmtId="0" fontId="10" fillId="0" borderId="25" xfId="0" applyFont="1" applyBorder="1" applyAlignment="1">
      <alignment vertical="center" wrapText="1"/>
    </xf>
    <xf numFmtId="0" fontId="10" fillId="0" borderId="76" xfId="0" applyFont="1" applyBorder="1" applyAlignment="1" applyProtection="1">
      <alignment horizontal="left" vertical="center"/>
      <protection hidden="1"/>
    </xf>
    <xf numFmtId="0" fontId="10" fillId="0" borderId="55" xfId="0" applyFont="1" applyBorder="1" applyAlignment="1" applyProtection="1">
      <alignment horizontal="left" vertical="center" wrapText="1"/>
      <protection hidden="1"/>
    </xf>
    <xf numFmtId="0" fontId="10" fillId="47" borderId="17" xfId="0" applyFont="1" applyFill="1" applyBorder="1" applyAlignment="1" applyProtection="1">
      <alignment horizontal="left" vertical="center" wrapText="1"/>
      <protection hidden="1"/>
    </xf>
    <xf numFmtId="0" fontId="10" fillId="0" borderId="17" xfId="0" applyFont="1" applyBorder="1" applyAlignment="1" applyProtection="1">
      <alignment horizontal="left" vertical="center" wrapText="1"/>
      <protection hidden="1"/>
    </xf>
    <xf numFmtId="0" fontId="10" fillId="42" borderId="56" xfId="0" applyFont="1" applyFill="1" applyBorder="1" applyAlignment="1" applyProtection="1">
      <alignment vertical="top" wrapText="1"/>
      <protection hidden="1"/>
    </xf>
    <xf numFmtId="0" fontId="10" fillId="42" borderId="96" xfId="0" applyFont="1" applyFill="1" applyBorder="1" applyAlignment="1" applyProtection="1">
      <alignment vertical="top" wrapText="1"/>
      <protection hidden="1"/>
    </xf>
    <xf numFmtId="0" fontId="10" fillId="0" borderId="19" xfId="0" applyFont="1" applyBorder="1" applyAlignment="1">
      <alignment horizontal="left" vertical="center" wrapText="1"/>
    </xf>
    <xf numFmtId="0" fontId="10" fillId="0" borderId="26" xfId="0" applyFont="1" applyBorder="1" applyAlignment="1">
      <alignment horizontal="left" vertical="center" wrapText="1"/>
    </xf>
    <xf numFmtId="0" fontId="10" fillId="0" borderId="17" xfId="0" applyFont="1" applyBorder="1" applyAlignment="1">
      <alignment vertical="center"/>
    </xf>
    <xf numFmtId="0" fontId="10" fillId="45" borderId="17" xfId="0" applyFont="1" applyFill="1" applyBorder="1" applyAlignment="1">
      <alignment horizontal="left" vertical="center" wrapText="1"/>
    </xf>
    <xf numFmtId="0" fontId="10" fillId="0" borderId="17" xfId="0" applyFont="1" applyBorder="1" applyAlignment="1">
      <alignment vertical="center" wrapText="1"/>
    </xf>
    <xf numFmtId="0" fontId="10" fillId="45" borderId="17" xfId="0" applyFont="1" applyFill="1" applyBorder="1" applyAlignment="1">
      <alignment vertical="center" wrapText="1"/>
    </xf>
    <xf numFmtId="0" fontId="10" fillId="0" borderId="18" xfId="0" applyFont="1" applyBorder="1" applyAlignment="1">
      <alignment vertical="center" wrapText="1"/>
    </xf>
    <xf numFmtId="0" fontId="10" fillId="0" borderId="25" xfId="0" applyFont="1" applyBorder="1" applyAlignment="1">
      <alignment horizontal="left" vertical="center" wrapText="1"/>
    </xf>
    <xf numFmtId="0" fontId="10" fillId="0" borderId="17" xfId="0" applyFont="1" applyBorder="1" applyAlignment="1">
      <alignment horizontal="left" vertical="center" wrapText="1"/>
    </xf>
    <xf numFmtId="0" fontId="10" fillId="0" borderId="18" xfId="0" applyFont="1" applyBorder="1" applyAlignment="1">
      <alignment horizontal="left" vertical="center" wrapText="1"/>
    </xf>
    <xf numFmtId="0" fontId="28" fillId="39" borderId="45" xfId="0" applyFont="1" applyFill="1" applyBorder="1" applyAlignment="1">
      <alignment horizontal="center" vertical="center"/>
    </xf>
    <xf numFmtId="0" fontId="19" fillId="0" borderId="29" xfId="0" applyFont="1" applyBorder="1" applyAlignment="1" applyProtection="1">
      <alignment horizontal="center" vertical="center"/>
      <protection locked="0"/>
    </xf>
    <xf numFmtId="0" fontId="78" fillId="0" borderId="17" xfId="0" applyFont="1" applyBorder="1" applyAlignment="1">
      <alignment horizontal="center" vertical="center" wrapText="1"/>
    </xf>
    <xf numFmtId="0" fontId="78" fillId="0" borderId="18" xfId="0" applyFont="1" applyBorder="1" applyAlignment="1">
      <alignment horizontal="center" vertical="center" wrapText="1"/>
    </xf>
    <xf numFmtId="0" fontId="82" fillId="0" borderId="25" xfId="0" applyFont="1" applyBorder="1" applyAlignment="1">
      <alignment horizontal="center" vertical="center" wrapText="1"/>
    </xf>
    <xf numFmtId="189" fontId="82" fillId="0" borderId="20" xfId="0" applyNumberFormat="1" applyFont="1" applyBorder="1" applyAlignment="1">
      <alignment horizontal="center" vertical="center"/>
    </xf>
    <xf numFmtId="0" fontId="0" fillId="50" borderId="28" xfId="0" applyFill="1" applyBorder="1" applyAlignment="1">
      <alignment horizontal="center" vertical="center"/>
    </xf>
    <xf numFmtId="0" fontId="0" fillId="50" borderId="0" xfId="0" applyFill="1" applyAlignment="1">
      <alignment horizontal="center" vertical="center"/>
    </xf>
    <xf numFmtId="0" fontId="10" fillId="0" borderId="0" xfId="0" applyFont="1" applyAlignment="1">
      <alignment vertical="center"/>
    </xf>
    <xf numFmtId="0" fontId="0" fillId="0" borderId="124" xfId="0" applyBorder="1" applyAlignment="1">
      <alignment vertical="center"/>
    </xf>
    <xf numFmtId="0" fontId="8" fillId="37" borderId="124" xfId="0" applyFont="1" applyFill="1" applyBorder="1" applyAlignment="1">
      <alignment vertical="center"/>
    </xf>
    <xf numFmtId="0" fontId="8" fillId="37" borderId="48" xfId="0" applyFont="1" applyFill="1" applyBorder="1" applyAlignment="1">
      <alignment vertical="center"/>
    </xf>
    <xf numFmtId="0" fontId="8" fillId="48" borderId="51" xfId="0" applyFont="1" applyFill="1" applyBorder="1" applyAlignment="1">
      <alignment horizontal="center" vertical="center" wrapText="1"/>
    </xf>
    <xf numFmtId="0" fontId="87" fillId="0" borderId="107" xfId="0" applyFont="1" applyBorder="1" applyAlignment="1">
      <alignment vertical="center"/>
    </xf>
    <xf numFmtId="0" fontId="87" fillId="40" borderId="110" xfId="0" applyFont="1" applyFill="1" applyBorder="1" applyAlignment="1">
      <alignment vertical="center"/>
    </xf>
    <xf numFmtId="0" fontId="10" fillId="45" borderId="17" xfId="0" applyFont="1" applyFill="1" applyBorder="1" applyAlignment="1" applyProtection="1">
      <alignment horizontal="left" vertical="center" wrapText="1"/>
      <protection hidden="1"/>
    </xf>
    <xf numFmtId="0" fontId="10" fillId="0" borderId="105" xfId="0" applyFont="1" applyBorder="1" applyAlignment="1" applyProtection="1">
      <alignment horizontal="left" vertical="center" wrapText="1"/>
      <protection hidden="1"/>
    </xf>
    <xf numFmtId="0" fontId="8" fillId="0" borderId="17" xfId="0" applyFont="1" applyBorder="1" applyAlignment="1">
      <alignment vertical="center"/>
    </xf>
    <xf numFmtId="0" fontId="0" fillId="0" borderId="17" xfId="0" applyBorder="1" applyAlignment="1">
      <alignment vertical="center" wrapText="1"/>
    </xf>
    <xf numFmtId="0" fontId="10" fillId="40" borderId="75" xfId="0" applyFont="1" applyFill="1" applyBorder="1" applyAlignment="1" applyProtection="1">
      <alignment vertical="center" wrapText="1"/>
      <protection hidden="1"/>
    </xf>
    <xf numFmtId="0" fontId="83" fillId="44" borderId="15" xfId="0" applyFont="1" applyFill="1" applyBorder="1" applyAlignment="1">
      <alignment vertical="center"/>
    </xf>
    <xf numFmtId="0" fontId="10" fillId="0" borderId="55" xfId="0" applyFont="1" applyBorder="1" applyAlignment="1" applyProtection="1">
      <alignment horizontal="left" vertical="center"/>
      <protection hidden="1"/>
    </xf>
    <xf numFmtId="0" fontId="86" fillId="37" borderId="106" xfId="0" applyFont="1" applyFill="1" applyBorder="1" applyAlignment="1">
      <alignment vertical="center"/>
    </xf>
    <xf numFmtId="0" fontId="87" fillId="0" borderId="122" xfId="0" applyFont="1" applyBorder="1" applyAlignment="1">
      <alignment vertical="center"/>
    </xf>
    <xf numFmtId="0" fontId="87" fillId="40" borderId="107" xfId="0" applyFont="1" applyFill="1" applyBorder="1" applyAlignment="1">
      <alignment vertical="center"/>
    </xf>
    <xf numFmtId="0" fontId="87" fillId="0" borderId="28" xfId="0" applyFont="1" applyBorder="1" applyAlignment="1">
      <alignment vertical="center"/>
    </xf>
    <xf numFmtId="0" fontId="87" fillId="0" borderId="120" xfId="0" applyFont="1" applyBorder="1" applyAlignment="1">
      <alignment vertical="center"/>
    </xf>
    <xf numFmtId="0" fontId="86" fillId="37" borderId="112" xfId="0" applyFont="1" applyFill="1" applyBorder="1" applyAlignment="1">
      <alignment vertical="center"/>
    </xf>
    <xf numFmtId="0" fontId="87" fillId="0" borderId="114" xfId="0" applyFont="1" applyBorder="1" applyAlignment="1">
      <alignment vertical="center"/>
    </xf>
    <xf numFmtId="0" fontId="87" fillId="0" borderId="123" xfId="0" applyFont="1" applyBorder="1" applyAlignment="1">
      <alignment vertical="center"/>
    </xf>
    <xf numFmtId="0" fontId="86" fillId="0" borderId="106" xfId="0" applyFont="1" applyBorder="1" applyAlignment="1">
      <alignment vertical="center"/>
    </xf>
    <xf numFmtId="0" fontId="86" fillId="0" borderId="86" xfId="1110" applyFont="1" applyBorder="1" applyAlignment="1">
      <alignment vertical="center"/>
    </xf>
    <xf numFmtId="0" fontId="87" fillId="40" borderId="37" xfId="0" applyFont="1" applyFill="1" applyBorder="1" applyAlignment="1">
      <alignment vertical="center"/>
    </xf>
    <xf numFmtId="0" fontId="87" fillId="40" borderId="111" xfId="0" applyFont="1" applyFill="1" applyBorder="1" applyAlignment="1">
      <alignment vertical="center"/>
    </xf>
    <xf numFmtId="0" fontId="86" fillId="37" borderId="81" xfId="1110" applyFont="1" applyFill="1" applyBorder="1" applyAlignment="1">
      <alignment vertical="center"/>
    </xf>
    <xf numFmtId="0" fontId="87" fillId="0" borderId="115" xfId="0" applyFont="1" applyBorder="1" applyAlignment="1">
      <alignment vertical="center"/>
    </xf>
    <xf numFmtId="0" fontId="87" fillId="40" borderId="113" xfId="0" applyFont="1" applyFill="1" applyBorder="1" applyAlignment="1">
      <alignment vertical="center"/>
    </xf>
    <xf numFmtId="0" fontId="86" fillId="37" borderId="86" xfId="1110" applyFont="1" applyFill="1" applyBorder="1" applyAlignment="1">
      <alignment vertical="center"/>
    </xf>
    <xf numFmtId="0" fontId="86" fillId="37" borderId="36" xfId="1110" applyFont="1" applyFill="1" applyBorder="1" applyAlignment="1">
      <alignment vertical="center"/>
    </xf>
    <xf numFmtId="0" fontId="87" fillId="40" borderId="116" xfId="0" applyFont="1" applyFill="1" applyBorder="1" applyAlignment="1">
      <alignment vertical="center"/>
    </xf>
    <xf numFmtId="0" fontId="87" fillId="40" borderId="117" xfId="0" applyFont="1" applyFill="1" applyBorder="1" applyAlignment="1">
      <alignment vertical="center"/>
    </xf>
    <xf numFmtId="0" fontId="86" fillId="0" borderId="109" xfId="0" applyFont="1" applyBorder="1" applyAlignment="1">
      <alignment vertical="center"/>
    </xf>
    <xf numFmtId="0" fontId="87" fillId="0" borderId="110" xfId="0" applyFont="1" applyBorder="1" applyAlignment="1">
      <alignment vertical="center"/>
    </xf>
    <xf numFmtId="0" fontId="87" fillId="0" borderId="119" xfId="0" applyFont="1" applyBorder="1" applyAlignment="1">
      <alignment vertical="center"/>
    </xf>
    <xf numFmtId="0" fontId="87" fillId="0" borderId="118" xfId="0" applyFont="1" applyBorder="1" applyAlignment="1">
      <alignment vertical="center"/>
    </xf>
    <xf numFmtId="0" fontId="0" fillId="0" borderId="16" xfId="0" applyBorder="1" applyAlignment="1">
      <alignment vertical="center"/>
    </xf>
    <xf numFmtId="0" fontId="86" fillId="0" borderId="36" xfId="1110" applyFont="1" applyBorder="1" applyAlignment="1">
      <alignment vertical="center"/>
    </xf>
    <xf numFmtId="0" fontId="87" fillId="0" borderId="117" xfId="0" applyFont="1" applyBorder="1" applyAlignment="1">
      <alignment vertical="center"/>
    </xf>
    <xf numFmtId="0" fontId="87" fillId="40" borderId="108" xfId="0" applyFont="1" applyFill="1" applyBorder="1" applyAlignment="1">
      <alignment vertical="center"/>
    </xf>
    <xf numFmtId="0" fontId="86" fillId="0" borderId="112" xfId="0" applyFont="1" applyBorder="1" applyAlignment="1">
      <alignment vertical="center"/>
    </xf>
    <xf numFmtId="0" fontId="87" fillId="0" borderId="113" xfId="0" applyFont="1" applyBorder="1" applyAlignment="1">
      <alignment vertical="center"/>
    </xf>
    <xf numFmtId="0" fontId="98" fillId="0" borderId="0" xfId="0" applyFont="1"/>
    <xf numFmtId="0" fontId="87" fillId="0" borderId="37" xfId="0" applyFont="1" applyBorder="1" applyAlignment="1">
      <alignment vertical="center"/>
    </xf>
    <xf numFmtId="0" fontId="87" fillId="0" borderId="125" xfId="0" applyFont="1" applyBorder="1" applyAlignment="1">
      <alignment vertical="center"/>
    </xf>
    <xf numFmtId="0" fontId="87" fillId="0" borderId="16" xfId="0" applyFont="1" applyBorder="1" applyAlignment="1">
      <alignment vertical="center"/>
    </xf>
    <xf numFmtId="0" fontId="87" fillId="40" borderId="16" xfId="0" applyFont="1" applyFill="1" applyBorder="1" applyAlignment="1">
      <alignment vertical="center"/>
    </xf>
    <xf numFmtId="0" fontId="87" fillId="40" borderId="126" xfId="0" applyFont="1" applyFill="1" applyBorder="1" applyAlignment="1">
      <alignment vertical="center"/>
    </xf>
    <xf numFmtId="39" fontId="8" fillId="0" borderId="12" xfId="0" applyNumberFormat="1" applyFont="1" applyBorder="1" applyAlignment="1" applyProtection="1">
      <alignment horizontal="center" vertical="center"/>
      <protection locked="0"/>
    </xf>
    <xf numFmtId="39" fontId="0" fillId="0" borderId="12" xfId="0" applyNumberFormat="1" applyBorder="1" applyAlignment="1" applyProtection="1">
      <alignment horizontal="center" vertical="center"/>
      <protection locked="0"/>
    </xf>
    <xf numFmtId="39" fontId="10" fillId="45" borderId="12" xfId="0" applyNumberFormat="1" applyFont="1" applyFill="1" applyBorder="1" applyAlignment="1">
      <alignment horizontal="center" vertical="center"/>
    </xf>
    <xf numFmtId="198" fontId="8" fillId="0" borderId="12" xfId="0" applyNumberFormat="1" applyFont="1" applyBorder="1" applyAlignment="1" applyProtection="1">
      <alignment horizontal="center" vertical="center"/>
      <protection locked="0"/>
    </xf>
    <xf numFmtId="198" fontId="0" fillId="0" borderId="12" xfId="0" applyNumberFormat="1" applyBorder="1" applyAlignment="1" applyProtection="1">
      <alignment horizontal="center" vertical="center"/>
      <protection locked="0"/>
    </xf>
    <xf numFmtId="4" fontId="8" fillId="0" borderId="12" xfId="0" applyNumberFormat="1" applyFont="1" applyBorder="1" applyAlignment="1" applyProtection="1">
      <alignment horizontal="center" vertical="center"/>
      <protection locked="0"/>
    </xf>
    <xf numFmtId="4" fontId="0" fillId="0" borderId="12" xfId="0" applyNumberFormat="1" applyBorder="1" applyAlignment="1" applyProtection="1">
      <alignment horizontal="center" vertical="center"/>
      <protection locked="0"/>
    </xf>
    <xf numFmtId="4" fontId="10" fillId="45" borderId="12" xfId="0" applyNumberFormat="1" applyFont="1" applyFill="1" applyBorder="1" applyAlignment="1">
      <alignment horizontal="center" vertical="center"/>
    </xf>
    <xf numFmtId="167" fontId="93" fillId="0" borderId="17" xfId="1325" applyFont="1" applyFill="1" applyBorder="1" applyAlignment="1">
      <alignment vertical="center"/>
    </xf>
    <xf numFmtId="167" fontId="93" fillId="0" borderId="12" xfId="1325" applyFont="1" applyFill="1" applyBorder="1" applyAlignment="1">
      <alignment vertical="center"/>
    </xf>
    <xf numFmtId="167" fontId="93" fillId="0" borderId="23" xfId="1325" applyFont="1" applyFill="1" applyBorder="1" applyAlignment="1">
      <alignment vertical="center"/>
    </xf>
    <xf numFmtId="190" fontId="0" fillId="0" borderId="17" xfId="1325" applyNumberFormat="1" applyFont="1" applyFill="1" applyBorder="1" applyAlignment="1">
      <alignment vertical="center"/>
    </xf>
    <xf numFmtId="190" fontId="0" fillId="0" borderId="54" xfId="1325" applyNumberFormat="1" applyFont="1" applyFill="1" applyBorder="1" applyAlignment="1">
      <alignment vertical="center"/>
    </xf>
    <xf numFmtId="167" fontId="0" fillId="0" borderId="32" xfId="1325" applyFont="1" applyFill="1" applyBorder="1" applyAlignment="1">
      <alignment vertical="center"/>
    </xf>
    <xf numFmtId="191" fontId="93" fillId="0" borderId="17" xfId="1325" applyNumberFormat="1" applyFont="1" applyFill="1" applyBorder="1" applyAlignment="1">
      <alignment vertical="center"/>
    </xf>
    <xf numFmtId="191" fontId="93" fillId="0" borderId="12" xfId="1325" applyNumberFormat="1" applyFont="1" applyFill="1" applyBorder="1" applyAlignment="1">
      <alignment vertical="center"/>
    </xf>
    <xf numFmtId="191" fontId="93" fillId="0" borderId="23" xfId="1325" applyNumberFormat="1" applyFont="1" applyFill="1" applyBorder="1" applyAlignment="1">
      <alignment vertical="center"/>
    </xf>
    <xf numFmtId="192" fontId="0" fillId="45" borderId="17" xfId="1325" applyNumberFormat="1" applyFont="1" applyFill="1" applyBorder="1" applyAlignment="1">
      <alignment vertical="center"/>
    </xf>
    <xf numFmtId="192" fontId="0" fillId="45" borderId="54" xfId="1325" applyNumberFormat="1" applyFont="1" applyFill="1" applyBorder="1" applyAlignment="1">
      <alignment vertical="center"/>
    </xf>
    <xf numFmtId="191" fontId="0" fillId="0" borderId="32" xfId="1325" applyNumberFormat="1" applyFont="1" applyFill="1" applyBorder="1" applyAlignment="1">
      <alignment vertical="center"/>
    </xf>
    <xf numFmtId="191" fontId="0" fillId="45" borderId="32" xfId="1325" applyNumberFormat="1" applyFont="1" applyFill="1" applyBorder="1" applyAlignment="1">
      <alignment vertical="center"/>
    </xf>
    <xf numFmtId="192" fontId="0" fillId="0" borderId="17" xfId="1325" applyNumberFormat="1" applyFont="1" applyFill="1" applyBorder="1" applyAlignment="1">
      <alignment vertical="center"/>
    </xf>
    <xf numFmtId="192" fontId="0" fillId="0" borderId="54" xfId="1325" applyNumberFormat="1" applyFont="1" applyFill="1" applyBorder="1" applyAlignment="1">
      <alignment vertical="center"/>
    </xf>
    <xf numFmtId="191" fontId="0" fillId="0" borderId="17" xfId="1325" applyNumberFormat="1" applyFont="1" applyFill="1" applyBorder="1" applyAlignment="1">
      <alignment vertical="center"/>
    </xf>
    <xf numFmtId="191" fontId="0" fillId="0" borderId="54" xfId="1325" applyNumberFormat="1" applyFont="1" applyFill="1" applyBorder="1" applyAlignment="1">
      <alignment vertical="center"/>
    </xf>
    <xf numFmtId="193" fontId="0" fillId="0" borderId="17" xfId="1325" applyNumberFormat="1" applyFont="1" applyFill="1" applyBorder="1" applyAlignment="1">
      <alignment vertical="center"/>
    </xf>
    <xf numFmtId="193" fontId="0" fillId="0" borderId="12" xfId="1325" applyNumberFormat="1" applyFont="1" applyFill="1" applyBorder="1" applyAlignment="1">
      <alignment vertical="center"/>
    </xf>
    <xf numFmtId="193" fontId="0" fillId="0" borderId="23" xfId="1325" applyNumberFormat="1" applyFont="1" applyFill="1" applyBorder="1" applyAlignment="1">
      <alignment vertical="center"/>
    </xf>
    <xf numFmtId="194" fontId="0" fillId="0" borderId="17" xfId="1325" applyNumberFormat="1" applyFont="1" applyFill="1" applyBorder="1" applyAlignment="1">
      <alignment vertical="center"/>
    </xf>
    <xf numFmtId="194" fontId="0" fillId="0" borderId="54" xfId="1325" applyNumberFormat="1" applyFont="1" applyFill="1" applyBorder="1" applyAlignment="1">
      <alignment vertical="center"/>
    </xf>
    <xf numFmtId="193" fontId="0" fillId="0" borderId="32" xfId="1325" applyNumberFormat="1" applyFont="1" applyFill="1" applyBorder="1" applyAlignment="1">
      <alignment vertical="center"/>
    </xf>
    <xf numFmtId="0" fontId="8" fillId="0" borderId="32" xfId="0" applyFont="1" applyBorder="1" applyAlignment="1">
      <alignment vertical="center"/>
    </xf>
    <xf numFmtId="167" fontId="93" fillId="0" borderId="55" xfId="1325" applyFont="1" applyFill="1" applyBorder="1" applyAlignment="1">
      <alignment vertical="center"/>
    </xf>
    <xf numFmtId="167" fontId="93" fillId="0" borderId="103" xfId="1325" applyFont="1" applyFill="1" applyBorder="1" applyAlignment="1">
      <alignment vertical="center"/>
    </xf>
    <xf numFmtId="167" fontId="93" fillId="0" borderId="35" xfId="1325" applyFont="1" applyFill="1" applyBorder="1" applyAlignment="1">
      <alignment vertical="center"/>
    </xf>
    <xf numFmtId="190" fontId="0" fillId="45" borderId="55" xfId="1325" applyNumberFormat="1" applyFont="1" applyFill="1" applyBorder="1" applyAlignment="1">
      <alignment vertical="center"/>
    </xf>
    <xf numFmtId="190" fontId="0" fillId="45" borderId="104" xfId="1325" applyNumberFormat="1" applyFont="1" applyFill="1" applyBorder="1" applyAlignment="1">
      <alignment vertical="center"/>
    </xf>
    <xf numFmtId="167" fontId="0" fillId="0" borderId="44" xfId="1325" applyFont="1" applyFill="1" applyBorder="1" applyAlignment="1">
      <alignment vertical="center"/>
    </xf>
    <xf numFmtId="167" fontId="0" fillId="45" borderId="44" xfId="1325" applyFont="1" applyFill="1" applyBorder="1" applyAlignment="1">
      <alignment vertical="center"/>
    </xf>
    <xf numFmtId="167" fontId="93" fillId="0" borderId="19" xfId="1325" applyFont="1" applyFill="1" applyBorder="1" applyAlignment="1">
      <alignment vertical="center"/>
    </xf>
    <xf numFmtId="167" fontId="93" fillId="0" borderId="42" xfId="1325" applyFont="1" applyFill="1" applyBorder="1" applyAlignment="1">
      <alignment vertical="center"/>
    </xf>
    <xf numFmtId="190" fontId="0" fillId="0" borderId="42" xfId="1325" applyNumberFormat="1" applyFont="1" applyFill="1" applyBorder="1" applyAlignment="1">
      <alignment vertical="center"/>
    </xf>
    <xf numFmtId="167" fontId="0" fillId="0" borderId="42" xfId="1325" applyFont="1" applyFill="1" applyBorder="1" applyAlignment="1">
      <alignment vertical="center"/>
    </xf>
    <xf numFmtId="0" fontId="100" fillId="0" borderId="12" xfId="0" applyFont="1" applyBorder="1" applyAlignment="1" applyProtection="1">
      <alignment horizontal="center" vertical="center" wrapText="1" readingOrder="1"/>
      <protection locked="0"/>
    </xf>
    <xf numFmtId="0" fontId="85" fillId="46" borderId="103" xfId="0" applyFont="1" applyFill="1" applyBorder="1" applyAlignment="1">
      <alignment horizontal="center" vertical="center"/>
    </xf>
    <xf numFmtId="199" fontId="100" fillId="0" borderId="12" xfId="0" applyNumberFormat="1" applyFont="1" applyBorder="1" applyAlignment="1" applyProtection="1">
      <alignment horizontal="center" vertical="center" wrapText="1" readingOrder="1"/>
      <protection locked="0"/>
    </xf>
    <xf numFmtId="0" fontId="20" fillId="0" borderId="127" xfId="0" applyFont="1" applyBorder="1" applyAlignment="1" applyProtection="1">
      <alignment horizontal="center" vertical="center" wrapText="1"/>
      <protection locked="0"/>
    </xf>
    <xf numFmtId="0" fontId="78" fillId="0" borderId="127" xfId="0" applyFont="1" applyBorder="1" applyAlignment="1">
      <alignment horizontal="center" vertical="center" wrapText="1"/>
    </xf>
    <xf numFmtId="0" fontId="20" fillId="42" borderId="21" xfId="0" applyFont="1" applyFill="1" applyBorder="1" applyAlignment="1" applyProtection="1">
      <alignment horizontal="center" vertical="center" wrapText="1"/>
      <protection locked="0"/>
    </xf>
    <xf numFmtId="0" fontId="78" fillId="0" borderId="25" xfId="0" applyFont="1" applyBorder="1" applyAlignment="1">
      <alignment horizontal="center" vertical="center" wrapText="1"/>
    </xf>
    <xf numFmtId="0" fontId="0" fillId="37" borderId="128" xfId="0" applyFill="1" applyBorder="1" applyProtection="1">
      <protection locked="0"/>
    </xf>
    <xf numFmtId="0" fontId="9" fillId="39" borderId="93" xfId="0" applyFont="1" applyFill="1" applyBorder="1" applyAlignment="1">
      <alignment horizontal="center" vertical="center" textRotation="90" wrapText="1"/>
    </xf>
    <xf numFmtId="0" fontId="9" fillId="39" borderId="28" xfId="0" applyFont="1" applyFill="1" applyBorder="1" applyAlignment="1">
      <alignment horizontal="center" vertical="center" textRotation="90" wrapText="1"/>
    </xf>
    <xf numFmtId="0" fontId="9" fillId="39" borderId="37" xfId="0" applyFont="1" applyFill="1" applyBorder="1" applyAlignment="1">
      <alignment horizontal="center" vertical="center" textRotation="90" wrapText="1"/>
    </xf>
    <xf numFmtId="0" fontId="19" fillId="39" borderId="38" xfId="0" applyFont="1" applyFill="1" applyBorder="1" applyAlignment="1">
      <alignment horizontal="center" vertical="center" wrapText="1"/>
    </xf>
    <xf numFmtId="0" fontId="19" fillId="39" borderId="29" xfId="0" applyFont="1" applyFill="1" applyBorder="1" applyAlignment="1">
      <alignment horizontal="center" vertical="center" wrapText="1"/>
    </xf>
    <xf numFmtId="0" fontId="19" fillId="39" borderId="39" xfId="0" applyFont="1" applyFill="1" applyBorder="1" applyAlignment="1">
      <alignment horizontal="center" vertical="center" wrapText="1"/>
    </xf>
    <xf numFmtId="0" fontId="9" fillId="39" borderId="93" xfId="0" applyFont="1" applyFill="1" applyBorder="1" applyAlignment="1">
      <alignment horizontal="center" vertical="center" wrapText="1"/>
    </xf>
    <xf numFmtId="0" fontId="9" fillId="39" borderId="28" xfId="0" applyFont="1" applyFill="1" applyBorder="1" applyAlignment="1">
      <alignment horizontal="center" vertical="center" wrapText="1"/>
    </xf>
    <xf numFmtId="0" fontId="9" fillId="39" borderId="37" xfId="0" applyFont="1" applyFill="1" applyBorder="1" applyAlignment="1">
      <alignment horizontal="center" vertical="center" wrapText="1"/>
    </xf>
    <xf numFmtId="0" fontId="19" fillId="39" borderId="30" xfId="0" applyFont="1" applyFill="1" applyBorder="1" applyAlignment="1">
      <alignment horizontal="center" vertical="center" wrapText="1"/>
    </xf>
    <xf numFmtId="0" fontId="19" fillId="39" borderId="7" xfId="0" applyFont="1" applyFill="1" applyBorder="1" applyAlignment="1">
      <alignment horizontal="center" vertical="center" wrapText="1"/>
    </xf>
    <xf numFmtId="0" fontId="19" fillId="39" borderId="36" xfId="0" applyFont="1" applyFill="1" applyBorder="1" applyAlignment="1">
      <alignment horizontal="center" vertical="center" wrapText="1"/>
    </xf>
    <xf numFmtId="0" fontId="8" fillId="45" borderId="35" xfId="0" applyFont="1" applyFill="1" applyBorder="1" applyAlignment="1" applyProtection="1">
      <alignment vertical="center" wrapText="1"/>
      <protection locked="0"/>
    </xf>
    <xf numFmtId="0" fontId="8" fillId="45" borderId="24" xfId="0" applyFont="1" applyFill="1" applyBorder="1" applyAlignment="1" applyProtection="1">
      <alignment vertical="center" wrapText="1"/>
      <protection locked="0"/>
    </xf>
    <xf numFmtId="0" fontId="9" fillId="39" borderId="31" xfId="0" applyFont="1" applyFill="1" applyBorder="1" applyAlignment="1">
      <alignment horizontal="center" vertical="center" textRotation="90" wrapText="1"/>
    </xf>
    <xf numFmtId="0" fontId="9" fillId="39" borderId="32" xfId="0" applyFont="1" applyFill="1" applyBorder="1" applyAlignment="1">
      <alignment horizontal="center" vertical="center" textRotation="90"/>
    </xf>
    <xf numFmtId="0" fontId="9" fillId="39" borderId="33" xfId="0" applyFont="1" applyFill="1" applyBorder="1" applyAlignment="1">
      <alignment horizontal="center" vertical="center" textRotation="90"/>
    </xf>
    <xf numFmtId="0" fontId="9" fillId="39" borderId="50" xfId="0" applyFont="1" applyFill="1" applyBorder="1" applyAlignment="1">
      <alignment horizontal="center" vertical="center"/>
    </xf>
    <xf numFmtId="0" fontId="9" fillId="39" borderId="51" xfId="0" applyFont="1" applyFill="1" applyBorder="1" applyAlignment="1">
      <alignment horizontal="center" vertical="center"/>
    </xf>
    <xf numFmtId="0" fontId="9" fillId="39" borderId="58" xfId="0" applyFont="1" applyFill="1" applyBorder="1" applyAlignment="1">
      <alignment horizontal="center" vertical="center"/>
    </xf>
    <xf numFmtId="0" fontId="10" fillId="0" borderId="34" xfId="0" applyFont="1" applyBorder="1" applyAlignment="1">
      <alignment horizontal="center" vertical="center" wrapText="1"/>
    </xf>
    <xf numFmtId="0" fontId="10" fillId="0" borderId="59" xfId="0" applyFont="1" applyBorder="1" applyAlignment="1">
      <alignment horizontal="center" vertical="center" wrapText="1"/>
    </xf>
    <xf numFmtId="0" fontId="10" fillId="0" borderId="45" xfId="0" applyFont="1" applyBorder="1" applyAlignment="1">
      <alignment horizontal="center" vertical="center" wrapText="1"/>
    </xf>
    <xf numFmtId="0" fontId="10" fillId="42" borderId="35" xfId="0" applyFont="1" applyFill="1" applyBorder="1" applyAlignment="1" applyProtection="1">
      <alignment vertical="center" wrapText="1"/>
      <protection locked="0"/>
    </xf>
    <xf numFmtId="0" fontId="10" fillId="42" borderId="79" xfId="0" applyFont="1" applyFill="1" applyBorder="1" applyAlignment="1" applyProtection="1">
      <alignment vertical="center" wrapText="1"/>
      <protection locked="0"/>
    </xf>
    <xf numFmtId="0" fontId="10" fillId="42" borderId="73" xfId="0" applyFont="1" applyFill="1" applyBorder="1" applyAlignment="1" applyProtection="1">
      <alignment vertical="center" wrapText="1"/>
      <protection locked="0"/>
    </xf>
    <xf numFmtId="0" fontId="10" fillId="0" borderId="34" xfId="0" applyFont="1" applyBorder="1" applyAlignment="1">
      <alignment horizontal="left" vertical="center" wrapText="1"/>
    </xf>
    <xf numFmtId="0" fontId="10" fillId="0" borderId="92" xfId="0" applyFont="1" applyBorder="1" applyAlignment="1">
      <alignment horizontal="left" vertical="center" wrapText="1"/>
    </xf>
    <xf numFmtId="0" fontId="10" fillId="45" borderId="34" xfId="0" applyFont="1" applyFill="1" applyBorder="1" applyAlignment="1">
      <alignment vertical="center" wrapText="1"/>
    </xf>
    <xf numFmtId="0" fontId="10" fillId="45" borderId="92" xfId="0" applyFont="1" applyFill="1" applyBorder="1" applyAlignment="1">
      <alignment vertical="center" wrapText="1"/>
    </xf>
    <xf numFmtId="0" fontId="10" fillId="0" borderId="76" xfId="0" applyFont="1" applyBorder="1" applyAlignment="1">
      <alignment horizontal="center" vertical="center" wrapText="1"/>
    </xf>
    <xf numFmtId="0" fontId="10" fillId="0" borderId="19" xfId="0" applyFont="1" applyBorder="1" applyAlignment="1">
      <alignment horizontal="center" vertical="center" wrapText="1"/>
    </xf>
    <xf numFmtId="0" fontId="10" fillId="0" borderId="75" xfId="0" applyFont="1" applyBorder="1" applyAlignment="1">
      <alignment horizontal="center" vertical="center" wrapText="1"/>
    </xf>
    <xf numFmtId="0" fontId="10" fillId="0" borderId="20" xfId="0" applyFont="1" applyBorder="1" applyAlignment="1">
      <alignment horizontal="center" vertical="center" wrapText="1"/>
    </xf>
    <xf numFmtId="0" fontId="0" fillId="37" borderId="97" xfId="0" applyFill="1" applyBorder="1" applyAlignment="1" applyProtection="1">
      <alignment horizontal="center" vertical="center"/>
      <protection locked="0"/>
    </xf>
    <xf numFmtId="0" fontId="0" fillId="37" borderId="98" xfId="0" applyFill="1" applyBorder="1" applyAlignment="1" applyProtection="1">
      <alignment horizontal="center" vertical="center"/>
      <protection locked="0"/>
    </xf>
    <xf numFmtId="0" fontId="9" fillId="37" borderId="26" xfId="0" applyFont="1" applyFill="1" applyBorder="1" applyAlignment="1">
      <alignment horizontal="center" vertical="center" wrapText="1"/>
    </xf>
    <xf numFmtId="0" fontId="9" fillId="37" borderId="34" xfId="0" applyFont="1" applyFill="1" applyBorder="1" applyAlignment="1">
      <alignment horizontal="center" vertical="center" wrapText="1"/>
    </xf>
    <xf numFmtId="0" fontId="10" fillId="42" borderId="41" xfId="0" applyFont="1" applyFill="1" applyBorder="1" applyAlignment="1">
      <alignment horizontal="center" vertical="center" wrapText="1"/>
    </xf>
    <xf numFmtId="0" fontId="10" fillId="42" borderId="22" xfId="0" applyFont="1" applyFill="1" applyBorder="1" applyAlignment="1">
      <alignment horizontal="center" vertical="center" wrapText="1"/>
    </xf>
    <xf numFmtId="0" fontId="10" fillId="43" borderId="42" xfId="0" applyFont="1" applyFill="1" applyBorder="1" applyAlignment="1">
      <alignment horizontal="center" vertical="center" wrapText="1"/>
    </xf>
    <xf numFmtId="0" fontId="10" fillId="43" borderId="21" xfId="0" applyFont="1" applyFill="1" applyBorder="1" applyAlignment="1">
      <alignment horizontal="center" vertical="center" wrapText="1"/>
    </xf>
    <xf numFmtId="0" fontId="9" fillId="39" borderId="30" xfId="0" applyFont="1" applyFill="1" applyBorder="1" applyAlignment="1" applyProtection="1">
      <alignment horizontal="center" vertical="center"/>
      <protection hidden="1"/>
    </xf>
    <xf numFmtId="0" fontId="9" fillId="39" borderId="7" xfId="0" applyFont="1" applyFill="1" applyBorder="1" applyAlignment="1" applyProtection="1">
      <alignment horizontal="center" vertical="center"/>
      <protection hidden="1"/>
    </xf>
    <xf numFmtId="0" fontId="9" fillId="39" borderId="36" xfId="0" applyFont="1" applyFill="1" applyBorder="1" applyAlignment="1" applyProtection="1">
      <alignment horizontal="center" vertical="center"/>
      <protection hidden="1"/>
    </xf>
    <xf numFmtId="0" fontId="9" fillId="39" borderId="93" xfId="0" applyFont="1" applyFill="1" applyBorder="1" applyAlignment="1" applyProtection="1">
      <alignment horizontal="center" vertical="center" textRotation="90" wrapText="1"/>
      <protection hidden="1"/>
    </xf>
    <xf numFmtId="0" fontId="9" fillId="39" borderId="28" xfId="0" applyFont="1" applyFill="1" applyBorder="1" applyAlignment="1" applyProtection="1">
      <alignment horizontal="center" vertical="center" textRotation="90" wrapText="1"/>
      <protection hidden="1"/>
    </xf>
    <xf numFmtId="0" fontId="9" fillId="39" borderId="37" xfId="0" applyFont="1" applyFill="1" applyBorder="1" applyAlignment="1" applyProtection="1">
      <alignment horizontal="center" vertical="center" textRotation="90" wrapText="1"/>
      <protection hidden="1"/>
    </xf>
    <xf numFmtId="49" fontId="10" fillId="42" borderId="35" xfId="0" applyNumberFormat="1" applyFont="1" applyFill="1" applyBorder="1" applyAlignment="1" applyProtection="1">
      <alignment vertical="center"/>
      <protection locked="0"/>
    </xf>
    <xf numFmtId="49" fontId="10" fillId="42" borderId="24" xfId="0" applyNumberFormat="1" applyFont="1" applyFill="1" applyBorder="1" applyAlignment="1" applyProtection="1">
      <alignment vertical="center"/>
      <protection locked="0"/>
    </xf>
    <xf numFmtId="0" fontId="10" fillId="39" borderId="26" xfId="0" applyFont="1" applyFill="1" applyBorder="1" applyAlignment="1">
      <alignment horizontal="left" vertical="center" wrapText="1"/>
    </xf>
    <xf numFmtId="0" fontId="10" fillId="39" borderId="41" xfId="0" applyFont="1" applyFill="1" applyBorder="1" applyAlignment="1">
      <alignment horizontal="left" vertical="center" wrapText="1"/>
    </xf>
    <xf numFmtId="0" fontId="10" fillId="39" borderId="22" xfId="0" applyFont="1" applyFill="1" applyBorder="1" applyAlignment="1">
      <alignment horizontal="left" vertical="center" wrapText="1"/>
    </xf>
    <xf numFmtId="0" fontId="19" fillId="39" borderId="50" xfId="0" applyFont="1" applyFill="1" applyBorder="1" applyAlignment="1">
      <alignment horizontal="center" vertical="center"/>
    </xf>
    <xf numFmtId="0" fontId="19" fillId="39" borderId="51" xfId="0" applyFont="1" applyFill="1" applyBorder="1" applyAlignment="1">
      <alignment horizontal="center" vertical="center"/>
    </xf>
    <xf numFmtId="0" fontId="19" fillId="39" borderId="58" xfId="0" applyFont="1" applyFill="1" applyBorder="1" applyAlignment="1">
      <alignment horizontal="center" vertical="center"/>
    </xf>
    <xf numFmtId="0" fontId="9" fillId="39" borderId="45" xfId="0" applyFont="1" applyFill="1" applyBorder="1" applyAlignment="1">
      <alignment horizontal="center" vertical="center"/>
    </xf>
    <xf numFmtId="0" fontId="9" fillId="39" borderId="72" xfId="0" applyFont="1" applyFill="1" applyBorder="1" applyAlignment="1">
      <alignment horizontal="center" vertical="center"/>
    </xf>
    <xf numFmtId="0" fontId="9" fillId="39" borderId="73" xfId="0" applyFont="1" applyFill="1" applyBorder="1" applyAlignment="1">
      <alignment horizontal="center" vertical="center"/>
    </xf>
    <xf numFmtId="0" fontId="82" fillId="41" borderId="90" xfId="1301" applyFont="1" applyFill="1" applyBorder="1" applyAlignment="1" applyProtection="1">
      <alignment horizontal="center" vertical="center"/>
      <protection locked="0"/>
    </xf>
    <xf numFmtId="0" fontId="82" fillId="41" borderId="36" xfId="1301" applyFont="1" applyFill="1" applyBorder="1" applyAlignment="1" applyProtection="1">
      <alignment horizontal="center" vertical="center"/>
      <protection locked="0"/>
    </xf>
    <xf numFmtId="0" fontId="10" fillId="39" borderId="27" xfId="0" applyFont="1" applyFill="1" applyBorder="1" applyAlignment="1">
      <alignment horizontal="left" vertical="center" wrapText="1"/>
    </xf>
    <xf numFmtId="0" fontId="10" fillId="39" borderId="12" xfId="0" applyFont="1" applyFill="1" applyBorder="1" applyAlignment="1">
      <alignment horizontal="left" vertical="center" wrapText="1"/>
    </xf>
    <xf numFmtId="0" fontId="10" fillId="39" borderId="23" xfId="0" applyFont="1" applyFill="1" applyBorder="1" applyAlignment="1">
      <alignment horizontal="left" vertical="center" wrapText="1"/>
    </xf>
    <xf numFmtId="0" fontId="10" fillId="39" borderId="25" xfId="0" applyFont="1" applyFill="1" applyBorder="1" applyAlignment="1">
      <alignment horizontal="left" vertical="center" wrapText="1"/>
    </xf>
    <xf numFmtId="0" fontId="10" fillId="39" borderId="42" xfId="0" applyFont="1" applyFill="1" applyBorder="1" applyAlignment="1">
      <alignment horizontal="left" vertical="center" wrapText="1"/>
    </xf>
    <xf numFmtId="0" fontId="10" fillId="39" borderId="21" xfId="0" applyFont="1" applyFill="1" applyBorder="1" applyAlignment="1">
      <alignment horizontal="left" vertical="center" wrapText="1"/>
    </xf>
    <xf numFmtId="0" fontId="10" fillId="42" borderId="96" xfId="0" applyFont="1" applyFill="1" applyBorder="1" applyAlignment="1" applyProtection="1">
      <alignment horizontal="left" vertical="center" wrapText="1"/>
      <protection hidden="1"/>
    </xf>
    <xf numFmtId="0" fontId="10" fillId="42" borderId="56" xfId="0" applyFont="1" applyFill="1" applyBorder="1" applyAlignment="1" applyProtection="1">
      <alignment horizontal="left" vertical="center" wrapText="1"/>
      <protection hidden="1"/>
    </xf>
    <xf numFmtId="0" fontId="9" fillId="39" borderId="30" xfId="0" applyFont="1" applyFill="1" applyBorder="1" applyAlignment="1">
      <alignment horizontal="center" vertical="center"/>
    </xf>
    <xf numFmtId="0" fontId="9" fillId="39" borderId="7" xfId="0" applyFont="1" applyFill="1" applyBorder="1" applyAlignment="1">
      <alignment horizontal="center" vertical="center"/>
    </xf>
    <xf numFmtId="0" fontId="9" fillId="39" borderId="36" xfId="0" applyFont="1" applyFill="1" applyBorder="1" applyAlignment="1">
      <alignment horizontal="center" vertical="center"/>
    </xf>
    <xf numFmtId="0" fontId="0" fillId="43" borderId="20" xfId="0" applyFill="1" applyBorder="1" applyAlignment="1" applyProtection="1">
      <alignment horizontal="center" vertical="center"/>
      <protection locked="0"/>
    </xf>
    <xf numFmtId="0" fontId="0" fillId="43" borderId="41" xfId="0" applyFill="1" applyBorder="1" applyAlignment="1" applyProtection="1">
      <alignment horizontal="center" vertical="center"/>
      <protection locked="0"/>
    </xf>
    <xf numFmtId="0" fontId="0" fillId="43" borderId="22" xfId="0" applyFill="1" applyBorder="1" applyAlignment="1" applyProtection="1">
      <alignment horizontal="center" vertical="center"/>
      <protection locked="0"/>
    </xf>
    <xf numFmtId="0" fontId="68" fillId="37" borderId="84" xfId="0" applyFont="1" applyFill="1" applyBorder="1" applyAlignment="1">
      <alignment horizontal="center" vertical="center" wrapText="1"/>
    </xf>
    <xf numFmtId="0" fontId="68" fillId="37" borderId="69" xfId="0" applyFont="1" applyFill="1" applyBorder="1" applyAlignment="1">
      <alignment horizontal="center" vertical="center" wrapText="1"/>
    </xf>
    <xf numFmtId="0" fontId="68" fillId="37" borderId="85" xfId="0" applyFont="1" applyFill="1" applyBorder="1" applyAlignment="1">
      <alignment horizontal="center" vertical="center" wrapText="1"/>
    </xf>
    <xf numFmtId="49" fontId="10" fillId="43" borderId="42" xfId="0" applyNumberFormat="1" applyFont="1" applyFill="1" applyBorder="1" applyAlignment="1" applyProtection="1">
      <alignment horizontal="center" vertical="center"/>
      <protection locked="0"/>
    </xf>
    <xf numFmtId="49" fontId="10" fillId="43" borderId="21" xfId="0" applyNumberFormat="1" applyFont="1" applyFill="1" applyBorder="1" applyAlignment="1" applyProtection="1">
      <alignment horizontal="center" vertical="center"/>
      <protection locked="0"/>
    </xf>
    <xf numFmtId="49" fontId="10" fillId="43" borderId="43" xfId="0" applyNumberFormat="1" applyFont="1" applyFill="1" applyBorder="1" applyAlignment="1" applyProtection="1">
      <alignment horizontal="center" vertical="center"/>
      <protection locked="0"/>
    </xf>
    <xf numFmtId="49" fontId="10" fillId="43" borderId="24" xfId="0" applyNumberFormat="1" applyFont="1" applyFill="1" applyBorder="1" applyAlignment="1" applyProtection="1">
      <alignment horizontal="center" vertical="center"/>
      <protection locked="0"/>
    </xf>
    <xf numFmtId="49" fontId="10" fillId="43" borderId="12" xfId="0" applyNumberFormat="1" applyFont="1" applyFill="1" applyBorder="1" applyAlignment="1" applyProtection="1">
      <alignment horizontal="center" vertical="center"/>
      <protection locked="0"/>
    </xf>
    <xf numFmtId="49" fontId="10" fillId="43" borderId="23" xfId="0" applyNumberFormat="1" applyFont="1" applyFill="1" applyBorder="1" applyAlignment="1" applyProtection="1">
      <alignment horizontal="center" vertical="center"/>
      <protection locked="0"/>
    </xf>
    <xf numFmtId="0" fontId="9" fillId="38" borderId="37" xfId="0" applyFont="1" applyFill="1" applyBorder="1" applyAlignment="1">
      <alignment horizontal="center" vertical="center" wrapText="1"/>
    </xf>
    <xf numFmtId="0" fontId="9" fillId="38" borderId="86" xfId="0" applyFont="1" applyFill="1" applyBorder="1" applyAlignment="1">
      <alignment horizontal="center" vertical="center" wrapText="1"/>
    </xf>
    <xf numFmtId="0" fontId="9" fillId="39" borderId="32" xfId="0" applyFont="1" applyFill="1" applyBorder="1" applyAlignment="1">
      <alignment horizontal="center" vertical="center" textRotation="90" wrapText="1"/>
    </xf>
    <xf numFmtId="0" fontId="9" fillId="39" borderId="33" xfId="0" applyFont="1" applyFill="1" applyBorder="1" applyAlignment="1">
      <alignment horizontal="center" vertical="center" textRotation="90" wrapText="1"/>
    </xf>
    <xf numFmtId="0" fontId="10" fillId="39" borderId="31" xfId="0" applyFont="1" applyFill="1" applyBorder="1" applyAlignment="1">
      <alignment horizontal="center" vertical="center" wrapText="1"/>
    </xf>
    <xf numFmtId="0" fontId="8" fillId="39" borderId="32" xfId="0" applyFont="1" applyFill="1" applyBorder="1" applyAlignment="1">
      <alignment horizontal="center" vertical="center" wrapText="1"/>
    </xf>
    <xf numFmtId="0" fontId="8" fillId="39" borderId="44" xfId="0" applyFont="1" applyFill="1" applyBorder="1" applyAlignment="1">
      <alignment horizontal="center" vertical="center" wrapText="1"/>
    </xf>
    <xf numFmtId="0" fontId="9" fillId="39" borderId="26" xfId="0" applyFont="1" applyFill="1" applyBorder="1" applyAlignment="1">
      <alignment horizontal="center" vertical="center" wrapText="1"/>
    </xf>
    <xf numFmtId="0" fontId="9" fillId="39" borderId="22" xfId="0" applyFont="1" applyFill="1" applyBorder="1" applyAlignment="1">
      <alignment horizontal="center" vertical="center" wrapText="1"/>
    </xf>
    <xf numFmtId="0" fontId="9" fillId="39" borderId="27" xfId="0" applyFont="1" applyFill="1" applyBorder="1" applyAlignment="1">
      <alignment horizontal="center" vertical="center" wrapText="1"/>
    </xf>
    <xf numFmtId="0" fontId="9" fillId="39" borderId="23" xfId="0" applyFont="1" applyFill="1" applyBorder="1" applyAlignment="1">
      <alignment horizontal="center" vertical="center" wrapText="1"/>
    </xf>
    <xf numFmtId="0" fontId="9" fillId="39" borderId="25" xfId="0" applyFont="1" applyFill="1" applyBorder="1" applyAlignment="1">
      <alignment horizontal="center" vertical="center" wrapText="1"/>
    </xf>
    <xf numFmtId="0" fontId="9" fillId="39" borderId="21" xfId="0" applyFont="1" applyFill="1" applyBorder="1" applyAlignment="1">
      <alignment horizontal="center" vertical="center" wrapText="1"/>
    </xf>
    <xf numFmtId="0" fontId="9" fillId="39" borderId="40" xfId="0" applyFont="1" applyFill="1" applyBorder="1" applyAlignment="1">
      <alignment horizontal="center" vertical="center" wrapText="1"/>
    </xf>
    <xf numFmtId="0" fontId="18" fillId="39" borderId="32" xfId="0" applyFont="1" applyFill="1" applyBorder="1" applyAlignment="1">
      <alignment horizontal="center" vertical="center" wrapText="1"/>
    </xf>
    <xf numFmtId="0" fontId="18" fillId="39" borderId="33" xfId="0" applyFont="1" applyFill="1" applyBorder="1" applyAlignment="1">
      <alignment horizontal="center" vertical="center" wrapText="1"/>
    </xf>
    <xf numFmtId="0" fontId="9" fillId="38" borderId="15" xfId="0" applyFont="1" applyFill="1" applyBorder="1" applyAlignment="1">
      <alignment horizontal="center" vertical="center" wrapText="1"/>
    </xf>
    <xf numFmtId="0" fontId="9" fillId="38" borderId="16" xfId="0" applyFont="1" applyFill="1" applyBorder="1" applyAlignment="1">
      <alignment horizontal="center" vertical="center" wrapText="1"/>
    </xf>
    <xf numFmtId="0" fontId="9" fillId="38" borderId="80" xfId="0" applyFont="1" applyFill="1" applyBorder="1" applyAlignment="1">
      <alignment horizontal="center" vertical="center" wrapText="1"/>
    </xf>
    <xf numFmtId="0" fontId="9" fillId="38" borderId="81" xfId="0" applyFont="1" applyFill="1" applyBorder="1" applyAlignment="1">
      <alignment horizontal="center" vertical="center" wrapText="1"/>
    </xf>
    <xf numFmtId="0" fontId="82" fillId="38" borderId="28" xfId="0" applyFont="1" applyFill="1" applyBorder="1" applyAlignment="1">
      <alignment horizontal="center" vertical="center" wrapText="1"/>
    </xf>
    <xf numFmtId="0" fontId="82" fillId="38" borderId="37" xfId="0" applyFont="1" applyFill="1" applyBorder="1" applyAlignment="1">
      <alignment horizontal="center" vertical="center" wrapText="1"/>
    </xf>
    <xf numFmtId="0" fontId="10" fillId="0" borderId="0" xfId="0" applyFont="1" applyAlignment="1" applyProtection="1">
      <alignment horizontal="center" vertical="center" wrapText="1"/>
      <protection locked="0"/>
    </xf>
    <xf numFmtId="0" fontId="10" fillId="0" borderId="16" xfId="0" applyFont="1" applyBorder="1" applyAlignment="1" applyProtection="1">
      <alignment horizontal="center" vertical="center" wrapText="1"/>
      <protection locked="0"/>
    </xf>
    <xf numFmtId="0" fontId="10" fillId="0" borderId="83" xfId="0" applyFont="1" applyBorder="1" applyAlignment="1" applyProtection="1">
      <alignment horizontal="center" vertical="center" wrapText="1"/>
      <protection locked="0"/>
    </xf>
    <xf numFmtId="0" fontId="10" fillId="0" borderId="81" xfId="0" applyFont="1" applyBorder="1" applyAlignment="1" applyProtection="1">
      <alignment horizontal="center" vertical="center" wrapText="1"/>
      <protection locked="0"/>
    </xf>
    <xf numFmtId="0" fontId="8" fillId="0" borderId="38" xfId="0" applyFont="1" applyBorder="1" applyAlignment="1" applyProtection="1">
      <alignment horizontal="center" vertical="center" wrapText="1"/>
      <protection locked="0"/>
    </xf>
    <xf numFmtId="0" fontId="8" fillId="0" borderId="39" xfId="0" applyFont="1" applyBorder="1" applyAlignment="1" applyProtection="1">
      <alignment horizontal="center" vertical="center" wrapText="1"/>
      <protection locked="0"/>
    </xf>
    <xf numFmtId="0" fontId="8" fillId="0" borderId="15" xfId="0" applyFont="1" applyBorder="1" applyAlignment="1" applyProtection="1">
      <alignment horizontal="center" vertical="center" wrapText="1"/>
      <protection locked="0"/>
    </xf>
    <xf numFmtId="0" fontId="8" fillId="0" borderId="16" xfId="0" applyFont="1" applyBorder="1" applyAlignment="1" applyProtection="1">
      <alignment horizontal="center" vertical="center" wrapText="1"/>
      <protection locked="0"/>
    </xf>
    <xf numFmtId="0" fontId="8" fillId="0" borderId="80" xfId="0" applyFont="1" applyBorder="1" applyAlignment="1" applyProtection="1">
      <alignment horizontal="center" vertical="center" wrapText="1"/>
      <protection locked="0"/>
    </xf>
    <xf numFmtId="0" fontId="8" fillId="0" borderId="81" xfId="0" applyFont="1" applyBorder="1" applyAlignment="1" applyProtection="1">
      <alignment horizontal="center" vertical="center" wrapText="1"/>
      <protection locked="0"/>
    </xf>
    <xf numFmtId="0" fontId="9" fillId="38" borderId="68" xfId="0" applyFont="1" applyFill="1" applyBorder="1" applyAlignment="1">
      <alignment horizontal="center" vertical="center"/>
    </xf>
    <xf numFmtId="0" fontId="9" fillId="38" borderId="69" xfId="0" applyFont="1" applyFill="1" applyBorder="1" applyAlignment="1">
      <alignment horizontal="center" vertical="center"/>
    </xf>
    <xf numFmtId="0" fontId="9" fillId="38" borderId="70" xfId="0" applyFont="1" applyFill="1" applyBorder="1" applyAlignment="1">
      <alignment horizontal="center" vertical="center"/>
    </xf>
    <xf numFmtId="0" fontId="82" fillId="38" borderId="65" xfId="0" applyFont="1" applyFill="1" applyBorder="1" applyAlignment="1" applyProtection="1">
      <alignment horizontal="center" vertical="center" wrapText="1"/>
      <protection locked="0"/>
    </xf>
    <xf numFmtId="0" fontId="82" fillId="38" borderId="66" xfId="0" applyFont="1" applyFill="1" applyBorder="1" applyAlignment="1" applyProtection="1">
      <alignment horizontal="center" vertical="center" wrapText="1"/>
      <protection locked="0"/>
    </xf>
    <xf numFmtId="0" fontId="82" fillId="38" borderId="67" xfId="0" applyFont="1" applyFill="1" applyBorder="1" applyAlignment="1" applyProtection="1">
      <alignment horizontal="center" vertical="center" wrapText="1"/>
      <protection locked="0"/>
    </xf>
    <xf numFmtId="0" fontId="8" fillId="0" borderId="65" xfId="0" applyFont="1" applyBorder="1" applyAlignment="1">
      <alignment horizontal="center" vertical="center" wrapText="1"/>
    </xf>
    <xf numFmtId="0" fontId="8" fillId="0" borderId="66" xfId="0" applyFont="1" applyBorder="1" applyAlignment="1">
      <alignment horizontal="center" vertical="center" wrapText="1"/>
    </xf>
    <xf numFmtId="0" fontId="8" fillId="0" borderId="67" xfId="0" applyFont="1" applyBorder="1" applyAlignment="1">
      <alignment horizontal="center" vertical="center" wrapText="1"/>
    </xf>
    <xf numFmtId="0" fontId="10" fillId="38" borderId="65" xfId="0" applyFont="1" applyFill="1" applyBorder="1" applyAlignment="1">
      <alignment horizontal="center" vertical="center" wrapText="1"/>
    </xf>
    <xf numFmtId="0" fontId="10" fillId="38" borderId="66" xfId="0" applyFont="1" applyFill="1" applyBorder="1" applyAlignment="1">
      <alignment horizontal="center" vertical="center" wrapText="1"/>
    </xf>
    <xf numFmtId="0" fontId="10" fillId="38" borderId="67" xfId="0" applyFont="1" applyFill="1" applyBorder="1" applyAlignment="1">
      <alignment horizontal="center" vertical="center" wrapText="1"/>
    </xf>
    <xf numFmtId="0" fontId="8" fillId="37" borderId="65" xfId="0" applyFont="1" applyFill="1" applyBorder="1" applyAlignment="1" applyProtection="1">
      <alignment horizontal="center" vertical="center" wrapText="1"/>
      <protection locked="0"/>
    </xf>
    <xf numFmtId="0" fontId="8" fillId="37" borderId="66" xfId="0" applyFont="1" applyFill="1" applyBorder="1" applyAlignment="1" applyProtection="1">
      <alignment horizontal="center" vertical="center" wrapText="1"/>
      <protection locked="0"/>
    </xf>
    <xf numFmtId="0" fontId="8" fillId="37" borderId="67" xfId="0" applyFont="1" applyFill="1" applyBorder="1" applyAlignment="1" applyProtection="1">
      <alignment horizontal="center" vertical="center" wrapText="1"/>
      <protection locked="0"/>
    </xf>
    <xf numFmtId="0" fontId="82" fillId="39" borderId="65" xfId="0" applyFont="1" applyFill="1" applyBorder="1" applyAlignment="1">
      <alignment horizontal="center" vertical="center" wrapText="1"/>
    </xf>
    <xf numFmtId="0" fontId="82" fillId="39" borderId="66" xfId="0" applyFont="1" applyFill="1" applyBorder="1" applyAlignment="1">
      <alignment horizontal="center" vertical="center" wrapText="1"/>
    </xf>
    <xf numFmtId="0" fontId="82" fillId="39" borderId="67" xfId="0" applyFont="1" applyFill="1" applyBorder="1" applyAlignment="1">
      <alignment horizontal="center" vertical="center" wrapText="1"/>
    </xf>
    <xf numFmtId="0" fontId="9" fillId="38" borderId="30" xfId="0" applyFont="1" applyFill="1" applyBorder="1" applyAlignment="1">
      <alignment horizontal="center" vertical="center"/>
    </xf>
    <xf numFmtId="0" fontId="9" fillId="38" borderId="7" xfId="0" applyFont="1" applyFill="1" applyBorder="1" applyAlignment="1">
      <alignment horizontal="center" vertical="center"/>
    </xf>
    <xf numFmtId="0" fontId="9" fillId="38" borderId="36" xfId="0" applyFont="1" applyFill="1" applyBorder="1" applyAlignment="1">
      <alignment horizontal="center" vertical="center"/>
    </xf>
    <xf numFmtId="49" fontId="8" fillId="43" borderId="42" xfId="0" applyNumberFormat="1" applyFont="1" applyFill="1" applyBorder="1" applyAlignment="1" applyProtection="1">
      <alignment horizontal="center" vertical="center"/>
      <protection locked="0"/>
    </xf>
    <xf numFmtId="49" fontId="8" fillId="43" borderId="21" xfId="0" applyNumberFormat="1" applyFont="1" applyFill="1" applyBorder="1" applyAlignment="1" applyProtection="1">
      <alignment horizontal="center" vertical="center"/>
      <protection locked="0"/>
    </xf>
    <xf numFmtId="49" fontId="8" fillId="43" borderId="41" xfId="0" applyNumberFormat="1" applyFont="1" applyFill="1" applyBorder="1" applyAlignment="1" applyProtection="1">
      <alignment horizontal="center" vertical="center"/>
      <protection locked="0"/>
    </xf>
    <xf numFmtId="49" fontId="8" fillId="43" borderId="22" xfId="0" applyNumberFormat="1" applyFont="1" applyFill="1" applyBorder="1" applyAlignment="1" applyProtection="1">
      <alignment horizontal="center" vertical="center"/>
      <protection locked="0"/>
    </xf>
    <xf numFmtId="49" fontId="8" fillId="43" borderId="12" xfId="0" applyNumberFormat="1" applyFont="1" applyFill="1" applyBorder="1" applyAlignment="1" applyProtection="1">
      <alignment horizontal="center" vertical="center"/>
      <protection locked="0"/>
    </xf>
    <xf numFmtId="49" fontId="8" fillId="43" borderId="23" xfId="0" applyNumberFormat="1" applyFont="1" applyFill="1" applyBorder="1" applyAlignment="1" applyProtection="1">
      <alignment horizontal="center" vertical="center"/>
      <protection locked="0"/>
    </xf>
    <xf numFmtId="0" fontId="10" fillId="41" borderId="38" xfId="1301" applyFont="1" applyFill="1" applyBorder="1" applyAlignment="1" applyProtection="1">
      <alignment vertical="center" wrapText="1"/>
      <protection locked="0"/>
    </xf>
    <xf numFmtId="0" fontId="10" fillId="41" borderId="29" xfId="1301" applyFont="1" applyFill="1" applyBorder="1" applyAlignment="1" applyProtection="1">
      <alignment vertical="center" wrapText="1"/>
      <protection locked="0"/>
    </xf>
    <xf numFmtId="0" fontId="10" fillId="41" borderId="39" xfId="1301" applyFont="1" applyFill="1" applyBorder="1" applyAlignment="1" applyProtection="1">
      <alignment vertical="center" wrapText="1"/>
      <protection locked="0"/>
    </xf>
    <xf numFmtId="0" fontId="10" fillId="41" borderId="80" xfId="1301" applyFont="1" applyFill="1" applyBorder="1" applyAlignment="1" applyProtection="1">
      <alignment vertical="center" wrapText="1"/>
      <protection locked="0"/>
    </xf>
    <xf numFmtId="0" fontId="10" fillId="41" borderId="127" xfId="1301" applyFont="1" applyFill="1" applyBorder="1" applyAlignment="1" applyProtection="1">
      <alignment vertical="center" wrapText="1"/>
      <protection locked="0"/>
    </xf>
    <xf numFmtId="0" fontId="10" fillId="41" borderId="125" xfId="1301" applyFont="1" applyFill="1" applyBorder="1" applyAlignment="1" applyProtection="1">
      <alignment vertical="center" wrapText="1"/>
      <protection locked="0"/>
    </xf>
    <xf numFmtId="0" fontId="8" fillId="37" borderId="85" xfId="1453" applyFill="1" applyBorder="1" applyAlignment="1" applyProtection="1">
      <alignment horizontal="center" vertical="center"/>
      <protection locked="0"/>
    </xf>
    <xf numFmtId="0" fontId="8" fillId="37" borderId="7" xfId="1453" applyFill="1" applyBorder="1" applyAlignment="1" applyProtection="1">
      <alignment horizontal="center" vertical="center"/>
      <protection locked="0"/>
    </xf>
    <xf numFmtId="0" fontId="0" fillId="37" borderId="95" xfId="0" applyFill="1" applyBorder="1" applyAlignment="1" applyProtection="1">
      <alignment horizontal="center"/>
      <protection locked="0"/>
    </xf>
    <xf numFmtId="0" fontId="0" fillId="37" borderId="47" xfId="0" applyFill="1" applyBorder="1" applyAlignment="1" applyProtection="1">
      <alignment horizontal="center"/>
      <protection locked="0"/>
    </xf>
    <xf numFmtId="0" fontId="82" fillId="38" borderId="30" xfId="0" applyFont="1" applyFill="1" applyBorder="1" applyAlignment="1">
      <alignment horizontal="center" vertical="center" wrapText="1"/>
    </xf>
    <xf numFmtId="0" fontId="82" fillId="38" borderId="89" xfId="0" applyFont="1" applyFill="1" applyBorder="1" applyAlignment="1">
      <alignment horizontal="center" vertical="center" wrapText="1"/>
    </xf>
    <xf numFmtId="0" fontId="10" fillId="42" borderId="90" xfId="0" applyFont="1" applyFill="1" applyBorder="1" applyAlignment="1">
      <alignment horizontal="center" vertical="center" wrapText="1"/>
    </xf>
    <xf numFmtId="0" fontId="10" fillId="42" borderId="89" xfId="0" applyFont="1" applyFill="1" applyBorder="1" applyAlignment="1">
      <alignment horizontal="center" vertical="center" wrapText="1"/>
    </xf>
    <xf numFmtId="0" fontId="10" fillId="0" borderId="25" xfId="0" applyFont="1" applyBorder="1" applyAlignment="1">
      <alignment horizontal="center" vertical="center" wrapText="1"/>
    </xf>
    <xf numFmtId="0" fontId="10" fillId="0" borderId="42" xfId="0" applyFont="1" applyBorder="1" applyAlignment="1">
      <alignment horizontal="center" vertical="center" wrapText="1"/>
    </xf>
    <xf numFmtId="0" fontId="19" fillId="39" borderId="62" xfId="0" applyFont="1" applyFill="1" applyBorder="1" applyAlignment="1">
      <alignment horizontal="center" vertical="center" wrapText="1"/>
    </xf>
    <xf numFmtId="0" fontId="19" fillId="39" borderId="63" xfId="0" applyFont="1" applyFill="1" applyBorder="1" applyAlignment="1">
      <alignment horizontal="center" vertical="center" wrapText="1"/>
    </xf>
    <xf numFmtId="0" fontId="19" fillId="39" borderId="64" xfId="0" applyFont="1" applyFill="1" applyBorder="1" applyAlignment="1">
      <alignment horizontal="center" vertical="center" wrapText="1"/>
    </xf>
    <xf numFmtId="0" fontId="82" fillId="38" borderId="86" xfId="0" applyFont="1" applyFill="1" applyBorder="1" applyAlignment="1">
      <alignment horizontal="center" vertical="center" wrapText="1"/>
    </xf>
    <xf numFmtId="0" fontId="0" fillId="43" borderId="17" xfId="0" applyFill="1" applyBorder="1" applyAlignment="1" applyProtection="1">
      <alignment horizontal="center" vertical="center"/>
      <protection locked="0"/>
    </xf>
    <xf numFmtId="0" fontId="0" fillId="43" borderId="12" xfId="0" applyFill="1" applyBorder="1" applyAlignment="1" applyProtection="1">
      <alignment horizontal="center" vertical="center"/>
      <protection locked="0"/>
    </xf>
    <xf numFmtId="0" fontId="0" fillId="43" borderId="23" xfId="0" applyFill="1" applyBorder="1" applyAlignment="1" applyProtection="1">
      <alignment horizontal="center" vertical="center"/>
      <protection locked="0"/>
    </xf>
    <xf numFmtId="0" fontId="96" fillId="52" borderId="30" xfId="1302" applyFont="1" applyFill="1" applyBorder="1" applyAlignment="1">
      <alignment horizontal="center" vertical="center"/>
    </xf>
    <xf numFmtId="0" fontId="96" fillId="52" borderId="36" xfId="1302" applyFont="1" applyFill="1" applyBorder="1" applyAlignment="1">
      <alignment horizontal="center" vertical="center"/>
    </xf>
    <xf numFmtId="0" fontId="83" fillId="49" borderId="78" xfId="0" applyFont="1" applyFill="1" applyBorder="1" applyAlignment="1">
      <alignment horizontal="center" vertical="center" wrapText="1"/>
    </xf>
    <xf numFmtId="0" fontId="83" fillId="49" borderId="73" xfId="0" applyFont="1" applyFill="1" applyBorder="1" applyAlignment="1">
      <alignment horizontal="center" vertical="center" wrapText="1"/>
    </xf>
    <xf numFmtId="0" fontId="0" fillId="50" borderId="7" xfId="0" applyFill="1" applyBorder="1" applyAlignment="1">
      <alignment horizontal="center" vertical="center"/>
    </xf>
    <xf numFmtId="0" fontId="0" fillId="50" borderId="36" xfId="0" applyFill="1" applyBorder="1" applyAlignment="1">
      <alignment horizontal="center" vertical="center"/>
    </xf>
    <xf numFmtId="0" fontId="83" fillId="48" borderId="93" xfId="0" applyFont="1" applyFill="1" applyBorder="1" applyAlignment="1">
      <alignment horizontal="center" vertical="center" wrapText="1"/>
    </xf>
    <xf numFmtId="0" fontId="83" fillId="48" borderId="37" xfId="0" applyFont="1" applyFill="1" applyBorder="1" applyAlignment="1">
      <alignment horizontal="center" vertical="center" wrapText="1"/>
    </xf>
    <xf numFmtId="0" fontId="83" fillId="49" borderId="93" xfId="0" applyFont="1" applyFill="1" applyBorder="1" applyAlignment="1">
      <alignment horizontal="center" vertical="center" wrapText="1"/>
    </xf>
    <xf numFmtId="0" fontId="83" fillId="49" borderId="37" xfId="0" applyFont="1" applyFill="1" applyBorder="1" applyAlignment="1">
      <alignment horizontal="center" vertical="center" wrapText="1"/>
    </xf>
    <xf numFmtId="0" fontId="83" fillId="48" borderId="77" xfId="0" applyFont="1" applyFill="1" applyBorder="1" applyAlignment="1">
      <alignment horizontal="center" vertical="center" wrapText="1"/>
    </xf>
    <xf numFmtId="0" fontId="83" fillId="48" borderId="45" xfId="0" applyFont="1" applyFill="1" applyBorder="1" applyAlignment="1">
      <alignment horizontal="center" vertical="center" wrapText="1"/>
    </xf>
    <xf numFmtId="42" fontId="8" fillId="0" borderId="12" xfId="2981" applyFont="1" applyBorder="1" applyAlignment="1" applyProtection="1">
      <alignment horizontal="center" vertical="center"/>
      <protection locked="0"/>
    </xf>
  </cellXfs>
  <cellStyles count="2982">
    <cellStyle name="%" xfId="1" xr:uid="{00000000-0005-0000-0000-000000000000}"/>
    <cellStyle name="% 2" xfId="1113" xr:uid="{00000000-0005-0000-0000-000001000000}"/>
    <cellStyle name="%_A01 Kaeser Kompressoren - Hardware Price List 31-03-09 Global" xfId="2" xr:uid="{00000000-0005-0000-0000-000002000000}"/>
    <cellStyle name="%_A01 Kaeser Kompressoren - Hardware Price List 31-03-09 Global 2" xfId="1114" xr:uid="{00000000-0005-0000-0000-000003000000}"/>
    <cellStyle name="%_A01 Kaeser Kompressoren - Price List 02-04-09" xfId="3" xr:uid="{00000000-0005-0000-0000-000004000000}"/>
    <cellStyle name="%_A01 Kaeser Kompressoren - Price List 02-04-09 2" xfId="1115" xr:uid="{00000000-0005-0000-0000-000005000000}"/>
    <cellStyle name="%_A01 Kaeser Kompressoren - Price List 31-03-09 Global" xfId="4" xr:uid="{00000000-0005-0000-0000-000006000000}"/>
    <cellStyle name="%_A01 Kaeser Kompressoren - Price List 31-03-09 Global 2" xfId="1116" xr:uid="{00000000-0005-0000-0000-000007000000}"/>
    <cellStyle name="_~0708171" xfId="5" xr:uid="{00000000-0005-0000-0000-000008000000}"/>
    <cellStyle name="_~0708171_20070524 Oerlikon Price request Korea" xfId="6" xr:uid="{00000000-0005-0000-0000-000009000000}"/>
    <cellStyle name="_~0708171_Oerlikon Information request" xfId="7" xr:uid="{00000000-0005-0000-0000-00000A000000}"/>
    <cellStyle name="_~0708171_Oerlikon Price request China_24.05.2007." xfId="8" xr:uid="{00000000-0005-0000-0000-00000B000000}"/>
    <cellStyle name="_~0708171_Oerlikon Price request India" xfId="9" xr:uid="{00000000-0005-0000-0000-00000C000000}"/>
    <cellStyle name="_~0708171_Oerlikon Price request Japan" xfId="10" xr:uid="{00000000-0005-0000-0000-00000D000000}"/>
    <cellStyle name="_~1086821" xfId="11" xr:uid="{00000000-0005-0000-0000-00000E000000}"/>
    <cellStyle name="_~1867460" xfId="12" xr:uid="{00000000-0005-0000-0000-00000F000000}"/>
    <cellStyle name="_~4630324" xfId="13" xr:uid="{00000000-0005-0000-0000-000010000000}"/>
    <cellStyle name="_~4630324_20070524 Oerlikon Price request Korea" xfId="14" xr:uid="{00000000-0005-0000-0000-000011000000}"/>
    <cellStyle name="_~4630324_Oerlikon Information request" xfId="15" xr:uid="{00000000-0005-0000-0000-000012000000}"/>
    <cellStyle name="_~4630324_Oerlikon Price request China_24.05.2007." xfId="16" xr:uid="{00000000-0005-0000-0000-000013000000}"/>
    <cellStyle name="_~4630324_Oerlikon Price request India" xfId="17" xr:uid="{00000000-0005-0000-0000-000014000000}"/>
    <cellStyle name="_~4630324_Oerlikon Price request Japan" xfId="18" xr:uid="{00000000-0005-0000-0000-000015000000}"/>
    <cellStyle name="_~4987697" xfId="19" xr:uid="{00000000-0005-0000-0000-000016000000}"/>
    <cellStyle name="_~5091909" xfId="20" xr:uid="{00000000-0005-0000-0000-000017000000}"/>
    <cellStyle name="_~5091909_~9355017" xfId="21" xr:uid="{00000000-0005-0000-0000-000018000000}"/>
    <cellStyle name="_~5091909_~9355017_20070524 Oerlikon Price request Korea" xfId="22" xr:uid="{00000000-0005-0000-0000-000019000000}"/>
    <cellStyle name="_~5091909_~9355017_Oerlikon Information request" xfId="23" xr:uid="{00000000-0005-0000-0000-00001A000000}"/>
    <cellStyle name="_~5091909_~9355017_Oerlikon Price request China_24.05.2007." xfId="24" xr:uid="{00000000-0005-0000-0000-00001B000000}"/>
    <cellStyle name="_~5091909_~9355017_Oerlikon Price request India" xfId="25" xr:uid="{00000000-0005-0000-0000-00001C000000}"/>
    <cellStyle name="_~5091909_~9355017_Oerlikon Price request Japan" xfId="26" xr:uid="{00000000-0005-0000-0000-00001D000000}"/>
    <cellStyle name="_~5091909_20070524 Oerlikon Price request Korea" xfId="27" xr:uid="{00000000-0005-0000-0000-00001E000000}"/>
    <cellStyle name="_~5091909_Bayer_MPC4500_Benchmark for Japan " xfId="28" xr:uid="{00000000-0005-0000-0000-00001F000000}"/>
    <cellStyle name="_~5091909_Bayer_MPC4500_Benchmark for Japan _20070524 Oerlikon Price request Korea" xfId="29" xr:uid="{00000000-0005-0000-0000-000020000000}"/>
    <cellStyle name="_~5091909_Bayer_MPC4500_Benchmark for Japan _Oerlikon Information request" xfId="30" xr:uid="{00000000-0005-0000-0000-000021000000}"/>
    <cellStyle name="_~5091909_Bayer_MPC4500_Benchmark for Japan _Oerlikon Price request China_24.05.2007." xfId="31" xr:uid="{00000000-0005-0000-0000-000022000000}"/>
    <cellStyle name="_~5091909_Bayer_MPC4500_Benchmark for Japan _Oerlikon Price request India" xfId="32" xr:uid="{00000000-0005-0000-0000-000023000000}"/>
    <cellStyle name="_~5091909_Bayer_MPC4500_Benchmark for Japan _Oerlikon Price request Japan" xfId="33" xr:uid="{00000000-0005-0000-0000-000024000000}"/>
    <cellStyle name="_~5091909_Oerlikon Information request" xfId="34" xr:uid="{00000000-0005-0000-0000-000025000000}"/>
    <cellStyle name="_~5091909_Oerlikon Price request China_24.05.2007." xfId="35" xr:uid="{00000000-0005-0000-0000-000026000000}"/>
    <cellStyle name="_~5091909_Oerlikon Price request India" xfId="36" xr:uid="{00000000-0005-0000-0000-000027000000}"/>
    <cellStyle name="_~5091909_Oerlikon Price request Japan" xfId="37" xr:uid="{00000000-0005-0000-0000-000028000000}"/>
    <cellStyle name="_~5614744" xfId="38" xr:uid="{00000000-0005-0000-0000-000029000000}"/>
    <cellStyle name="_~5614744_~9355017" xfId="39" xr:uid="{00000000-0005-0000-0000-00002A000000}"/>
    <cellStyle name="_~5614744_~9355017_20070524 Oerlikon Price request Korea" xfId="40" xr:uid="{00000000-0005-0000-0000-00002B000000}"/>
    <cellStyle name="_~5614744_~9355017_Oerlikon Information request" xfId="41" xr:uid="{00000000-0005-0000-0000-00002C000000}"/>
    <cellStyle name="_~5614744_~9355017_Oerlikon Price request China_24.05.2007." xfId="42" xr:uid="{00000000-0005-0000-0000-00002D000000}"/>
    <cellStyle name="_~5614744_~9355017_Oerlikon Price request India" xfId="43" xr:uid="{00000000-0005-0000-0000-00002E000000}"/>
    <cellStyle name="_~5614744_~9355017_Oerlikon Price request Japan" xfId="44" xr:uid="{00000000-0005-0000-0000-00002F000000}"/>
    <cellStyle name="_~5614744_20070524 Oerlikon Price request Korea" xfId="45" xr:uid="{00000000-0005-0000-0000-000030000000}"/>
    <cellStyle name="_~5614744_Bayer_MPC4500_Benchmark for Japan " xfId="46" xr:uid="{00000000-0005-0000-0000-000031000000}"/>
    <cellStyle name="_~5614744_Bayer_MPC4500_Benchmark for Japan _20070524 Oerlikon Price request Korea" xfId="47" xr:uid="{00000000-0005-0000-0000-000032000000}"/>
    <cellStyle name="_~5614744_Bayer_MPC4500_Benchmark for Japan _Oerlikon Information request" xfId="48" xr:uid="{00000000-0005-0000-0000-000033000000}"/>
    <cellStyle name="_~5614744_Bayer_MPC4500_Benchmark for Japan _Oerlikon Price request China_24.05.2007." xfId="49" xr:uid="{00000000-0005-0000-0000-000034000000}"/>
    <cellStyle name="_~5614744_Bayer_MPC4500_Benchmark for Japan _Oerlikon Price request India" xfId="50" xr:uid="{00000000-0005-0000-0000-000035000000}"/>
    <cellStyle name="_~5614744_Bayer_MPC4500_Benchmark for Japan _Oerlikon Price request Japan" xfId="51" xr:uid="{00000000-0005-0000-0000-000036000000}"/>
    <cellStyle name="_~5614744_Oerlikon Information request" xfId="52" xr:uid="{00000000-0005-0000-0000-000037000000}"/>
    <cellStyle name="_~5614744_Oerlikon Price request China_24.05.2007." xfId="53" xr:uid="{00000000-0005-0000-0000-000038000000}"/>
    <cellStyle name="_~5614744_Oerlikon Price request India" xfId="54" xr:uid="{00000000-0005-0000-0000-000039000000}"/>
    <cellStyle name="_~5614744_Oerlikon Price request Japan" xfId="55" xr:uid="{00000000-0005-0000-0000-00003A000000}"/>
    <cellStyle name="_~6010279" xfId="56" xr:uid="{00000000-0005-0000-0000-00003B000000}"/>
    <cellStyle name="_~6010279_20070524 Oerlikon Price request Korea" xfId="57" xr:uid="{00000000-0005-0000-0000-00003C000000}"/>
    <cellStyle name="_~6010279_Oerlikon Information request" xfId="58" xr:uid="{00000000-0005-0000-0000-00003D000000}"/>
    <cellStyle name="_~6010279_Oerlikon Price request China_24.05.2007." xfId="59" xr:uid="{00000000-0005-0000-0000-00003E000000}"/>
    <cellStyle name="_~6010279_Oerlikon Price request India" xfId="60" xr:uid="{00000000-0005-0000-0000-00003F000000}"/>
    <cellStyle name="_~6010279_Oerlikon Price request Japan" xfId="61" xr:uid="{00000000-0005-0000-0000-000040000000}"/>
    <cellStyle name="_~6528589" xfId="62" xr:uid="{00000000-0005-0000-0000-000041000000}"/>
    <cellStyle name="_~6528589_21_RGSE_Product Marketing_Master File _Jan 09" xfId="63" xr:uid="{00000000-0005-0000-0000-000042000000}"/>
    <cellStyle name="_~6528589_Support Schedule-Direct" xfId="64" xr:uid="{00000000-0005-0000-0000-000043000000}"/>
    <cellStyle name="_~6528589_Support Schedule-Indirect" xfId="65" xr:uid="{00000000-0005-0000-0000-000044000000}"/>
    <cellStyle name="_~6703599" xfId="66" xr:uid="{00000000-0005-0000-0000-000045000000}"/>
    <cellStyle name="_~9497988" xfId="67" xr:uid="{00000000-0005-0000-0000-000046000000}"/>
    <cellStyle name="_~9497988_21_RGSE_Product Marketing_Master File _Jan 09" xfId="68" xr:uid="{00000000-0005-0000-0000-000047000000}"/>
    <cellStyle name="_~9497988_Support Schedule-Direct" xfId="69" xr:uid="{00000000-0005-0000-0000-000048000000}"/>
    <cellStyle name="_~9497988_Support Schedule-Indirect" xfId="70" xr:uid="{00000000-0005-0000-0000-000049000000}"/>
    <cellStyle name="_~9771984" xfId="71" xr:uid="{00000000-0005-0000-0000-00004A000000}"/>
    <cellStyle name="_01_BASF_OAA TEMPLATE_27.02.08 (2)" xfId="72" xr:uid="{00000000-0005-0000-0000-00004B000000}"/>
    <cellStyle name="_01_RGSE_Internal Master File" xfId="73" xr:uid="{00000000-0005-0000-0000-00004C000000}"/>
    <cellStyle name="_01_RGSE_Internal Master File_~6728952" xfId="74" xr:uid="{00000000-0005-0000-0000-00004D000000}"/>
    <cellStyle name="_01_RGSE_Internal Master File_20090122_Voestalpine_Global Price List_China" xfId="75" xr:uid="{00000000-0005-0000-0000-00004E000000}"/>
    <cellStyle name="_01_RGSE_Internal Master File_20090123 Pricing for Voestalpine - JAPAN- V.2" xfId="76" xr:uid="{00000000-0005-0000-0000-00004F000000}"/>
    <cellStyle name="_01_RGSE_Internal Master File_20090203_Voestalpine_Global Price List (Korea)" xfId="77" xr:uid="{00000000-0005-0000-0000-000050000000}"/>
    <cellStyle name="_01_RGSE_Internal Master File_20090326_Kaeser Kompressoren_Korea Price List" xfId="78" xr:uid="{00000000-0005-0000-0000-000051000000}"/>
    <cellStyle name="_01_RGSE_Internal Master File_Kaeser Kompressoren pricing" xfId="79" xr:uid="{00000000-0005-0000-0000-000052000000}"/>
    <cellStyle name="_01_RGSE_Internal Master File_Voestalpine  Pricing -RCN 090318 Helen's Amendment 2" xfId="80" xr:uid="{00000000-0005-0000-0000-000053000000}"/>
    <cellStyle name="_01_RGSE_Pricing Template_New Tender_Sept07" xfId="81" xr:uid="{00000000-0005-0000-0000-000054000000}"/>
    <cellStyle name="_02_RGSE_Internal Reference File" xfId="82" xr:uid="{00000000-0005-0000-0000-000055000000}"/>
    <cellStyle name="_02_RGSE_Internal Reference File_20090326_Kaeser Kompressoren_Korea Price List" xfId="83" xr:uid="{00000000-0005-0000-0000-000056000000}"/>
    <cellStyle name="_02_RGSE_Internal Reference File_A01 CSM Internal Pricing 13-01-09" xfId="84" xr:uid="{00000000-0005-0000-0000-000057000000}"/>
    <cellStyle name="_02_RGSE_Internal Reference File_A01 Rohm Hass Internal Pricing 08-06-07" xfId="85" xr:uid="{00000000-0005-0000-0000-000058000000}"/>
    <cellStyle name="_02_RGSE_Internal Reference File_A01 Rohm Hass Internal Pricing 08-06-07_~6728952" xfId="86" xr:uid="{00000000-0005-0000-0000-000059000000}"/>
    <cellStyle name="_02_RGSE_Internal Reference File_A01 Rohm Hass Internal Pricing 08-06-07_20090122_Voestalpine_Global Price List_China" xfId="87" xr:uid="{00000000-0005-0000-0000-00005A000000}"/>
    <cellStyle name="_02_RGSE_Internal Reference File_A01 Rohm Hass Internal Pricing 08-06-07_20090123 Pricing for Voestalpine - JAPAN- V.2" xfId="88" xr:uid="{00000000-0005-0000-0000-00005B000000}"/>
    <cellStyle name="_02_RGSE_Internal Reference File_A01 Rohm Hass Internal Pricing 08-06-07_20090203_Voestalpine_Global Price List (Korea)" xfId="89" xr:uid="{00000000-0005-0000-0000-00005C000000}"/>
    <cellStyle name="_02_RGSE_Internal Reference File_A01 Rohm Hass Internal Pricing 08-06-07_Voestalpine  Pricing -RCN 090318 Helen's Amendment 2" xfId="90" xr:uid="{00000000-0005-0000-0000-00005D000000}"/>
    <cellStyle name="_02_RGSE_Internal Reference File_APAC_Pricing" xfId="91" xr:uid="{00000000-0005-0000-0000-00005E000000}"/>
    <cellStyle name="_02_RGSE_Internal Reference File_B01 Solvay Client Pricing 07-01-09" xfId="92" xr:uid="{00000000-0005-0000-0000-00005F000000}"/>
    <cellStyle name="_02_RGSE_Internal Reference File_B01 Solvay Client Pricing 07-01-09_~6728952" xfId="93" xr:uid="{00000000-0005-0000-0000-000060000000}"/>
    <cellStyle name="_02_RGSE_Internal Reference File_B01 Solvay Client Pricing 07-01-09_20090122_Voestalpine_Global Price List_China" xfId="94" xr:uid="{00000000-0005-0000-0000-000061000000}"/>
    <cellStyle name="_02_RGSE_Internal Reference File_B01 Solvay Client Pricing 07-01-09_20090123 Pricing for Voestalpine - JAPAN- V.2" xfId="95" xr:uid="{00000000-0005-0000-0000-000062000000}"/>
    <cellStyle name="_02_RGSE_Internal Reference File_B01 Solvay Client Pricing 07-01-09_20090203_Voestalpine_Global Price List (Korea)" xfId="96" xr:uid="{00000000-0005-0000-0000-000063000000}"/>
    <cellStyle name="_02_RGSE_Internal Reference File_B01 Solvay Client Pricing 07-01-09_Voestalpine  Pricing -RCN 090318 Helen's Amendment 2" xfId="97" xr:uid="{00000000-0005-0000-0000-000064000000}"/>
    <cellStyle name="_02_RGSE_Internal Reference File_B02 Voestalpine - Global Price List 13-03-09" xfId="98" xr:uid="{00000000-0005-0000-0000-000065000000}"/>
    <cellStyle name="_02_RGSE_Internal Reference File_B03 Daimler Chrysler Internal pricing for Minimum Prices Service Prices SP3200SF" xfId="99" xr:uid="{00000000-0005-0000-0000-000066000000}"/>
    <cellStyle name="_02_RGSE_Internal Reference File_D02 Egger Client Prices 28-08-08" xfId="100" xr:uid="{00000000-0005-0000-0000-000067000000}"/>
    <cellStyle name="_02_RGSE_Internal Reference File_D02 Egger Client Prices 28-08-08_~6728952" xfId="101" xr:uid="{00000000-0005-0000-0000-000068000000}"/>
    <cellStyle name="_02_RGSE_Internal Reference File_D02 Egger Client Prices 28-08-08_20090122_Voestalpine_Global Price List_China" xfId="102" xr:uid="{00000000-0005-0000-0000-000069000000}"/>
    <cellStyle name="_02_RGSE_Internal Reference File_D02 Egger Client Prices 28-08-08_20090123 Pricing for Voestalpine - JAPAN- V.2" xfId="103" xr:uid="{00000000-0005-0000-0000-00006A000000}"/>
    <cellStyle name="_02_RGSE_Internal Reference File_D02 Egger Client Prices 28-08-08_20090203_Voestalpine_Global Price List (Korea)" xfId="104" xr:uid="{00000000-0005-0000-0000-00006B000000}"/>
    <cellStyle name="_02_RGSE_Internal Reference File_D02 Egger Client Prices 28-08-08_Voestalpine  Pricing -RCN 090318 Helen's Amendment 2" xfId="105" xr:uid="{00000000-0005-0000-0000-00006C000000}"/>
    <cellStyle name="_02_RGSE_Internal Reference File_Kaeser Kompressoren pricing" xfId="106" xr:uid="{00000000-0005-0000-0000-00006D000000}"/>
    <cellStyle name="_02_RGSE_Pricing Template_09.10.08" xfId="107" xr:uid="{00000000-0005-0000-0000-00006E000000}"/>
    <cellStyle name="_03_RGSE_Pricing Template_GDFSUEZ_Oct08V3" xfId="108" xr:uid="{00000000-0005-0000-0000-00006F000000}"/>
    <cellStyle name="_03_RGSE_Pricing Template_New TenderDLL" xfId="109" xr:uid="{00000000-0005-0000-0000-000070000000}"/>
    <cellStyle name="_04_RGSE_Internal Reference File Jul 07" xfId="110" xr:uid="{00000000-0005-0000-0000-000071000000}"/>
    <cellStyle name="_04_RGSE_Internal Reference File Jul 07_~6728952" xfId="111" xr:uid="{00000000-0005-0000-0000-000072000000}"/>
    <cellStyle name="_04_RGSE_Internal Reference File Jul 07_20090122_Voestalpine_Global Price List_China" xfId="112" xr:uid="{00000000-0005-0000-0000-000073000000}"/>
    <cellStyle name="_04_RGSE_Internal Reference File Jul 07_20090123 Pricing for Voestalpine - JAPAN- V.2" xfId="113" xr:uid="{00000000-0005-0000-0000-000074000000}"/>
    <cellStyle name="_04_RGSE_Internal Reference File Jul 07_20090203_Voestalpine_Global Price List (Korea)" xfId="114" xr:uid="{00000000-0005-0000-0000-000075000000}"/>
    <cellStyle name="_04_RGSE_Internal Reference File Jul 07_Voestalpine  Pricing -RCN 090318 Helen's Amendment 2" xfId="115" xr:uid="{00000000-0005-0000-0000-000076000000}"/>
    <cellStyle name="_09_RGSE_Internal Reference File Feb 08" xfId="116" xr:uid="{00000000-0005-0000-0000-000077000000}"/>
    <cellStyle name="_09_RGSE_Internal Reference File Feb 08_20080702_DB_Pricing_Additonal_Item&amp;Countries" xfId="117" xr:uid="{00000000-0005-0000-0000-000078000000}"/>
    <cellStyle name="_09_RGSE_Internal Reference File Feb 08_20090326_Kaeser Kompressoren_Korea Price List" xfId="118" xr:uid="{00000000-0005-0000-0000-000079000000}"/>
    <cellStyle name="_09_RGSE_Internal Reference File Feb 08_B02 Voestalpine - Global Price List 13-03-09" xfId="119" xr:uid="{00000000-0005-0000-0000-00007A000000}"/>
    <cellStyle name="_09_RGSE_Internal Reference File Feb 08_Kaeser Kompressoren pricing" xfId="120" xr:uid="{00000000-0005-0000-0000-00007B000000}"/>
    <cellStyle name="_09_RGSE_Internal Reference File Jan 08 WIP" xfId="121" xr:uid="{00000000-0005-0000-0000-00007C000000}"/>
    <cellStyle name="_12_RGSE_Product Marketing_Master File _Aug 08" xfId="122" xr:uid="{00000000-0005-0000-0000-00007D000000}"/>
    <cellStyle name="_12_RGSE_Product Marketing_Master File _Aug 08_~6728952" xfId="123" xr:uid="{00000000-0005-0000-0000-00007E000000}"/>
    <cellStyle name="_12_RGSE_Product Marketing_Master File _Aug 08_Voestalpine  Pricing -RCN 090318 Helen's Amendment 2" xfId="124" xr:uid="{00000000-0005-0000-0000-00007F000000}"/>
    <cellStyle name="_2_List of RFG Suplliers &amp; SLAs_27-08-07" xfId="125" xr:uid="{00000000-0005-0000-0000-000080000000}"/>
    <cellStyle name="_20080702_DB_Pricing_Additonal_Item&amp;Countries" xfId="126" xr:uid="{00000000-0005-0000-0000-000081000000}"/>
    <cellStyle name="_20080702_DB_Pricing_Additonal_Item&amp;Countries 2" xfId="1117" xr:uid="{00000000-0005-0000-0000-000082000000}"/>
    <cellStyle name="_21_RGSE_Product Marketing_Master File _Jan 09" xfId="127" xr:uid="{00000000-0005-0000-0000-000083000000}"/>
    <cellStyle name="_23_RGSE_Product Marketing_Master File _Mar 09" xfId="128" xr:uid="{00000000-0005-0000-0000-000084000000}"/>
    <cellStyle name="_23_RGSE_Product Marketing_Master File _Mar 09_20090326_Kaeser Kompressoren_Korea Price List" xfId="129" xr:uid="{00000000-0005-0000-0000-000085000000}"/>
    <cellStyle name="_23_RGSE_Product Marketing_Master File _Mar 09_Kaeser Kompressoren pricing" xfId="130" xr:uid="{00000000-0005-0000-0000-000086000000}"/>
    <cellStyle name="_29 Template - Pricing Support Request 07-01-08" xfId="131" xr:uid="{00000000-0005-0000-0000-000087000000}"/>
    <cellStyle name="_29 Template - Pricing Support Request 07-01-08_~6728952" xfId="132" xr:uid="{00000000-0005-0000-0000-000088000000}"/>
    <cellStyle name="_29 Template - Pricing Support Request 07-01-08_20090122_Voestalpine_Global Price List_China" xfId="133" xr:uid="{00000000-0005-0000-0000-000089000000}"/>
    <cellStyle name="_29 Template - Pricing Support Request 07-01-08_20090123 Pricing for Voestalpine - JAPAN- V.2" xfId="134" xr:uid="{00000000-0005-0000-0000-00008A000000}"/>
    <cellStyle name="_29 Template - Pricing Support Request 07-01-08_20090203_Voestalpine_Global Price List (Korea)" xfId="135" xr:uid="{00000000-0005-0000-0000-00008B000000}"/>
    <cellStyle name="_29 Template - Pricing Support Request 07-01-08_Voestalpine  Pricing -RCN 090318 Helen's Amendment 2" xfId="136" xr:uid="{00000000-0005-0000-0000-00008C000000}"/>
    <cellStyle name="_A01 Alcoa Internal Pricing 22-03-07" xfId="137" xr:uid="{00000000-0005-0000-0000-00008D000000}"/>
    <cellStyle name="_A01 Alcoa Internal Pricing 22-03-07_20070524 Oerlikon Price request Korea" xfId="138" xr:uid="{00000000-0005-0000-0000-00008E000000}"/>
    <cellStyle name="_A01 Alcoa Internal Pricing 22-03-07_Oerlikon Information request" xfId="139" xr:uid="{00000000-0005-0000-0000-00008F000000}"/>
    <cellStyle name="_A01 Alcoa Internal Pricing 22-03-07_Oerlikon Price request China_24.05.2007." xfId="140" xr:uid="{00000000-0005-0000-0000-000090000000}"/>
    <cellStyle name="_A01 Alcoa Internal Pricing 22-03-07_Oerlikon Price request India" xfId="141" xr:uid="{00000000-0005-0000-0000-000091000000}"/>
    <cellStyle name="_A01 Alcoa Internal Pricing 22-03-07_Oerlikon Price request Japan" xfId="142" xr:uid="{00000000-0005-0000-0000-000092000000}"/>
    <cellStyle name="_A01 BASF Client Pricing 12-03-08" xfId="143" xr:uid="{00000000-0005-0000-0000-000093000000}"/>
    <cellStyle name="_A01 CSM Internal Pricing 13-01-09" xfId="144" xr:uid="{00000000-0005-0000-0000-000094000000}"/>
    <cellStyle name="_A01 Deutsche Bank - Global Price Request Form 26-06-08" xfId="145" xr:uid="{00000000-0005-0000-0000-000095000000}"/>
    <cellStyle name="_A01 Deutsche Bank - Internal Pricing - Fixed Costs &amp; Software Solutions 02-04-08 V.2" xfId="146" xr:uid="{00000000-0005-0000-0000-000096000000}"/>
    <cellStyle name="_A01 Deutsche Bank - Internal Pricing - Fixed Costs &amp; Software Solutions 02-04-08 V.2_20090326_Kaeser Kompressoren_Korea Price List" xfId="147" xr:uid="{00000000-0005-0000-0000-000097000000}"/>
    <cellStyle name="_A01 Deutsche Bank - Internal Pricing - Fixed Costs &amp; Software Solutions 02-04-08 V.2_A01 Kaeser Kompressoren - Global Price Request 23-03-09" xfId="148" xr:uid="{00000000-0005-0000-0000-000098000000}"/>
    <cellStyle name="_A01 Deutsche Bank - Internal Pricing - Fixed Costs &amp; Software Solutions 02-04-08 V.2_A01 Kaeser Kompressoren - Global Price Request 23-03-09_20090326_Kaeser Kompressoren_Korea Price List" xfId="149" xr:uid="{00000000-0005-0000-0000-000099000000}"/>
    <cellStyle name="_A01 Deutsche Bank - Internal Pricing - Fixed Costs &amp; Software Solutions 02-04-08 V.2_A01 Kaeser Kompressoren - Global Price Request 23-03-09_Kaeser Kompressoren pricing" xfId="150" xr:uid="{00000000-0005-0000-0000-00009A000000}"/>
    <cellStyle name="_A01 Deutsche Bank - Internal Pricing - Fixed Costs &amp; Software Solutions 02-04-08 V.2_A01 Kaeser Kompressoren - Hardware Price List 31-03-09 Global" xfId="151" xr:uid="{00000000-0005-0000-0000-00009B000000}"/>
    <cellStyle name="_A01 Deutsche Bank - Internal Pricing - Fixed Costs &amp; Software Solutions 02-04-08 V.2_A01 Kaeser Kompressoren - Internal Pricing 23-03-09" xfId="152" xr:uid="{00000000-0005-0000-0000-00009C000000}"/>
    <cellStyle name="_A01 Deutsche Bank - Internal Pricing - Fixed Costs &amp; Software Solutions 02-04-08 V.2_Kaeser Kompressoren pricing" xfId="153" xr:uid="{00000000-0005-0000-0000-00009D000000}"/>
    <cellStyle name="_A01 Egger Client Prices 28-02-07" xfId="154" xr:uid="{00000000-0005-0000-0000-00009E000000}"/>
    <cellStyle name="_A01 Egger Client Prices 28-02-07_~6728952" xfId="155" xr:uid="{00000000-0005-0000-0000-00009F000000}"/>
    <cellStyle name="_A01 Egger Client Prices 28-02-07_20090122_Voestalpine_Global Price List_China" xfId="156" xr:uid="{00000000-0005-0000-0000-0000A0000000}"/>
    <cellStyle name="_A01 Egger Client Prices 28-02-07_20090123 Pricing for Voestalpine - JAPAN- V.2" xfId="157" xr:uid="{00000000-0005-0000-0000-0000A1000000}"/>
    <cellStyle name="_A01 Egger Client Prices 28-02-07_20090203_Voestalpine_Global Price List (Korea)" xfId="158" xr:uid="{00000000-0005-0000-0000-0000A2000000}"/>
    <cellStyle name="_A01 Egger Client Prices 28-02-07_Voestalpine  Pricing -RCN 090318 Helen's Amendment 2" xfId="159" xr:uid="{00000000-0005-0000-0000-0000A3000000}"/>
    <cellStyle name="_A01 EON Internal Pricing 01-05-07" xfId="160" xr:uid="{00000000-0005-0000-0000-0000A4000000}"/>
    <cellStyle name="_A01 EON Minimum Pricing 10-05-07" xfId="161" xr:uid="{00000000-0005-0000-0000-0000A5000000}"/>
    <cellStyle name="_A01 FedEx - Price List 16-04-09 EMEA" xfId="162" xr:uid="{00000000-0005-0000-0000-0000A6000000}"/>
    <cellStyle name="_A01 Henkel - Internal Pricing 26-09-06" xfId="163" xr:uid="{00000000-0005-0000-0000-0000A7000000}"/>
    <cellStyle name="_A01 Henkel - Internal Pricing 26-09-06_20090326_Kaeser Kompressoren_Korea Price List" xfId="164" xr:uid="{00000000-0005-0000-0000-0000A8000000}"/>
    <cellStyle name="_A01 Henkel - Internal Pricing 26-09-06_A01 CSM Internal Pricing 13-01-09" xfId="165" xr:uid="{00000000-0005-0000-0000-0000A9000000}"/>
    <cellStyle name="_A01 Henkel - Internal Pricing 26-09-06_A01 Rohm Hass Internal Pricing 08-06-07" xfId="166" xr:uid="{00000000-0005-0000-0000-0000AA000000}"/>
    <cellStyle name="_A01 Henkel - Internal Pricing 26-09-06_A01 Rohm Hass Internal Pricing 08-06-07_~6728952" xfId="167" xr:uid="{00000000-0005-0000-0000-0000AB000000}"/>
    <cellStyle name="_A01 Henkel - Internal Pricing 26-09-06_A01 Rohm Hass Internal Pricing 08-06-07_20090122_Voestalpine_Global Price List_China" xfId="168" xr:uid="{00000000-0005-0000-0000-0000AC000000}"/>
    <cellStyle name="_A01 Henkel - Internal Pricing 26-09-06_A01 Rohm Hass Internal Pricing 08-06-07_20090123 Pricing for Voestalpine - JAPAN- V.2" xfId="169" xr:uid="{00000000-0005-0000-0000-0000AD000000}"/>
    <cellStyle name="_A01 Henkel - Internal Pricing 26-09-06_A01 Rohm Hass Internal Pricing 08-06-07_20090203_Voestalpine_Global Price List (Korea)" xfId="170" xr:uid="{00000000-0005-0000-0000-0000AE000000}"/>
    <cellStyle name="_A01 Henkel - Internal Pricing 26-09-06_A01 Rohm Hass Internal Pricing 08-06-07_Voestalpine  Pricing -RCN 090318 Helen's Amendment 2" xfId="171" xr:uid="{00000000-0005-0000-0000-0000AF000000}"/>
    <cellStyle name="_A01 Henkel - Internal Pricing 26-09-06_AIR France APAC Price20071004 " xfId="172" xr:uid="{00000000-0005-0000-0000-0000B0000000}"/>
    <cellStyle name="_A01 Henkel - Internal Pricing 26-09-06_APAC_Pricing" xfId="173" xr:uid="{00000000-0005-0000-0000-0000B1000000}"/>
    <cellStyle name="_A01 Henkel - Internal Pricing 26-09-06_B01 Solvay Client Pricing 07-01-09" xfId="174" xr:uid="{00000000-0005-0000-0000-0000B2000000}"/>
    <cellStyle name="_A01 Henkel - Internal Pricing 26-09-06_B01 Solvay Client Pricing 07-01-09_~6728952" xfId="175" xr:uid="{00000000-0005-0000-0000-0000B3000000}"/>
    <cellStyle name="_A01 Henkel - Internal Pricing 26-09-06_B01 Solvay Client Pricing 07-01-09_20090122_Voestalpine_Global Price List_China" xfId="176" xr:uid="{00000000-0005-0000-0000-0000B4000000}"/>
    <cellStyle name="_A01 Henkel - Internal Pricing 26-09-06_B01 Solvay Client Pricing 07-01-09_20090123 Pricing for Voestalpine - JAPAN- V.2" xfId="177" xr:uid="{00000000-0005-0000-0000-0000B5000000}"/>
    <cellStyle name="_A01 Henkel - Internal Pricing 26-09-06_B01 Solvay Client Pricing 07-01-09_20090203_Voestalpine_Global Price List (Korea)" xfId="178" xr:uid="{00000000-0005-0000-0000-0000B6000000}"/>
    <cellStyle name="_A01 Henkel - Internal Pricing 26-09-06_B01 Solvay Client Pricing 07-01-09_Voestalpine  Pricing -RCN 090318 Helen's Amendment 2" xfId="179" xr:uid="{00000000-0005-0000-0000-0000B7000000}"/>
    <cellStyle name="_A01 Henkel - Internal Pricing 26-09-06_B02 Voestalpine - Global Price List 13-03-09" xfId="180" xr:uid="{00000000-0005-0000-0000-0000B8000000}"/>
    <cellStyle name="_A01 Henkel - Internal Pricing 26-09-06_B03 Daimler Chrysler Internal pricing for Minimum Prices Service Prices SP3200SF" xfId="181" xr:uid="{00000000-0005-0000-0000-0000B9000000}"/>
    <cellStyle name="_A01 Henkel - Internal Pricing 26-09-06_D02 Egger Client Prices 28-08-08" xfId="182" xr:uid="{00000000-0005-0000-0000-0000BA000000}"/>
    <cellStyle name="_A01 Henkel - Internal Pricing 26-09-06_D02 Egger Client Prices 28-08-08_~6728952" xfId="183" xr:uid="{00000000-0005-0000-0000-0000BB000000}"/>
    <cellStyle name="_A01 Henkel - Internal Pricing 26-09-06_D02 Egger Client Prices 28-08-08_20090122_Voestalpine_Global Price List_China" xfId="184" xr:uid="{00000000-0005-0000-0000-0000BC000000}"/>
    <cellStyle name="_A01 Henkel - Internal Pricing 26-09-06_D02 Egger Client Prices 28-08-08_20090123 Pricing for Voestalpine - JAPAN- V.2" xfId="185" xr:uid="{00000000-0005-0000-0000-0000BD000000}"/>
    <cellStyle name="_A01 Henkel - Internal Pricing 26-09-06_D02 Egger Client Prices 28-08-08_20090203_Voestalpine_Global Price List (Korea)" xfId="186" xr:uid="{00000000-0005-0000-0000-0000BE000000}"/>
    <cellStyle name="_A01 Henkel - Internal Pricing 26-09-06_D02 Egger Client Prices 28-08-08_Voestalpine  Pricing -RCN 090318 Helen's Amendment 2" xfId="187" xr:uid="{00000000-0005-0000-0000-0000BF000000}"/>
    <cellStyle name="_A01 Henkel - Internal Pricing 26-09-06_Kaeser Kompressoren pricing" xfId="188" xr:uid="{00000000-0005-0000-0000-0000C0000000}"/>
    <cellStyle name="_A01 Henkel - Internal Pricing 26-09-06_Voestalpine - RCI Approved Pricing - 02-04-2009" xfId="189" xr:uid="{00000000-0005-0000-0000-0000C1000000}"/>
    <cellStyle name="_A01 Henkel - Internal Pricing 26-09-06_Voestalpine - RCI Approved Pricing - 02-04-2009_~6728952" xfId="190" xr:uid="{00000000-0005-0000-0000-0000C2000000}"/>
    <cellStyle name="_A01 Henkel - Internal Pricing 26-09-06_Voestalpine - RCI Approved Pricing - 02-04-2009_Voestalpine  Pricing -RCN 090318 Helen's Amendment 2" xfId="191" xr:uid="{00000000-0005-0000-0000-0000C3000000}"/>
    <cellStyle name="_A01 Husky Internal Pricing 06-08-2007" xfId="192" xr:uid="{00000000-0005-0000-0000-0000C4000000}"/>
    <cellStyle name="_A01 Husky Internal Pricing 06-08-2007 2" xfId="1118" xr:uid="{00000000-0005-0000-0000-0000C5000000}"/>
    <cellStyle name="_A01 Kali&amp;Salz Internal Pricing 20-12-06" xfId="193" xr:uid="{00000000-0005-0000-0000-0000C6000000}"/>
    <cellStyle name="_A01 Kali&amp;Salz Internal Pricing 20-12-06_~6728952" xfId="194" xr:uid="{00000000-0005-0000-0000-0000C7000000}"/>
    <cellStyle name="_A01 Kali&amp;Salz Internal Pricing 20-12-06_20090122_Voestalpine_Global Price List_China" xfId="195" xr:uid="{00000000-0005-0000-0000-0000C8000000}"/>
    <cellStyle name="_A01 Kali&amp;Salz Internal Pricing 20-12-06_20090123 Pricing for Voestalpine - JAPAN- V.2" xfId="196" xr:uid="{00000000-0005-0000-0000-0000C9000000}"/>
    <cellStyle name="_A01 Kali&amp;Salz Internal Pricing 20-12-06_20090203_Voestalpine_Global Price List (Korea)" xfId="197" xr:uid="{00000000-0005-0000-0000-0000CA000000}"/>
    <cellStyle name="_A01 Kali&amp;Salz Internal Pricing 20-12-06_20090326_Kaeser Kompressoren_Korea Price List" xfId="198" xr:uid="{00000000-0005-0000-0000-0000CB000000}"/>
    <cellStyle name="_A01 Kali&amp;Salz Internal Pricing 20-12-06_A01 Rohm Hass Internal Pricing 08-06-07" xfId="199" xr:uid="{00000000-0005-0000-0000-0000CC000000}"/>
    <cellStyle name="_A01 Kali&amp;Salz Internal Pricing 20-12-06_A01 Rohm Hass Internal Pricing 08-06-07_~6728952" xfId="200" xr:uid="{00000000-0005-0000-0000-0000CD000000}"/>
    <cellStyle name="_A01 Kali&amp;Salz Internal Pricing 20-12-06_A01 Rohm Hass Internal Pricing 08-06-07_20090122_Voestalpine_Global Price List_China" xfId="201" xr:uid="{00000000-0005-0000-0000-0000CE000000}"/>
    <cellStyle name="_A01 Kali&amp;Salz Internal Pricing 20-12-06_A01 Rohm Hass Internal Pricing 08-06-07_20090123 Pricing for Voestalpine - JAPAN- V.2" xfId="202" xr:uid="{00000000-0005-0000-0000-0000CF000000}"/>
    <cellStyle name="_A01 Kali&amp;Salz Internal Pricing 20-12-06_A01 Rohm Hass Internal Pricing 08-06-07_20090203_Voestalpine_Global Price List (Korea)" xfId="203" xr:uid="{00000000-0005-0000-0000-0000D0000000}"/>
    <cellStyle name="_A01 Kali&amp;Salz Internal Pricing 20-12-06_A01 Rohm Hass Internal Pricing 08-06-07_Voestalpine  Pricing -RCN 090318 Helen's Amendment 2" xfId="204" xr:uid="{00000000-0005-0000-0000-0000D1000000}"/>
    <cellStyle name="_A01 Kali&amp;Salz Internal Pricing 20-12-06_APAC_Pricing" xfId="205" xr:uid="{00000000-0005-0000-0000-0000D2000000}"/>
    <cellStyle name="_A01 Kali&amp;Salz Internal Pricing 20-12-06_B03 Daimler Chrysler Internal pricing for Minimum Prices Service Prices SP3200SF" xfId="206" xr:uid="{00000000-0005-0000-0000-0000D3000000}"/>
    <cellStyle name="_A01 Kali&amp;Salz Internal Pricing 20-12-06_C01 Hannover Client Pricing 30-04-08" xfId="207" xr:uid="{00000000-0005-0000-0000-0000D4000000}"/>
    <cellStyle name="_A01 Kali&amp;Salz Internal Pricing 20-12-06_Kaeser Kompressoren pricing" xfId="208" xr:uid="{00000000-0005-0000-0000-0000D5000000}"/>
    <cellStyle name="_A01 Kali&amp;Salz Internal Pricing 20-12-06_Voestalpine  Pricing -RCN 090318 Helen's Amendment 2" xfId="209" xr:uid="{00000000-0005-0000-0000-0000D6000000}"/>
    <cellStyle name="_A01 Santander Internal Pricing" xfId="210" xr:uid="{00000000-0005-0000-0000-0000D7000000}"/>
    <cellStyle name="_A01 SAPPI Internal Pricing 03-05-07" xfId="211" xr:uid="{00000000-0005-0000-0000-0000D8000000}"/>
    <cellStyle name="_A01 SAPPI Internal Pricing 03-05-07_20070524 Oerlikon Price request Korea" xfId="212" xr:uid="{00000000-0005-0000-0000-0000D9000000}"/>
    <cellStyle name="_A01 SAPPI Internal Pricing 03-05-07_Oerlikon Information request" xfId="213" xr:uid="{00000000-0005-0000-0000-0000DA000000}"/>
    <cellStyle name="_A01 SAPPI Internal Pricing 03-05-07_Oerlikon Price request China_24.05.2007." xfId="214" xr:uid="{00000000-0005-0000-0000-0000DB000000}"/>
    <cellStyle name="_A01 SAPPI Internal Pricing 03-05-07_Oerlikon Price request India" xfId="215" xr:uid="{00000000-0005-0000-0000-0000DC000000}"/>
    <cellStyle name="_A01 SAPPI Internal Pricing 03-05-07_Oerlikon Price request Japan" xfId="216" xr:uid="{00000000-0005-0000-0000-0000DD000000}"/>
    <cellStyle name="_A01 Vattenfall Internal Pricing 21-03-07" xfId="217" xr:uid="{00000000-0005-0000-0000-0000DE000000}"/>
    <cellStyle name="_A01 Vattenfall Internal Pricing 21-03-07_~6728952" xfId="218" xr:uid="{00000000-0005-0000-0000-0000DF000000}"/>
    <cellStyle name="_A01 Vattenfall Internal Pricing 21-03-07_20090122_Voestalpine_Global Price List_China" xfId="219" xr:uid="{00000000-0005-0000-0000-0000E0000000}"/>
    <cellStyle name="_A01 Vattenfall Internal Pricing 21-03-07_20090123 Pricing for Voestalpine - JAPAN- V.2" xfId="220" xr:uid="{00000000-0005-0000-0000-0000E1000000}"/>
    <cellStyle name="_A01 Vattenfall Internal Pricing 21-03-07_20090203_Voestalpine_Global Price List (Korea)" xfId="221" xr:uid="{00000000-0005-0000-0000-0000E2000000}"/>
    <cellStyle name="_A01 Vattenfall Internal Pricing 21-03-07_20090326_Kaeser Kompressoren_Korea Price List" xfId="222" xr:uid="{00000000-0005-0000-0000-0000E3000000}"/>
    <cellStyle name="_A01 Vattenfall Internal Pricing 21-03-07_A01 Rohm Hass Internal Pricing 08-06-07" xfId="223" xr:uid="{00000000-0005-0000-0000-0000E4000000}"/>
    <cellStyle name="_A01 Vattenfall Internal Pricing 21-03-07_A01 Rohm Hass Internal Pricing 08-06-07_~6728952" xfId="224" xr:uid="{00000000-0005-0000-0000-0000E5000000}"/>
    <cellStyle name="_A01 Vattenfall Internal Pricing 21-03-07_A01 Rohm Hass Internal Pricing 08-06-07_20090122_Voestalpine_Global Price List_China" xfId="225" xr:uid="{00000000-0005-0000-0000-0000E6000000}"/>
    <cellStyle name="_A01 Vattenfall Internal Pricing 21-03-07_A01 Rohm Hass Internal Pricing 08-06-07_20090123 Pricing for Voestalpine - JAPAN- V.2" xfId="226" xr:uid="{00000000-0005-0000-0000-0000E7000000}"/>
    <cellStyle name="_A01 Vattenfall Internal Pricing 21-03-07_A01 Rohm Hass Internal Pricing 08-06-07_20090203_Voestalpine_Global Price List (Korea)" xfId="227" xr:uid="{00000000-0005-0000-0000-0000E8000000}"/>
    <cellStyle name="_A01 Vattenfall Internal Pricing 21-03-07_A01 Rohm Hass Internal Pricing 08-06-07_Voestalpine  Pricing -RCN 090318 Helen's Amendment 2" xfId="228" xr:uid="{00000000-0005-0000-0000-0000E9000000}"/>
    <cellStyle name="_A01 Vattenfall Internal Pricing 21-03-07_APAC_Pricing" xfId="229" xr:uid="{00000000-0005-0000-0000-0000EA000000}"/>
    <cellStyle name="_A01 Vattenfall Internal Pricing 21-03-07_B03 Daimler Chrysler Internal pricing for Minimum Prices Service Prices SP3200SF" xfId="230" xr:uid="{00000000-0005-0000-0000-0000EB000000}"/>
    <cellStyle name="_A01 Vattenfall Internal Pricing 21-03-07_C01 Hannover Client Pricing 30-04-08" xfId="231" xr:uid="{00000000-0005-0000-0000-0000EC000000}"/>
    <cellStyle name="_A01 Vattenfall Internal Pricing 21-03-07_Kaeser Kompressoren pricing" xfId="232" xr:uid="{00000000-0005-0000-0000-0000ED000000}"/>
    <cellStyle name="_A01 Vattenfall Internal Pricing 21-03-07_Voestalpine  Pricing -RCN 090318 Helen's Amendment 2" xfId="233" xr:uid="{00000000-0005-0000-0000-0000EE000000}"/>
    <cellStyle name="_A01 Voestalpine - Potential Information 15-01-09" xfId="234" xr:uid="{00000000-0005-0000-0000-0000EF000000}"/>
    <cellStyle name="_A01EggerInternalPricing09-02-07(2)" xfId="235" xr:uid="{00000000-0005-0000-0000-0000F0000000}"/>
    <cellStyle name="_A01EggerInternalPricing09-02-07(2)_~6728952" xfId="236" xr:uid="{00000000-0005-0000-0000-0000F1000000}"/>
    <cellStyle name="_A01EggerInternalPricing09-02-07(2)_20090122_Voestalpine_Global Price List_China" xfId="237" xr:uid="{00000000-0005-0000-0000-0000F2000000}"/>
    <cellStyle name="_A01EggerInternalPricing09-02-07(2)_20090123 Pricing for Voestalpine - JAPAN- V.2" xfId="238" xr:uid="{00000000-0005-0000-0000-0000F3000000}"/>
    <cellStyle name="_A01EggerInternalPricing09-02-07(2)_20090203_Voestalpine_Global Price List (Korea)" xfId="239" xr:uid="{00000000-0005-0000-0000-0000F4000000}"/>
    <cellStyle name="_A01EggerInternalPricing09-02-07(2)_Voestalpine  Pricing -RCN 090318 Helen's Amendment 2" xfId="240" xr:uid="{00000000-0005-0000-0000-0000F5000000}"/>
    <cellStyle name="_A02 BASF Internal Pricing 22-08-08" xfId="241" xr:uid="{00000000-0005-0000-0000-0000F6000000}"/>
    <cellStyle name="_A02 EON Minimum Pricing 18-05-07" xfId="242" xr:uid="{00000000-0005-0000-0000-0000F7000000}"/>
    <cellStyle name="_A02 EON Minimum Pricing 18-05-07_20070524 Oerlikon Price request Korea" xfId="243" xr:uid="{00000000-0005-0000-0000-0000F8000000}"/>
    <cellStyle name="_A02 EON Minimum Pricing 18-05-07_Oerlikon Information request" xfId="244" xr:uid="{00000000-0005-0000-0000-0000F9000000}"/>
    <cellStyle name="_A02 EON Minimum Pricing 18-05-07_Oerlikon Price request China_24.05.2007." xfId="245" xr:uid="{00000000-0005-0000-0000-0000FA000000}"/>
    <cellStyle name="_A02 EON Minimum Pricing 18-05-07_Oerlikon Price request India" xfId="246" xr:uid="{00000000-0005-0000-0000-0000FB000000}"/>
    <cellStyle name="_A02 EON Minimum Pricing 18-05-07_Oerlikon Price request Japan" xfId="247" xr:uid="{00000000-0005-0000-0000-0000FC000000}"/>
    <cellStyle name="_A02 Husky Client Prices 16-08-07" xfId="248" xr:uid="{00000000-0005-0000-0000-0000FD000000}"/>
    <cellStyle name="_A02 Husky Client Prices 16-08-07 2" xfId="1119" xr:uid="{00000000-0005-0000-0000-0000FE000000}"/>
    <cellStyle name="_A03 Daimler Chrysler Client Pricing 22-01-07" xfId="249" xr:uid="{00000000-0005-0000-0000-0000FF000000}"/>
    <cellStyle name="_A03 Daimler Chrysler Client Pricing 22-01-07_20090326_Kaeser Kompressoren_Korea Price List" xfId="250" xr:uid="{00000000-0005-0000-0000-000000010000}"/>
    <cellStyle name="_A03 Daimler Chrysler Client Pricing 22-01-07_A01 CSM Internal Pricing 13-01-09" xfId="251" xr:uid="{00000000-0005-0000-0000-000001010000}"/>
    <cellStyle name="_A03 Daimler Chrysler Client Pricing 22-01-07_A01 Rohm Hass Internal Pricing 08-06-07" xfId="252" xr:uid="{00000000-0005-0000-0000-000002010000}"/>
    <cellStyle name="_A03 Daimler Chrysler Client Pricing 22-01-07_A01 Rohm Hass Internal Pricing 08-06-07_~6728952" xfId="253" xr:uid="{00000000-0005-0000-0000-000003010000}"/>
    <cellStyle name="_A03 Daimler Chrysler Client Pricing 22-01-07_A01 Rohm Hass Internal Pricing 08-06-07_20090122_Voestalpine_Global Price List_China" xfId="254" xr:uid="{00000000-0005-0000-0000-000004010000}"/>
    <cellStyle name="_A03 Daimler Chrysler Client Pricing 22-01-07_A01 Rohm Hass Internal Pricing 08-06-07_20090123 Pricing for Voestalpine - JAPAN- V.2" xfId="255" xr:uid="{00000000-0005-0000-0000-000005010000}"/>
    <cellStyle name="_A03 Daimler Chrysler Client Pricing 22-01-07_A01 Rohm Hass Internal Pricing 08-06-07_20090203_Voestalpine_Global Price List (Korea)" xfId="256" xr:uid="{00000000-0005-0000-0000-000006010000}"/>
    <cellStyle name="_A03 Daimler Chrysler Client Pricing 22-01-07_A01 Rohm Hass Internal Pricing 08-06-07_Voestalpine  Pricing -RCN 090318 Helen's Amendment 2" xfId="257" xr:uid="{00000000-0005-0000-0000-000007010000}"/>
    <cellStyle name="_A03 Daimler Chrysler Client Pricing 22-01-07_APAC_Pricing" xfId="258" xr:uid="{00000000-0005-0000-0000-000008010000}"/>
    <cellStyle name="_A03 Daimler Chrysler Client Pricing 22-01-07_B01 Solvay Client Pricing 07-01-09" xfId="259" xr:uid="{00000000-0005-0000-0000-000009010000}"/>
    <cellStyle name="_A03 Daimler Chrysler Client Pricing 22-01-07_B01 Solvay Client Pricing 07-01-09_~6728952" xfId="260" xr:uid="{00000000-0005-0000-0000-00000A010000}"/>
    <cellStyle name="_A03 Daimler Chrysler Client Pricing 22-01-07_B01 Solvay Client Pricing 07-01-09_20090122_Voestalpine_Global Price List_China" xfId="261" xr:uid="{00000000-0005-0000-0000-00000B010000}"/>
    <cellStyle name="_A03 Daimler Chrysler Client Pricing 22-01-07_B01 Solvay Client Pricing 07-01-09_20090123 Pricing for Voestalpine - JAPAN- V.2" xfId="262" xr:uid="{00000000-0005-0000-0000-00000C010000}"/>
    <cellStyle name="_A03 Daimler Chrysler Client Pricing 22-01-07_B01 Solvay Client Pricing 07-01-09_20090203_Voestalpine_Global Price List (Korea)" xfId="263" xr:uid="{00000000-0005-0000-0000-00000D010000}"/>
    <cellStyle name="_A03 Daimler Chrysler Client Pricing 22-01-07_B01 Solvay Client Pricing 07-01-09_Voestalpine  Pricing -RCN 090318 Helen's Amendment 2" xfId="264" xr:uid="{00000000-0005-0000-0000-00000E010000}"/>
    <cellStyle name="_A03 Daimler Chrysler Client Pricing 22-01-07_B02 Voestalpine - Global Price List 13-03-09" xfId="265" xr:uid="{00000000-0005-0000-0000-00000F010000}"/>
    <cellStyle name="_A03 Daimler Chrysler Client Pricing 22-01-07_B03 Daimler Chrysler Internal pricing for Minimum Prices Service Prices SP3200SF" xfId="266" xr:uid="{00000000-0005-0000-0000-000010010000}"/>
    <cellStyle name="_A03 Daimler Chrysler Client Pricing 22-01-07_D02 Egger Client Prices 28-08-08" xfId="267" xr:uid="{00000000-0005-0000-0000-000011010000}"/>
    <cellStyle name="_A03 Daimler Chrysler Client Pricing 22-01-07_D02 Egger Client Prices 28-08-08_~6728952" xfId="268" xr:uid="{00000000-0005-0000-0000-000012010000}"/>
    <cellStyle name="_A03 Daimler Chrysler Client Pricing 22-01-07_D02 Egger Client Prices 28-08-08_20090122_Voestalpine_Global Price List_China" xfId="269" xr:uid="{00000000-0005-0000-0000-000013010000}"/>
    <cellStyle name="_A03 Daimler Chrysler Client Pricing 22-01-07_D02 Egger Client Prices 28-08-08_20090123 Pricing for Voestalpine - JAPAN- V.2" xfId="270" xr:uid="{00000000-0005-0000-0000-000014010000}"/>
    <cellStyle name="_A03 Daimler Chrysler Client Pricing 22-01-07_D02 Egger Client Prices 28-08-08_20090203_Voestalpine_Global Price List (Korea)" xfId="271" xr:uid="{00000000-0005-0000-0000-000015010000}"/>
    <cellStyle name="_A03 Daimler Chrysler Client Pricing 22-01-07_D02 Egger Client Prices 28-08-08_Voestalpine  Pricing -RCN 090318 Helen's Amendment 2" xfId="272" xr:uid="{00000000-0005-0000-0000-000016010000}"/>
    <cellStyle name="_A03 Daimler Chrysler Client Pricing 22-01-07_Kaeser Kompressoren pricing" xfId="273" xr:uid="{00000000-0005-0000-0000-000017010000}"/>
    <cellStyle name="_A04 Metro - Client Prices 22-09-06" xfId="274" xr:uid="{00000000-0005-0000-0000-000018010000}"/>
    <cellStyle name="_A04 Metro - Client Prices 22-09-06_20070524 Oerlikon Price request Korea" xfId="275" xr:uid="{00000000-0005-0000-0000-000019010000}"/>
    <cellStyle name="_A04 Metro - Client Prices 22-09-06_Oerlikon Information request" xfId="276" xr:uid="{00000000-0005-0000-0000-00001A010000}"/>
    <cellStyle name="_A04 Metro - Client Prices 22-09-06_Oerlikon Price request China_24.05.2007." xfId="277" xr:uid="{00000000-0005-0000-0000-00001B010000}"/>
    <cellStyle name="_A04 Metro - Client Prices 22-09-06_Oerlikon Price request India" xfId="278" xr:uid="{00000000-0005-0000-0000-00001C010000}"/>
    <cellStyle name="_A04 Metro - Client Prices 22-09-06_Oerlikon Price request Japan" xfId="279" xr:uid="{00000000-0005-0000-0000-00001D010000}"/>
    <cellStyle name="_A12 TRW - Client Prices 03-10-06 Update" xfId="280" xr:uid="{00000000-0005-0000-0000-00001E010000}"/>
    <cellStyle name="_A12 TRW - Client Prices 03-10-06 Update_~9355017" xfId="281" xr:uid="{00000000-0005-0000-0000-00001F010000}"/>
    <cellStyle name="_A12 TRW - Client Prices 03-10-06 Update_~9355017_20070524 Oerlikon Price request Korea" xfId="282" xr:uid="{00000000-0005-0000-0000-000020010000}"/>
    <cellStyle name="_A12 TRW - Client Prices 03-10-06 Update_~9355017_Oerlikon Information request" xfId="283" xr:uid="{00000000-0005-0000-0000-000021010000}"/>
    <cellStyle name="_A12 TRW - Client Prices 03-10-06 Update_~9355017_Oerlikon Price request China_24.05.2007." xfId="284" xr:uid="{00000000-0005-0000-0000-000022010000}"/>
    <cellStyle name="_A12 TRW - Client Prices 03-10-06 Update_~9355017_Oerlikon Price request India" xfId="285" xr:uid="{00000000-0005-0000-0000-000023010000}"/>
    <cellStyle name="_A12 TRW - Client Prices 03-10-06 Update_~9355017_Oerlikon Price request Japan" xfId="286" xr:uid="{00000000-0005-0000-0000-000024010000}"/>
    <cellStyle name="_A12 TRW - Client Prices 03-10-06 Update_20070524 Oerlikon Price request Korea" xfId="287" xr:uid="{00000000-0005-0000-0000-000025010000}"/>
    <cellStyle name="_A12 TRW - Client Prices 03-10-06 Update_Bayer_MPC4500_Benchmark for Japan " xfId="288" xr:uid="{00000000-0005-0000-0000-000026010000}"/>
    <cellStyle name="_A12 TRW - Client Prices 03-10-06 Update_Bayer_MPC4500_Benchmark for Japan _20070524 Oerlikon Price request Korea" xfId="289" xr:uid="{00000000-0005-0000-0000-000027010000}"/>
    <cellStyle name="_A12 TRW - Client Prices 03-10-06 Update_Bayer_MPC4500_Benchmark for Japan _Oerlikon Information request" xfId="290" xr:uid="{00000000-0005-0000-0000-000028010000}"/>
    <cellStyle name="_A12 TRW - Client Prices 03-10-06 Update_Bayer_MPC4500_Benchmark for Japan _Oerlikon Price request China_24.05.2007." xfId="291" xr:uid="{00000000-0005-0000-0000-000029010000}"/>
    <cellStyle name="_A12 TRW - Client Prices 03-10-06 Update_Bayer_MPC4500_Benchmark for Japan _Oerlikon Price request India" xfId="292" xr:uid="{00000000-0005-0000-0000-00002A010000}"/>
    <cellStyle name="_A12 TRW - Client Prices 03-10-06 Update_Bayer_MPC4500_Benchmark for Japan _Oerlikon Price request Japan" xfId="293" xr:uid="{00000000-0005-0000-0000-00002B010000}"/>
    <cellStyle name="_A12 TRW - Client Prices 03-10-06 Update_Oerlikon Information request" xfId="294" xr:uid="{00000000-0005-0000-0000-00002C010000}"/>
    <cellStyle name="_A12 TRW - Client Prices 03-10-06 Update_Oerlikon Price request China_24.05.2007." xfId="295" xr:uid="{00000000-0005-0000-0000-00002D010000}"/>
    <cellStyle name="_A12 TRW - Client Prices 03-10-06 Update_Oerlikon Price request India" xfId="296" xr:uid="{00000000-0005-0000-0000-00002E010000}"/>
    <cellStyle name="_A12 TRW - Client Prices 03-10-06 Update_Oerlikon Price request Japan" xfId="297" xr:uid="{00000000-0005-0000-0000-00002F010000}"/>
    <cellStyle name="_Air France - EMEA Benchmark Pricing 290607" xfId="298" xr:uid="{00000000-0005-0000-0000-000030010000}"/>
    <cellStyle name="_Air France - EMEA Benchmark Pricing 290607_~6728952" xfId="299" xr:uid="{00000000-0005-0000-0000-000031010000}"/>
    <cellStyle name="_Air France - EMEA Benchmark Pricing 290607_20090122_Voestalpine_Global Price List_China" xfId="300" xr:uid="{00000000-0005-0000-0000-000032010000}"/>
    <cellStyle name="_Air France - EMEA Benchmark Pricing 290607_20090123 Pricing for Voestalpine - JAPAN- V.2" xfId="301" xr:uid="{00000000-0005-0000-0000-000033010000}"/>
    <cellStyle name="_Air France - EMEA Benchmark Pricing 290607_20090203_Voestalpine_Global Price List (Korea)" xfId="302" xr:uid="{00000000-0005-0000-0000-000034010000}"/>
    <cellStyle name="_Air France - EMEA Benchmark Pricing 290607_Voestalpine  Pricing -RCN 090318 Helen's Amendment 2" xfId="303" xr:uid="{00000000-0005-0000-0000-000035010000}"/>
    <cellStyle name="_AIR France APAC Price20071004 " xfId="304" xr:uid="{00000000-0005-0000-0000-000036010000}"/>
    <cellStyle name="_Air France Channel selection - Americas" xfId="305" xr:uid="{00000000-0005-0000-0000-000037010000}"/>
    <cellStyle name="_Air France Channel selection - Americas_AIR France APAC Price " xfId="306" xr:uid="{00000000-0005-0000-0000-000038010000}"/>
    <cellStyle name="_Air France Channel selection - Americas_Air France Japan Price20070719" xfId="307" xr:uid="{00000000-0005-0000-0000-000039010000}"/>
    <cellStyle name="_Air France Channel selection - Americas_AirFrance Price " xfId="308" xr:uid="{00000000-0005-0000-0000-00003A010000}"/>
    <cellStyle name="_Air France Channel selection - APAC" xfId="309" xr:uid="{00000000-0005-0000-0000-00003B010000}"/>
    <cellStyle name="_Air France Channel selection - APAC_AIR France APAC Price " xfId="310" xr:uid="{00000000-0005-0000-0000-00003C010000}"/>
    <cellStyle name="_Air France Channel selection - APAC_Air France Japan Price20070719" xfId="311" xr:uid="{00000000-0005-0000-0000-00003D010000}"/>
    <cellStyle name="_Air France Channel selection - APAC_AirFrance Price " xfId="312" xr:uid="{00000000-0005-0000-0000-00003E010000}"/>
    <cellStyle name="_Alcoa_Benchmark 032107" xfId="313" xr:uid="{00000000-0005-0000-0000-00003F010000}"/>
    <cellStyle name="_Alcoa_Benchmark 032107_~6728952" xfId="314" xr:uid="{00000000-0005-0000-0000-000040010000}"/>
    <cellStyle name="_Alcoa_Benchmark 032107_20090122_Voestalpine_Global Price List_China" xfId="315" xr:uid="{00000000-0005-0000-0000-000041010000}"/>
    <cellStyle name="_Alcoa_Benchmark 032107_20090123 Pricing for Voestalpine - JAPAN- V.2" xfId="316" xr:uid="{00000000-0005-0000-0000-000042010000}"/>
    <cellStyle name="_Alcoa_Benchmark 032107_20090203_Voestalpine_Global Price List (Korea)" xfId="317" xr:uid="{00000000-0005-0000-0000-000043010000}"/>
    <cellStyle name="_Alcoa_Benchmark 032107_20090326_Kaeser Kompressoren_Korea Price List" xfId="318" xr:uid="{00000000-0005-0000-0000-000044010000}"/>
    <cellStyle name="_Alcoa_Benchmark 032107_A01 Rohm Hass Internal Pricing 08-06-07" xfId="319" xr:uid="{00000000-0005-0000-0000-000045010000}"/>
    <cellStyle name="_Alcoa_Benchmark 032107_A01 Rohm Hass Internal Pricing 08-06-07_~6728952" xfId="320" xr:uid="{00000000-0005-0000-0000-000046010000}"/>
    <cellStyle name="_Alcoa_Benchmark 032107_A01 Rohm Hass Internal Pricing 08-06-07_20090122_Voestalpine_Global Price List_China" xfId="321" xr:uid="{00000000-0005-0000-0000-000047010000}"/>
    <cellStyle name="_Alcoa_Benchmark 032107_A01 Rohm Hass Internal Pricing 08-06-07_20090123 Pricing for Voestalpine - JAPAN- V.2" xfId="322" xr:uid="{00000000-0005-0000-0000-000048010000}"/>
    <cellStyle name="_Alcoa_Benchmark 032107_A01 Rohm Hass Internal Pricing 08-06-07_20090203_Voestalpine_Global Price List (Korea)" xfId="323" xr:uid="{00000000-0005-0000-0000-000049010000}"/>
    <cellStyle name="_Alcoa_Benchmark 032107_A01 Rohm Hass Internal Pricing 08-06-07_Voestalpine  Pricing -RCN 090318 Helen's Amendment 2" xfId="324" xr:uid="{00000000-0005-0000-0000-00004A010000}"/>
    <cellStyle name="_Alcoa_Benchmark 032107_APAC_Pricing" xfId="325" xr:uid="{00000000-0005-0000-0000-00004B010000}"/>
    <cellStyle name="_Alcoa_Benchmark 032107_B03 Daimler Chrysler Internal pricing for Minimum Prices Service Prices SP3200SF" xfId="326" xr:uid="{00000000-0005-0000-0000-00004C010000}"/>
    <cellStyle name="_Alcoa_Benchmark 032107_C01 Hannover Client Pricing 30-04-08" xfId="327" xr:uid="{00000000-0005-0000-0000-00004D010000}"/>
    <cellStyle name="_Alcoa_Benchmark 032107_Kaeser Kompressoren pricing" xfId="328" xr:uid="{00000000-0005-0000-0000-00004E010000}"/>
    <cellStyle name="_Alcoa_Benchmark 032107_Voestalpine  Pricing -RCN 090318 Helen's Amendment 2" xfId="329" xr:uid="{00000000-0005-0000-0000-00004F010000}"/>
    <cellStyle name="_Alex-C1.5_Bulk_Update_Request_RGS" xfId="330" xr:uid="{00000000-0005-0000-0000-000050010000}"/>
    <cellStyle name="_Annex 3 - 01- Metro Group - Client Prices 31-10-06" xfId="331" xr:uid="{00000000-0005-0000-0000-000051010000}"/>
    <cellStyle name="_Annex 3 - 01- Metro Group - Client Prices 31-10-06 (3)(2)(1)" xfId="332" xr:uid="{00000000-0005-0000-0000-000052010000}"/>
    <cellStyle name="_AON RGSA_OAA TEMPLATE 11-27-07" xfId="333" xr:uid="{00000000-0005-0000-0000-000053010000}"/>
    <cellStyle name="_APAC_Pricing" xfId="334" xr:uid="{00000000-0005-0000-0000-000054010000}"/>
    <cellStyle name="_APAC_Toner_Prices" xfId="335" xr:uid="{00000000-0005-0000-0000-000055010000}"/>
    <cellStyle name="_APAC_Toner_Prices_~9355017" xfId="336" xr:uid="{00000000-0005-0000-0000-000056010000}"/>
    <cellStyle name="_APAC_Toner_Prices_~9355017_20070524 Oerlikon Price request Korea" xfId="337" xr:uid="{00000000-0005-0000-0000-000057010000}"/>
    <cellStyle name="_APAC_Toner_Prices_~9355017_Oerlikon Information request" xfId="338" xr:uid="{00000000-0005-0000-0000-000058010000}"/>
    <cellStyle name="_APAC_Toner_Prices_~9355017_Oerlikon Price request China_24.05.2007." xfId="339" xr:uid="{00000000-0005-0000-0000-000059010000}"/>
    <cellStyle name="_APAC_Toner_Prices_~9355017_Oerlikon Price request India" xfId="340" xr:uid="{00000000-0005-0000-0000-00005A010000}"/>
    <cellStyle name="_APAC_Toner_Prices_~9355017_Oerlikon Price request Japan" xfId="341" xr:uid="{00000000-0005-0000-0000-00005B010000}"/>
    <cellStyle name="_APAC_Toner_Prices_20070524 Oerlikon Price request Korea" xfId="342" xr:uid="{00000000-0005-0000-0000-00005C010000}"/>
    <cellStyle name="_APAC_Toner_Prices_Bayer_MPC4500_Benchmark for Japan " xfId="343" xr:uid="{00000000-0005-0000-0000-00005D010000}"/>
    <cellStyle name="_APAC_Toner_Prices_Bayer_MPC4500_Benchmark for Japan _20070524 Oerlikon Price request Korea" xfId="344" xr:uid="{00000000-0005-0000-0000-00005E010000}"/>
    <cellStyle name="_APAC_Toner_Prices_Bayer_MPC4500_Benchmark for Japan _Oerlikon Information request" xfId="345" xr:uid="{00000000-0005-0000-0000-00005F010000}"/>
    <cellStyle name="_APAC_Toner_Prices_Bayer_MPC4500_Benchmark for Japan _Oerlikon Price request China_24.05.2007." xfId="346" xr:uid="{00000000-0005-0000-0000-000060010000}"/>
    <cellStyle name="_APAC_Toner_Prices_Bayer_MPC4500_Benchmark for Japan _Oerlikon Price request India" xfId="347" xr:uid="{00000000-0005-0000-0000-000061010000}"/>
    <cellStyle name="_APAC_Toner_Prices_Bayer_MPC4500_Benchmark for Japan _Oerlikon Price request Japan" xfId="348" xr:uid="{00000000-0005-0000-0000-000062010000}"/>
    <cellStyle name="_APAC_Toner_Prices_Oerlikon Information request" xfId="349" xr:uid="{00000000-0005-0000-0000-000063010000}"/>
    <cellStyle name="_APAC_Toner_Prices_Oerlikon Price request China_24.05.2007." xfId="350" xr:uid="{00000000-0005-0000-0000-000064010000}"/>
    <cellStyle name="_APAC_Toner_Prices_Oerlikon Price request India" xfId="351" xr:uid="{00000000-0005-0000-0000-000065010000}"/>
    <cellStyle name="_APAC_Toner_Prices_Oerlikon Price request Japan" xfId="352" xr:uid="{00000000-0005-0000-0000-000066010000}"/>
    <cellStyle name="_APAC_Toner_Prices_Toner_Pricing_for_MFP's" xfId="353" xr:uid="{00000000-0005-0000-0000-000067010000}"/>
    <cellStyle name="_APAC_Toner_Prices_Toner_Pricing_for_MFP's_~9355017" xfId="354" xr:uid="{00000000-0005-0000-0000-000068010000}"/>
    <cellStyle name="_APAC_Toner_Prices_Toner_Pricing_for_MFP's_~9355017_20070524 Oerlikon Price request Korea" xfId="355" xr:uid="{00000000-0005-0000-0000-000069010000}"/>
    <cellStyle name="_APAC_Toner_Prices_Toner_Pricing_for_MFP's_~9355017_Oerlikon Information request" xfId="356" xr:uid="{00000000-0005-0000-0000-00006A010000}"/>
    <cellStyle name="_APAC_Toner_Prices_Toner_Pricing_for_MFP's_~9355017_Oerlikon Price request China_24.05.2007." xfId="357" xr:uid="{00000000-0005-0000-0000-00006B010000}"/>
    <cellStyle name="_APAC_Toner_Prices_Toner_Pricing_for_MFP's_~9355017_Oerlikon Price request India" xfId="358" xr:uid="{00000000-0005-0000-0000-00006C010000}"/>
    <cellStyle name="_APAC_Toner_Prices_Toner_Pricing_for_MFP's_~9355017_Oerlikon Price request Japan" xfId="359" xr:uid="{00000000-0005-0000-0000-00006D010000}"/>
    <cellStyle name="_APAC_Toner_Prices_Toner_Pricing_for_MFP's_20070524 Oerlikon Price request Korea" xfId="360" xr:uid="{00000000-0005-0000-0000-00006E010000}"/>
    <cellStyle name="_APAC_Toner_Prices_Toner_Pricing_for_MFP's_Bayer_MPC4500_Benchmark for Japan " xfId="361" xr:uid="{00000000-0005-0000-0000-00006F010000}"/>
    <cellStyle name="_APAC_Toner_Prices_Toner_Pricing_for_MFP's_Bayer_MPC4500_Benchmark for Japan _20070524 Oerlikon Price request Korea" xfId="362" xr:uid="{00000000-0005-0000-0000-000070010000}"/>
    <cellStyle name="_APAC_Toner_Prices_Toner_Pricing_for_MFP's_Bayer_MPC4500_Benchmark for Japan _Oerlikon Information request" xfId="363" xr:uid="{00000000-0005-0000-0000-000071010000}"/>
    <cellStyle name="_APAC_Toner_Prices_Toner_Pricing_for_MFP's_Bayer_MPC4500_Benchmark for Japan _Oerlikon Price request China_24.05.2007." xfId="364" xr:uid="{00000000-0005-0000-0000-000072010000}"/>
    <cellStyle name="_APAC_Toner_Prices_Toner_Pricing_for_MFP's_Bayer_MPC4500_Benchmark for Japan _Oerlikon Price request India" xfId="365" xr:uid="{00000000-0005-0000-0000-000073010000}"/>
    <cellStyle name="_APAC_Toner_Prices_Toner_Pricing_for_MFP's_Bayer_MPC4500_Benchmark for Japan _Oerlikon Price request Japan" xfId="366" xr:uid="{00000000-0005-0000-0000-000074010000}"/>
    <cellStyle name="_APAC_Toner_Prices_Toner_Pricing_for_MFP's_Oerlikon Information request" xfId="367" xr:uid="{00000000-0005-0000-0000-000075010000}"/>
    <cellStyle name="_APAC_Toner_Prices_Toner_Pricing_for_MFP's_Oerlikon Price request China_24.05.2007." xfId="368" xr:uid="{00000000-0005-0000-0000-000076010000}"/>
    <cellStyle name="_APAC_Toner_Prices_Toner_Pricing_for_MFP's_Oerlikon Price request India" xfId="369" xr:uid="{00000000-0005-0000-0000-000077010000}"/>
    <cellStyle name="_APAC_Toner_Prices_Toner_Pricing_for_MFP's_Oerlikon Price request Japan" xfId="370" xr:uid="{00000000-0005-0000-0000-000078010000}"/>
    <cellStyle name="_B01 Egger Internal Pricing 03-05-07" xfId="371" xr:uid="{00000000-0005-0000-0000-000079010000}"/>
    <cellStyle name="_B01 Michelin Internal Pricing 13-05-09" xfId="372" xr:uid="{00000000-0005-0000-0000-00007A010000}"/>
    <cellStyle name="_B01 Solvay Client Pricing 07-01-09" xfId="373" xr:uid="{00000000-0005-0000-0000-00007B010000}"/>
    <cellStyle name="_B01 Solvay Client Pricing 07-01-09_~6728952" xfId="374" xr:uid="{00000000-0005-0000-0000-00007C010000}"/>
    <cellStyle name="_B01 Solvay Client Pricing 07-01-09_20090122_Voestalpine_Global Price List_China" xfId="375" xr:uid="{00000000-0005-0000-0000-00007D010000}"/>
    <cellStyle name="_B01 Solvay Client Pricing 07-01-09_20090123 Pricing for Voestalpine - JAPAN- V.2" xfId="376" xr:uid="{00000000-0005-0000-0000-00007E010000}"/>
    <cellStyle name="_B01 Solvay Client Pricing 07-01-09_20090203_Voestalpine_Global Price List (Korea)" xfId="377" xr:uid="{00000000-0005-0000-0000-00007F010000}"/>
    <cellStyle name="_B01 Solvay Client Pricing 07-01-09_Voestalpine  Pricing -RCN 090318 Helen's Amendment 2" xfId="378" xr:uid="{00000000-0005-0000-0000-000080010000}"/>
    <cellStyle name="_B02 Daimler Chrysler Internal pricing for Minimum Prices" xfId="379" xr:uid="{00000000-0005-0000-0000-000081010000}"/>
    <cellStyle name="_B02 Daimler Chrysler Internal pricing for Minimum Prices_~6728952" xfId="380" xr:uid="{00000000-0005-0000-0000-000082010000}"/>
    <cellStyle name="_B02 Daimler Chrysler Internal pricing for Minimum Prices_20090122_Voestalpine_Global Price List_China" xfId="381" xr:uid="{00000000-0005-0000-0000-000083010000}"/>
    <cellStyle name="_B02 Daimler Chrysler Internal pricing for Minimum Prices_20090123 Pricing for Voestalpine - JAPAN- V.2" xfId="382" xr:uid="{00000000-0005-0000-0000-000084010000}"/>
    <cellStyle name="_B02 Daimler Chrysler Internal pricing for Minimum Prices_20090203_Voestalpine_Global Price List (Korea)" xfId="383" xr:uid="{00000000-0005-0000-0000-000085010000}"/>
    <cellStyle name="_B02 Daimler Chrysler Internal pricing for Minimum Prices_Voestalpine  Pricing -RCN 090318 Helen's Amendment 2" xfId="384" xr:uid="{00000000-0005-0000-0000-000086010000}"/>
    <cellStyle name="_B02 DPWN - Internal Pricing 26-09-06 All" xfId="385" xr:uid="{00000000-0005-0000-0000-000087010000}"/>
    <cellStyle name="_B02 DPWN - Internal Pricing 26-09-06 All_~9355017" xfId="386" xr:uid="{00000000-0005-0000-0000-000088010000}"/>
    <cellStyle name="_B02 DPWN - Internal Pricing 26-09-06 All_~9355017_20070524 Oerlikon Price request Korea" xfId="387" xr:uid="{00000000-0005-0000-0000-000089010000}"/>
    <cellStyle name="_B02 DPWN - Internal Pricing 26-09-06 All_~9355017_Oerlikon Information request" xfId="388" xr:uid="{00000000-0005-0000-0000-00008A010000}"/>
    <cellStyle name="_B02 DPWN - Internal Pricing 26-09-06 All_~9355017_Oerlikon Price request China_24.05.2007." xfId="389" xr:uid="{00000000-0005-0000-0000-00008B010000}"/>
    <cellStyle name="_B02 DPWN - Internal Pricing 26-09-06 All_~9355017_Oerlikon Price request India" xfId="390" xr:uid="{00000000-0005-0000-0000-00008C010000}"/>
    <cellStyle name="_B02 DPWN - Internal Pricing 26-09-06 All_~9355017_Oerlikon Price request Japan" xfId="391" xr:uid="{00000000-0005-0000-0000-00008D010000}"/>
    <cellStyle name="_B02 DPWN - Internal Pricing 26-09-06 All_20070524 Oerlikon Price request Korea" xfId="392" xr:uid="{00000000-0005-0000-0000-00008E010000}"/>
    <cellStyle name="_B02 DPWN - Internal Pricing 26-09-06 All_Bayer_MPC4500_Benchmark for Japan " xfId="393" xr:uid="{00000000-0005-0000-0000-00008F010000}"/>
    <cellStyle name="_B02 DPWN - Internal Pricing 26-09-06 All_Bayer_MPC4500_Benchmark for Japan _20070524 Oerlikon Price request Korea" xfId="394" xr:uid="{00000000-0005-0000-0000-000090010000}"/>
    <cellStyle name="_B02 DPWN - Internal Pricing 26-09-06 All_Bayer_MPC4500_Benchmark for Japan _Oerlikon Information request" xfId="395" xr:uid="{00000000-0005-0000-0000-000091010000}"/>
    <cellStyle name="_B02 DPWN - Internal Pricing 26-09-06 All_Bayer_MPC4500_Benchmark for Japan _Oerlikon Price request China_24.05.2007." xfId="396" xr:uid="{00000000-0005-0000-0000-000092010000}"/>
    <cellStyle name="_B02 DPWN - Internal Pricing 26-09-06 All_Bayer_MPC4500_Benchmark for Japan _Oerlikon Price request India" xfId="397" xr:uid="{00000000-0005-0000-0000-000093010000}"/>
    <cellStyle name="_B02 DPWN - Internal Pricing 26-09-06 All_Bayer_MPC4500_Benchmark for Japan _Oerlikon Price request Japan" xfId="398" xr:uid="{00000000-0005-0000-0000-000094010000}"/>
    <cellStyle name="_B02 DPWN - Internal Pricing 26-09-06 All_Oerlikon Information request" xfId="399" xr:uid="{00000000-0005-0000-0000-000095010000}"/>
    <cellStyle name="_B02 DPWN - Internal Pricing 26-09-06 All_Oerlikon Price request China_24.05.2007." xfId="400" xr:uid="{00000000-0005-0000-0000-000096010000}"/>
    <cellStyle name="_B02 DPWN - Internal Pricing 26-09-06 All_Oerlikon Price request India" xfId="401" xr:uid="{00000000-0005-0000-0000-000097010000}"/>
    <cellStyle name="_B02 DPWN - Internal Pricing 26-09-06 All_Oerlikon Price request Japan" xfId="402" xr:uid="{00000000-0005-0000-0000-000098010000}"/>
    <cellStyle name="_B02 DPWN - Internal Pricing 26-09-06 All_Toner_Pricing_for_MFP's" xfId="403" xr:uid="{00000000-0005-0000-0000-000099010000}"/>
    <cellStyle name="_B02 DPWN - Internal Pricing 26-09-06 All_Toner_Pricing_for_MFP's_~9355017" xfId="404" xr:uid="{00000000-0005-0000-0000-00009A010000}"/>
    <cellStyle name="_B02 DPWN - Internal Pricing 26-09-06 All_Toner_Pricing_for_MFP's_~9355017_20070524 Oerlikon Price request Korea" xfId="405" xr:uid="{00000000-0005-0000-0000-00009B010000}"/>
    <cellStyle name="_B02 DPWN - Internal Pricing 26-09-06 All_Toner_Pricing_for_MFP's_~9355017_Oerlikon Information request" xfId="406" xr:uid="{00000000-0005-0000-0000-00009C010000}"/>
    <cellStyle name="_B02 DPWN - Internal Pricing 26-09-06 All_Toner_Pricing_for_MFP's_~9355017_Oerlikon Price request China_24.05.2007." xfId="407" xr:uid="{00000000-0005-0000-0000-00009D010000}"/>
    <cellStyle name="_B02 DPWN - Internal Pricing 26-09-06 All_Toner_Pricing_for_MFP's_~9355017_Oerlikon Price request India" xfId="408" xr:uid="{00000000-0005-0000-0000-00009E010000}"/>
    <cellStyle name="_B02 DPWN - Internal Pricing 26-09-06 All_Toner_Pricing_for_MFP's_~9355017_Oerlikon Price request Japan" xfId="409" xr:uid="{00000000-0005-0000-0000-00009F010000}"/>
    <cellStyle name="_B02 DPWN - Internal Pricing 26-09-06 All_Toner_Pricing_for_MFP's_20070524 Oerlikon Price request Korea" xfId="410" xr:uid="{00000000-0005-0000-0000-0000A0010000}"/>
    <cellStyle name="_B02 DPWN - Internal Pricing 26-09-06 All_Toner_Pricing_for_MFP's_Bayer_MPC4500_Benchmark for Japan " xfId="411" xr:uid="{00000000-0005-0000-0000-0000A1010000}"/>
    <cellStyle name="_B02 DPWN - Internal Pricing 26-09-06 All_Toner_Pricing_for_MFP's_Bayer_MPC4500_Benchmark for Japan _20070524 Oerlikon Price request Korea" xfId="412" xr:uid="{00000000-0005-0000-0000-0000A2010000}"/>
    <cellStyle name="_B02 DPWN - Internal Pricing 26-09-06 All_Toner_Pricing_for_MFP's_Bayer_MPC4500_Benchmark for Japan _Oerlikon Information request" xfId="413" xr:uid="{00000000-0005-0000-0000-0000A3010000}"/>
    <cellStyle name="_B02 DPWN - Internal Pricing 26-09-06 All_Toner_Pricing_for_MFP's_Bayer_MPC4500_Benchmark for Japan _Oerlikon Price request China_24.05.2007." xfId="414" xr:uid="{00000000-0005-0000-0000-0000A4010000}"/>
    <cellStyle name="_B02 DPWN - Internal Pricing 26-09-06 All_Toner_Pricing_for_MFP's_Bayer_MPC4500_Benchmark for Japan _Oerlikon Price request India" xfId="415" xr:uid="{00000000-0005-0000-0000-0000A5010000}"/>
    <cellStyle name="_B02 DPWN - Internal Pricing 26-09-06 All_Toner_Pricing_for_MFP's_Bayer_MPC4500_Benchmark for Japan _Oerlikon Price request Japan" xfId="416" xr:uid="{00000000-0005-0000-0000-0000A6010000}"/>
    <cellStyle name="_B02 DPWN - Internal Pricing 26-09-06 All_Toner_Pricing_for_MFP's_Oerlikon Information request" xfId="417" xr:uid="{00000000-0005-0000-0000-0000A7010000}"/>
    <cellStyle name="_B02 DPWN - Internal Pricing 26-09-06 All_Toner_Pricing_for_MFP's_Oerlikon Price request China_24.05.2007." xfId="418" xr:uid="{00000000-0005-0000-0000-0000A8010000}"/>
    <cellStyle name="_B02 DPWN - Internal Pricing 26-09-06 All_Toner_Pricing_for_MFP's_Oerlikon Price request India" xfId="419" xr:uid="{00000000-0005-0000-0000-0000A9010000}"/>
    <cellStyle name="_B02 DPWN - Internal Pricing 26-09-06 All_Toner_Pricing_for_MFP's_Oerlikon Price request Japan" xfId="420" xr:uid="{00000000-0005-0000-0000-0000AA010000}"/>
    <cellStyle name="_B02 EDF Basic Price Structure 010507" xfId="421" xr:uid="{00000000-0005-0000-0000-0000AB010000}"/>
    <cellStyle name="_B02 EDF Basic Price Structure 010507_20090326_Kaeser Kompressoren_Korea Price List" xfId="422" xr:uid="{00000000-0005-0000-0000-0000AC010000}"/>
    <cellStyle name="_B02 EDF Basic Price Structure 010507_A01 CSM Internal Pricing 13-01-09" xfId="423" xr:uid="{00000000-0005-0000-0000-0000AD010000}"/>
    <cellStyle name="_B02 EDF Basic Price Structure 010507_A01 Rohm Hass Internal Pricing 08-06-07" xfId="424" xr:uid="{00000000-0005-0000-0000-0000AE010000}"/>
    <cellStyle name="_B02 EDF Basic Price Structure 010507_A01 Rohm Hass Internal Pricing 08-06-07_~6728952" xfId="425" xr:uid="{00000000-0005-0000-0000-0000AF010000}"/>
    <cellStyle name="_B02 EDF Basic Price Structure 010507_A01 Rohm Hass Internal Pricing 08-06-07_20090122_Voestalpine_Global Price List_China" xfId="426" xr:uid="{00000000-0005-0000-0000-0000B0010000}"/>
    <cellStyle name="_B02 EDF Basic Price Structure 010507_A01 Rohm Hass Internal Pricing 08-06-07_20090123 Pricing for Voestalpine - JAPAN- V.2" xfId="427" xr:uid="{00000000-0005-0000-0000-0000B1010000}"/>
    <cellStyle name="_B02 EDF Basic Price Structure 010507_A01 Rohm Hass Internal Pricing 08-06-07_20090203_Voestalpine_Global Price List (Korea)" xfId="428" xr:uid="{00000000-0005-0000-0000-0000B2010000}"/>
    <cellStyle name="_B02 EDF Basic Price Structure 010507_A01 Rohm Hass Internal Pricing 08-06-07_Voestalpine  Pricing -RCN 090318 Helen's Amendment 2" xfId="429" xr:uid="{00000000-0005-0000-0000-0000B3010000}"/>
    <cellStyle name="_B02 EDF Basic Price Structure 010507_APAC_Pricing" xfId="430" xr:uid="{00000000-0005-0000-0000-0000B4010000}"/>
    <cellStyle name="_B02 EDF Basic Price Structure 010507_B01 Solvay Client Pricing 07-01-09" xfId="431" xr:uid="{00000000-0005-0000-0000-0000B5010000}"/>
    <cellStyle name="_B02 EDF Basic Price Structure 010507_B01 Solvay Client Pricing 07-01-09_~6728952" xfId="432" xr:uid="{00000000-0005-0000-0000-0000B6010000}"/>
    <cellStyle name="_B02 EDF Basic Price Structure 010507_B01 Solvay Client Pricing 07-01-09_20090122_Voestalpine_Global Price List_China" xfId="433" xr:uid="{00000000-0005-0000-0000-0000B7010000}"/>
    <cellStyle name="_B02 EDF Basic Price Structure 010507_B01 Solvay Client Pricing 07-01-09_20090123 Pricing for Voestalpine - JAPAN- V.2" xfId="434" xr:uid="{00000000-0005-0000-0000-0000B8010000}"/>
    <cellStyle name="_B02 EDF Basic Price Structure 010507_B01 Solvay Client Pricing 07-01-09_20090203_Voestalpine_Global Price List (Korea)" xfId="435" xr:uid="{00000000-0005-0000-0000-0000B9010000}"/>
    <cellStyle name="_B02 EDF Basic Price Structure 010507_B01 Solvay Client Pricing 07-01-09_Voestalpine  Pricing -RCN 090318 Helen's Amendment 2" xfId="436" xr:uid="{00000000-0005-0000-0000-0000BA010000}"/>
    <cellStyle name="_B02 EDF Basic Price Structure 010507_B02 Voestalpine - Global Price List 13-03-09" xfId="437" xr:uid="{00000000-0005-0000-0000-0000BB010000}"/>
    <cellStyle name="_B02 EDF Basic Price Structure 010507_B03 Daimler Chrysler Internal pricing for Minimum Prices Service Prices SP3200SF" xfId="438" xr:uid="{00000000-0005-0000-0000-0000BC010000}"/>
    <cellStyle name="_B02 EDF Basic Price Structure 010507_D02 Egger Client Prices 28-08-08" xfId="439" xr:uid="{00000000-0005-0000-0000-0000BD010000}"/>
    <cellStyle name="_B02 EDF Basic Price Structure 010507_D02 Egger Client Prices 28-08-08_~6728952" xfId="440" xr:uid="{00000000-0005-0000-0000-0000BE010000}"/>
    <cellStyle name="_B02 EDF Basic Price Structure 010507_D02 Egger Client Prices 28-08-08_20090122_Voestalpine_Global Price List_China" xfId="441" xr:uid="{00000000-0005-0000-0000-0000BF010000}"/>
    <cellStyle name="_B02 EDF Basic Price Structure 010507_D02 Egger Client Prices 28-08-08_20090123 Pricing for Voestalpine - JAPAN- V.2" xfId="442" xr:uid="{00000000-0005-0000-0000-0000C0010000}"/>
    <cellStyle name="_B02 EDF Basic Price Structure 010507_D02 Egger Client Prices 28-08-08_20090203_Voestalpine_Global Price List (Korea)" xfId="443" xr:uid="{00000000-0005-0000-0000-0000C1010000}"/>
    <cellStyle name="_B02 EDF Basic Price Structure 010507_D02 Egger Client Prices 28-08-08_Voestalpine  Pricing -RCN 090318 Helen's Amendment 2" xfId="444" xr:uid="{00000000-0005-0000-0000-0000C2010000}"/>
    <cellStyle name="_B02 EDF Basic Price Structure 010507_Kaeser Kompressoren pricing" xfId="445" xr:uid="{00000000-0005-0000-0000-0000C3010000}"/>
    <cellStyle name="_Benchmark Pricing Daimler_NRG Germany_21-12-07" xfId="446" xr:uid="{00000000-0005-0000-0000-0000C4010000}"/>
    <cellStyle name="_BNPP Internal Pricing" xfId="447" xr:uid="{00000000-0005-0000-0000-0000C5010000}"/>
    <cellStyle name="_BNPP Internal Pricing_~6728952" xfId="448" xr:uid="{00000000-0005-0000-0000-0000C6010000}"/>
    <cellStyle name="_BNPP Internal Pricing_AIR France APAC Price20071004 " xfId="449" xr:uid="{00000000-0005-0000-0000-0000C7010000}"/>
    <cellStyle name="_BNPP Internal Pricing_Voestalpine  Pricing -RCN 090318 Helen's Amendment 2" xfId="450" xr:uid="{00000000-0005-0000-0000-0000C8010000}"/>
    <cellStyle name="_BNPP Service Price validation - 181006" xfId="451" xr:uid="{00000000-0005-0000-0000-0000C9010000}"/>
    <cellStyle name="_Book1" xfId="452" xr:uid="{00000000-0005-0000-0000-0000CA010000}"/>
    <cellStyle name="_Book1_20090326_Kaeser Kompressoren_Korea Price List" xfId="453" xr:uid="{00000000-0005-0000-0000-0000CB010000}"/>
    <cellStyle name="_Book1_A01 CSM Internal Pricing 13-01-09" xfId="454" xr:uid="{00000000-0005-0000-0000-0000CC010000}"/>
    <cellStyle name="_Book1_A01 Egger Client Prices 28-02-07" xfId="455" xr:uid="{00000000-0005-0000-0000-0000CD010000}"/>
    <cellStyle name="_Book1_A01 Rohm Hass Internal Pricing 08-06-07" xfId="456" xr:uid="{00000000-0005-0000-0000-0000CE010000}"/>
    <cellStyle name="_Book1_A01 Rohm Hass Internal Pricing 08-06-07_~6728952" xfId="457" xr:uid="{00000000-0005-0000-0000-0000CF010000}"/>
    <cellStyle name="_Book1_A01 Rohm Hass Internal Pricing 08-06-07_20090122_Voestalpine_Global Price List_China" xfId="458" xr:uid="{00000000-0005-0000-0000-0000D0010000}"/>
    <cellStyle name="_Book1_A01 Rohm Hass Internal Pricing 08-06-07_20090123 Pricing for Voestalpine - JAPAN- V.2" xfId="459" xr:uid="{00000000-0005-0000-0000-0000D1010000}"/>
    <cellStyle name="_Book1_A01 Rohm Hass Internal Pricing 08-06-07_20090203_Voestalpine_Global Price List (Korea)" xfId="460" xr:uid="{00000000-0005-0000-0000-0000D2010000}"/>
    <cellStyle name="_Book1_A01 Rohm Hass Internal Pricing 08-06-07_Voestalpine  Pricing -RCN 090318 Helen's Amendment 2" xfId="461" xr:uid="{00000000-0005-0000-0000-0000D3010000}"/>
    <cellStyle name="_Book1_A01EggerInternalPricing09-02-07(2)" xfId="462" xr:uid="{00000000-0005-0000-0000-0000D4010000}"/>
    <cellStyle name="_Book1_APAC_Pricing" xfId="463" xr:uid="{00000000-0005-0000-0000-0000D5010000}"/>
    <cellStyle name="_Book1_B01 Solvay Client Pricing 07-01-09" xfId="464" xr:uid="{00000000-0005-0000-0000-0000D6010000}"/>
    <cellStyle name="_Book1_B01 Solvay Client Pricing 07-01-09_~6728952" xfId="465" xr:uid="{00000000-0005-0000-0000-0000D7010000}"/>
    <cellStyle name="_Book1_B01 Solvay Client Pricing 07-01-09_20090122_Voestalpine_Global Price List_China" xfId="466" xr:uid="{00000000-0005-0000-0000-0000D8010000}"/>
    <cellStyle name="_Book1_B01 Solvay Client Pricing 07-01-09_20090123 Pricing for Voestalpine - JAPAN- V.2" xfId="467" xr:uid="{00000000-0005-0000-0000-0000D9010000}"/>
    <cellStyle name="_Book1_B01 Solvay Client Pricing 07-01-09_20090203_Voestalpine_Global Price List (Korea)" xfId="468" xr:uid="{00000000-0005-0000-0000-0000DA010000}"/>
    <cellStyle name="_Book1_B01 Solvay Client Pricing 07-01-09_Voestalpine  Pricing -RCN 090318 Helen's Amendment 2" xfId="469" xr:uid="{00000000-0005-0000-0000-0000DB010000}"/>
    <cellStyle name="_Book1_B02 EDF Basic Price Structure 010507" xfId="470" xr:uid="{00000000-0005-0000-0000-0000DC010000}"/>
    <cellStyle name="_Book1_B02 EDF Basic Price Structure 010507_20070524 Oerlikon Price request Korea" xfId="471" xr:uid="{00000000-0005-0000-0000-0000DD010000}"/>
    <cellStyle name="_Book1_B02 EDF Basic Price Structure 010507_Oerlikon Information request" xfId="472" xr:uid="{00000000-0005-0000-0000-0000DE010000}"/>
    <cellStyle name="_Book1_B02 EDF Basic Price Structure 010507_Oerlikon Price request China_24.05.2007." xfId="473" xr:uid="{00000000-0005-0000-0000-0000DF010000}"/>
    <cellStyle name="_Book1_B02 EDF Basic Price Structure 010507_Oerlikon Price request India" xfId="474" xr:uid="{00000000-0005-0000-0000-0000E0010000}"/>
    <cellStyle name="_Book1_B02 EDF Basic Price Structure 010507_Oerlikon Price request Japan" xfId="475" xr:uid="{00000000-0005-0000-0000-0000E1010000}"/>
    <cellStyle name="_Book1_B02 Voestalpine - Global Price List 13-03-09" xfId="476" xr:uid="{00000000-0005-0000-0000-0000E2010000}"/>
    <cellStyle name="_Book1_B03 Daimler Chrysler Internal pricing for Minimum Prices Service Prices SP3200SF" xfId="477" xr:uid="{00000000-0005-0000-0000-0000E3010000}"/>
    <cellStyle name="_Book1_C02 EDF Client Pricing 18-10-07" xfId="478" xr:uid="{00000000-0005-0000-0000-0000E4010000}"/>
    <cellStyle name="_Book1_D02 Egger Client Prices 28-08-08" xfId="479" xr:uid="{00000000-0005-0000-0000-0000E5010000}"/>
    <cellStyle name="_Book1_D02 Egger Client Prices 28-08-08_~6728952" xfId="480" xr:uid="{00000000-0005-0000-0000-0000E6010000}"/>
    <cellStyle name="_Book1_D02 Egger Client Prices 28-08-08_20090122_Voestalpine_Global Price List_China" xfId="481" xr:uid="{00000000-0005-0000-0000-0000E7010000}"/>
    <cellStyle name="_Book1_D02 Egger Client Prices 28-08-08_20090123 Pricing for Voestalpine - JAPAN- V.2" xfId="482" xr:uid="{00000000-0005-0000-0000-0000E8010000}"/>
    <cellStyle name="_Book1_D02 Egger Client Prices 28-08-08_20090203_Voestalpine_Global Price List (Korea)" xfId="483" xr:uid="{00000000-0005-0000-0000-0000E9010000}"/>
    <cellStyle name="_Book1_D02 Egger Client Prices 28-08-08_Voestalpine  Pricing -RCN 090318 Helen's Amendment 2" xfId="484" xr:uid="{00000000-0005-0000-0000-0000EA010000}"/>
    <cellStyle name="_Book1_D02 Metro Client Pricing 11-07-08" xfId="485" xr:uid="{00000000-0005-0000-0000-0000EB010000}"/>
    <cellStyle name="_Book1_Kaeser Kompressoren pricing" xfId="486" xr:uid="{00000000-0005-0000-0000-0000EC010000}"/>
    <cellStyle name="_Book2" xfId="487" xr:uid="{00000000-0005-0000-0000-0000ED010000}"/>
    <cellStyle name="_C01 Michelin - Internal Pricing 19-08-09 Additional Options" xfId="488" xr:uid="{00000000-0005-0000-0000-0000EE010000}"/>
    <cellStyle name="_C01 Regus Internal Pricing 04-05-07" xfId="489" xr:uid="{00000000-0005-0000-0000-0000EF010000}"/>
    <cellStyle name="_C02 Michelin Internal Pricing 13-05-09 V2" xfId="490" xr:uid="{00000000-0005-0000-0000-0000F0010000}"/>
    <cellStyle name="_Column1" xfId="491" xr:uid="{00000000-0005-0000-0000-0000F1010000}"/>
    <cellStyle name="_Column1_~4630324" xfId="492" xr:uid="{00000000-0005-0000-0000-0000F2010000}"/>
    <cellStyle name="_Column1_~4630324 2" xfId="1120" xr:uid="{00000000-0005-0000-0000-0000F3010000}"/>
    <cellStyle name="_Column1_~4630324_20070524 Oerlikon Price request Korea" xfId="493" xr:uid="{00000000-0005-0000-0000-0000F4010000}"/>
    <cellStyle name="_Column1_~4630324_20070524 Oerlikon Price request Korea 2" xfId="1121" xr:uid="{00000000-0005-0000-0000-0000F5010000}"/>
    <cellStyle name="_Column1_~4630324_Oerlikon Information request" xfId="494" xr:uid="{00000000-0005-0000-0000-0000F6010000}"/>
    <cellStyle name="_Column1_~4630324_Oerlikon Information request 2" xfId="1122" xr:uid="{00000000-0005-0000-0000-0000F7010000}"/>
    <cellStyle name="_Column1_~4630324_Oerlikon Price request China_24.05.2007." xfId="495" xr:uid="{00000000-0005-0000-0000-0000F8010000}"/>
    <cellStyle name="_Column1_~4630324_Oerlikon Price request China_24.05.2007. 2" xfId="1123" xr:uid="{00000000-0005-0000-0000-0000F9010000}"/>
    <cellStyle name="_Column1_~4630324_Oerlikon Price request India" xfId="496" xr:uid="{00000000-0005-0000-0000-0000FA010000}"/>
    <cellStyle name="_Column1_~4630324_Oerlikon Price request India 2" xfId="1124" xr:uid="{00000000-0005-0000-0000-0000FB010000}"/>
    <cellStyle name="_Column1_~4630324_Oerlikon Price request Japan" xfId="497" xr:uid="{00000000-0005-0000-0000-0000FC010000}"/>
    <cellStyle name="_Column1_~4630324_Oerlikon Price request Japan 2" xfId="1125" xr:uid="{00000000-0005-0000-0000-0000FD010000}"/>
    <cellStyle name="_Column1_~5614744" xfId="498" xr:uid="{00000000-0005-0000-0000-0000FE010000}"/>
    <cellStyle name="_Column1_~5614744 2" xfId="1126" xr:uid="{00000000-0005-0000-0000-0000FF010000}"/>
    <cellStyle name="_Column1_~5614744_~9355017" xfId="499" xr:uid="{00000000-0005-0000-0000-000000020000}"/>
    <cellStyle name="_Column1_~5614744_~9355017 2" xfId="1127" xr:uid="{00000000-0005-0000-0000-000001020000}"/>
    <cellStyle name="_Column1_~5614744_~9355017_20070524 Oerlikon Price request Korea" xfId="500" xr:uid="{00000000-0005-0000-0000-000002020000}"/>
    <cellStyle name="_Column1_~5614744_~9355017_20070524 Oerlikon Price request Korea 2" xfId="1128" xr:uid="{00000000-0005-0000-0000-000003020000}"/>
    <cellStyle name="_Column1_~5614744_~9355017_Oerlikon Information request" xfId="501" xr:uid="{00000000-0005-0000-0000-000004020000}"/>
    <cellStyle name="_Column1_~5614744_~9355017_Oerlikon Information request 2" xfId="1129" xr:uid="{00000000-0005-0000-0000-000005020000}"/>
    <cellStyle name="_Column1_~5614744_~9355017_Oerlikon Price request China_24.05.2007." xfId="502" xr:uid="{00000000-0005-0000-0000-000006020000}"/>
    <cellStyle name="_Column1_~5614744_~9355017_Oerlikon Price request China_24.05.2007. 2" xfId="1130" xr:uid="{00000000-0005-0000-0000-000007020000}"/>
    <cellStyle name="_Column1_~5614744_~9355017_Oerlikon Price request India" xfId="503" xr:uid="{00000000-0005-0000-0000-000008020000}"/>
    <cellStyle name="_Column1_~5614744_~9355017_Oerlikon Price request India 2" xfId="1131" xr:uid="{00000000-0005-0000-0000-000009020000}"/>
    <cellStyle name="_Column1_~5614744_~9355017_Oerlikon Price request Japan" xfId="504" xr:uid="{00000000-0005-0000-0000-00000A020000}"/>
    <cellStyle name="_Column1_~5614744_~9355017_Oerlikon Price request Japan 2" xfId="1132" xr:uid="{00000000-0005-0000-0000-00000B020000}"/>
    <cellStyle name="_Column1_~5614744_20070524 Oerlikon Price request Korea" xfId="505" xr:uid="{00000000-0005-0000-0000-00000C020000}"/>
    <cellStyle name="_Column1_~5614744_20070524 Oerlikon Price request Korea 2" xfId="1133" xr:uid="{00000000-0005-0000-0000-00000D020000}"/>
    <cellStyle name="_Column1_~5614744_Bayer_MPC4500_Benchmark for Japan " xfId="506" xr:uid="{00000000-0005-0000-0000-00000E020000}"/>
    <cellStyle name="_Column1_~5614744_Bayer_MPC4500_Benchmark for Japan  2" xfId="1134" xr:uid="{00000000-0005-0000-0000-00000F020000}"/>
    <cellStyle name="_Column1_~5614744_Bayer_MPC4500_Benchmark for Japan _20070524 Oerlikon Price request Korea" xfId="507" xr:uid="{00000000-0005-0000-0000-000010020000}"/>
    <cellStyle name="_Column1_~5614744_Bayer_MPC4500_Benchmark for Japan _20070524 Oerlikon Price request Korea 2" xfId="1135" xr:uid="{00000000-0005-0000-0000-000011020000}"/>
    <cellStyle name="_Column1_~5614744_Bayer_MPC4500_Benchmark for Japan _Oerlikon Information request" xfId="508" xr:uid="{00000000-0005-0000-0000-000012020000}"/>
    <cellStyle name="_Column1_~5614744_Bayer_MPC4500_Benchmark for Japan _Oerlikon Information request 2" xfId="1136" xr:uid="{00000000-0005-0000-0000-000013020000}"/>
    <cellStyle name="_Column1_~5614744_Bayer_MPC4500_Benchmark for Japan _Oerlikon Price request China_24.05.2007." xfId="509" xr:uid="{00000000-0005-0000-0000-000014020000}"/>
    <cellStyle name="_Column1_~5614744_Bayer_MPC4500_Benchmark for Japan _Oerlikon Price request China_24.05.2007. 2" xfId="1137" xr:uid="{00000000-0005-0000-0000-000015020000}"/>
    <cellStyle name="_Column1_~5614744_Bayer_MPC4500_Benchmark for Japan _Oerlikon Price request India" xfId="510" xr:uid="{00000000-0005-0000-0000-000016020000}"/>
    <cellStyle name="_Column1_~5614744_Bayer_MPC4500_Benchmark for Japan _Oerlikon Price request India 2" xfId="1138" xr:uid="{00000000-0005-0000-0000-000017020000}"/>
    <cellStyle name="_Column1_~5614744_Bayer_MPC4500_Benchmark for Japan _Oerlikon Price request Japan" xfId="511" xr:uid="{00000000-0005-0000-0000-000018020000}"/>
    <cellStyle name="_Column1_~5614744_Bayer_MPC4500_Benchmark for Japan _Oerlikon Price request Japan 2" xfId="1139" xr:uid="{00000000-0005-0000-0000-000019020000}"/>
    <cellStyle name="_Column1_~5614744_Oerlikon Information request" xfId="512" xr:uid="{00000000-0005-0000-0000-00001A020000}"/>
    <cellStyle name="_Column1_~5614744_Oerlikon Information request 2" xfId="1140" xr:uid="{00000000-0005-0000-0000-00001B020000}"/>
    <cellStyle name="_Column1_~5614744_Oerlikon Price request China_24.05.2007." xfId="513" xr:uid="{00000000-0005-0000-0000-00001C020000}"/>
    <cellStyle name="_Column1_~5614744_Oerlikon Price request China_24.05.2007. 2" xfId="1141" xr:uid="{00000000-0005-0000-0000-00001D020000}"/>
    <cellStyle name="_Column1_~5614744_Oerlikon Price request India" xfId="514" xr:uid="{00000000-0005-0000-0000-00001E020000}"/>
    <cellStyle name="_Column1_~5614744_Oerlikon Price request India 2" xfId="1142" xr:uid="{00000000-0005-0000-0000-00001F020000}"/>
    <cellStyle name="_Column1_~5614744_Oerlikon Price request Japan" xfId="515" xr:uid="{00000000-0005-0000-0000-000020020000}"/>
    <cellStyle name="_Column1_~5614744_Oerlikon Price request Japan 2" xfId="1143" xr:uid="{00000000-0005-0000-0000-000021020000}"/>
    <cellStyle name="_Column1_~6010279" xfId="516" xr:uid="{00000000-0005-0000-0000-000022020000}"/>
    <cellStyle name="_Column1_~6010279 2" xfId="1144" xr:uid="{00000000-0005-0000-0000-000023020000}"/>
    <cellStyle name="_Column1_~6010279_20070524 Oerlikon Price request Korea" xfId="517" xr:uid="{00000000-0005-0000-0000-000024020000}"/>
    <cellStyle name="_Column1_~6010279_20070524 Oerlikon Price request Korea 2" xfId="1145" xr:uid="{00000000-0005-0000-0000-000025020000}"/>
    <cellStyle name="_Column1_~6010279_Oerlikon Information request" xfId="518" xr:uid="{00000000-0005-0000-0000-000026020000}"/>
    <cellStyle name="_Column1_~6010279_Oerlikon Information request 2" xfId="1146" xr:uid="{00000000-0005-0000-0000-000027020000}"/>
    <cellStyle name="_Column1_~6010279_Oerlikon Price request China_24.05.2007." xfId="519" xr:uid="{00000000-0005-0000-0000-000028020000}"/>
    <cellStyle name="_Column1_~6010279_Oerlikon Price request China_24.05.2007. 2" xfId="1147" xr:uid="{00000000-0005-0000-0000-000029020000}"/>
    <cellStyle name="_Column1_~6010279_Oerlikon Price request India" xfId="520" xr:uid="{00000000-0005-0000-0000-00002A020000}"/>
    <cellStyle name="_Column1_~6010279_Oerlikon Price request India 2" xfId="1148" xr:uid="{00000000-0005-0000-0000-00002B020000}"/>
    <cellStyle name="_Column1_~6010279_Oerlikon Price request Japan" xfId="521" xr:uid="{00000000-0005-0000-0000-00002C020000}"/>
    <cellStyle name="_Column1_~6010279_Oerlikon Price request Japan 2" xfId="1149" xr:uid="{00000000-0005-0000-0000-00002D020000}"/>
    <cellStyle name="_Column1_~6728952" xfId="522" xr:uid="{00000000-0005-0000-0000-00002E020000}"/>
    <cellStyle name="_Column1_~6728952 2" xfId="1150" xr:uid="{00000000-0005-0000-0000-00002F020000}"/>
    <cellStyle name="_Column1_20090122_Voestalpine_Global Price List_China" xfId="523" xr:uid="{00000000-0005-0000-0000-000030020000}"/>
    <cellStyle name="_Column1_20090122_Voestalpine_Global Price List_China 2" xfId="1151" xr:uid="{00000000-0005-0000-0000-000031020000}"/>
    <cellStyle name="_Column1_20090123 Pricing for Voestalpine - JAPAN- V.2" xfId="524" xr:uid="{00000000-0005-0000-0000-000032020000}"/>
    <cellStyle name="_Column1_20090123 Pricing for Voestalpine - JAPAN- V.2 2" xfId="1152" xr:uid="{00000000-0005-0000-0000-000033020000}"/>
    <cellStyle name="_Column1_20090203_Voestalpine_Global Price List (Korea)" xfId="525" xr:uid="{00000000-0005-0000-0000-000034020000}"/>
    <cellStyle name="_Column1_20090203_Voestalpine_Global Price List (Korea) 2" xfId="1153" xr:uid="{00000000-0005-0000-0000-000035020000}"/>
    <cellStyle name="_Column1_20090326_Kaeser Kompressoren_Korea Price List" xfId="526" xr:uid="{00000000-0005-0000-0000-000036020000}"/>
    <cellStyle name="_Column1_20090326_Kaeser Kompressoren_Korea Price List 2" xfId="1154" xr:uid="{00000000-0005-0000-0000-000037020000}"/>
    <cellStyle name="_Column1_A01 Kaeser Kompressoren - Global Price Request 23-03-09" xfId="527" xr:uid="{00000000-0005-0000-0000-000038020000}"/>
    <cellStyle name="_Column1_A01 Kaeser Kompressoren - Hardware Price List 31-03-09 Global" xfId="528" xr:uid="{00000000-0005-0000-0000-000039020000}"/>
    <cellStyle name="_Column1_A01 Kaeser Kompressoren - Hardware Price List 31-03-09 Global 2" xfId="1155" xr:uid="{00000000-0005-0000-0000-00003A020000}"/>
    <cellStyle name="_Column1_A01 Kaeser Kompressoren - Price List 02-04-09" xfId="529" xr:uid="{00000000-0005-0000-0000-00003B020000}"/>
    <cellStyle name="_Column1_A01 Kaeser Kompressoren - Price List 02-04-09 2" xfId="1156" xr:uid="{00000000-0005-0000-0000-00003C020000}"/>
    <cellStyle name="_Column1_A01 Kaeser Kompressoren - Price List 31-03-09 EMEA" xfId="530" xr:uid="{00000000-0005-0000-0000-00003D020000}"/>
    <cellStyle name="_Column1_A01 Kaeser Kompressoren - Price List 31-03-09 Global" xfId="531" xr:uid="{00000000-0005-0000-0000-00003E020000}"/>
    <cellStyle name="_Column1_A01 Kaeser Kompressoren - Price List 31-03-09 Global 2" xfId="1157" xr:uid="{00000000-0005-0000-0000-00003F020000}"/>
    <cellStyle name="_Column1_A01 Rohm Hass Internal Pricing 08-06-07" xfId="532" xr:uid="{00000000-0005-0000-0000-000040020000}"/>
    <cellStyle name="_Column1_A01 Rohm Hass Internal Pricing 08-06-07_~6728952" xfId="533" xr:uid="{00000000-0005-0000-0000-000041020000}"/>
    <cellStyle name="_Column1_A01 Rohm Hass Internal Pricing 08-06-07_~6728952 2" xfId="1158" xr:uid="{00000000-0005-0000-0000-000042020000}"/>
    <cellStyle name="_Column1_A01 Rohm Hass Internal Pricing 08-06-07_20090122_Voestalpine_Global Price List_China" xfId="534" xr:uid="{00000000-0005-0000-0000-000043020000}"/>
    <cellStyle name="_Column1_A01 Rohm Hass Internal Pricing 08-06-07_20090122_Voestalpine_Global Price List_China 2" xfId="1159" xr:uid="{00000000-0005-0000-0000-000044020000}"/>
    <cellStyle name="_Column1_A01 Rohm Hass Internal Pricing 08-06-07_20090123 Pricing for Voestalpine - JAPAN- V.2" xfId="535" xr:uid="{00000000-0005-0000-0000-000045020000}"/>
    <cellStyle name="_Column1_A01 Rohm Hass Internal Pricing 08-06-07_20090123 Pricing for Voestalpine - JAPAN- V.2 2" xfId="1160" xr:uid="{00000000-0005-0000-0000-000046020000}"/>
    <cellStyle name="_Column1_A01 Rohm Hass Internal Pricing 08-06-07_20090203_Voestalpine_Global Price List (Korea)" xfId="536" xr:uid="{00000000-0005-0000-0000-000047020000}"/>
    <cellStyle name="_Column1_A01 Rohm Hass Internal Pricing 08-06-07_20090203_Voestalpine_Global Price List (Korea) 2" xfId="1161" xr:uid="{00000000-0005-0000-0000-000048020000}"/>
    <cellStyle name="_Column1_A01 Rohm Hass Internal Pricing 08-06-07_A01 Kaeser Kompressoren - Hardware Price List 31-03-09 Global" xfId="537" xr:uid="{00000000-0005-0000-0000-000049020000}"/>
    <cellStyle name="_Column1_A01 Rohm Hass Internal Pricing 08-06-07_A01 Kaeser Kompressoren - Hardware Price List 31-03-09 Global 2" xfId="1162" xr:uid="{00000000-0005-0000-0000-00004A020000}"/>
    <cellStyle name="_Column1_A01 Rohm Hass Internal Pricing 08-06-07_A01 Kaeser Kompressoren - Price List 02-04-09" xfId="538" xr:uid="{00000000-0005-0000-0000-00004B020000}"/>
    <cellStyle name="_Column1_A01 Rohm Hass Internal Pricing 08-06-07_A01 Kaeser Kompressoren - Price List 02-04-09 2" xfId="1163" xr:uid="{00000000-0005-0000-0000-00004C020000}"/>
    <cellStyle name="_Column1_A01 Rohm Hass Internal Pricing 08-06-07_A01 Kaeser Kompressoren - Price List 31-03-09 Global" xfId="539" xr:uid="{00000000-0005-0000-0000-00004D020000}"/>
    <cellStyle name="_Column1_A01 Rohm Hass Internal Pricing 08-06-07_A01 Kaeser Kompressoren - Price List 31-03-09 Global 2" xfId="1164" xr:uid="{00000000-0005-0000-0000-00004E020000}"/>
    <cellStyle name="_Column1_A01 Rohm Hass Internal Pricing 08-06-07_Voestalpine  Pricing -RCN 090318 Helen's Amendment 2" xfId="540" xr:uid="{00000000-0005-0000-0000-00004F020000}"/>
    <cellStyle name="_Column1_A01 Rohm Hass Internal Pricing 08-06-07_Voestalpine  Pricing -RCN 090318 Helen's Amendment 2 2" xfId="1165" xr:uid="{00000000-0005-0000-0000-000050020000}"/>
    <cellStyle name="_Column1_A01 Rohm Hass Internal Pricing 08-06-07_Voestalpine - RCI Approved Pricing - 02-04-2009" xfId="541" xr:uid="{00000000-0005-0000-0000-000051020000}"/>
    <cellStyle name="_Column1_A01 Rohm Hass Internal Pricing 08-06-07_Voestalpine - RCI Approved Pricing - 02-04-2009 2" xfId="1166" xr:uid="{00000000-0005-0000-0000-000052020000}"/>
    <cellStyle name="_Column1_AIR France APAC Price20071004 " xfId="542" xr:uid="{00000000-0005-0000-0000-000053020000}"/>
    <cellStyle name="_Column1_AIR France APAC Price20071004  2" xfId="1167" xr:uid="{00000000-0005-0000-0000-000054020000}"/>
    <cellStyle name="_Column1_AIR France APAC Price20071004 _A01 Kaeser Kompressoren - Price List 02-04-09" xfId="543" xr:uid="{00000000-0005-0000-0000-000055020000}"/>
    <cellStyle name="_Column1_AIR France APAC Price20071004 _A01 Kaeser Kompressoren - Price List 02-04-09 2" xfId="1168" xr:uid="{00000000-0005-0000-0000-000056020000}"/>
    <cellStyle name="_Column1_AIR France APAC Price20071004 _A01 Kaeser Kompressoren - Price List 31-03-09 Global" xfId="544" xr:uid="{00000000-0005-0000-0000-000057020000}"/>
    <cellStyle name="_Column1_AIR France APAC Price20071004 _A01 Kaeser Kompressoren - Price List 31-03-09 Global 2" xfId="1169" xr:uid="{00000000-0005-0000-0000-000058020000}"/>
    <cellStyle name="_Column1_APAC_Pricing" xfId="545" xr:uid="{00000000-0005-0000-0000-000059020000}"/>
    <cellStyle name="_Column1_APAC_Pricing 2" xfId="1170" xr:uid="{00000000-0005-0000-0000-00005A020000}"/>
    <cellStyle name="_Column1_B03 Daimler Chrysler Internal pricing for Minimum Prices Service Prices SP3200SF" xfId="546" xr:uid="{00000000-0005-0000-0000-00005B020000}"/>
    <cellStyle name="_Column1_B03 Daimler Chrysler Internal pricing for Minimum Prices Service Prices SP3200SF 2" xfId="1171" xr:uid="{00000000-0005-0000-0000-00005C020000}"/>
    <cellStyle name="_Column1_C01 Hannover Client Pricing 30-04-08" xfId="547" xr:uid="{00000000-0005-0000-0000-00005D020000}"/>
    <cellStyle name="_Column1_C01 Hannover Client Pricing 30-04-08 2" xfId="1172" xr:uid="{00000000-0005-0000-0000-00005E020000}"/>
    <cellStyle name="_Column1_Kaeser Kompressoren pricing" xfId="548" xr:uid="{00000000-0005-0000-0000-00005F020000}"/>
    <cellStyle name="_Column1_Kaeser Kompressoren pricing 2" xfId="1173" xr:uid="{00000000-0005-0000-0000-000060020000}"/>
    <cellStyle name="_Column1_Toner_Pricing_for_MFP's" xfId="549" xr:uid="{00000000-0005-0000-0000-000061020000}"/>
    <cellStyle name="_Column1_Toner_Pricing_for_MFP's 2" xfId="1174" xr:uid="{00000000-0005-0000-0000-000062020000}"/>
    <cellStyle name="_Column1_Toner_Pricing_for_MFP's_~9355017" xfId="550" xr:uid="{00000000-0005-0000-0000-000063020000}"/>
    <cellStyle name="_Column1_Toner_Pricing_for_MFP's_~9355017 2" xfId="1175" xr:uid="{00000000-0005-0000-0000-000064020000}"/>
    <cellStyle name="_Column1_Toner_Pricing_for_MFP's_~9355017_20070524 Oerlikon Price request Korea" xfId="551" xr:uid="{00000000-0005-0000-0000-000065020000}"/>
    <cellStyle name="_Column1_Toner_Pricing_for_MFP's_~9355017_20070524 Oerlikon Price request Korea 2" xfId="1176" xr:uid="{00000000-0005-0000-0000-000066020000}"/>
    <cellStyle name="_Column1_Toner_Pricing_for_MFP's_~9355017_Oerlikon Information request" xfId="552" xr:uid="{00000000-0005-0000-0000-000067020000}"/>
    <cellStyle name="_Column1_Toner_Pricing_for_MFP's_~9355017_Oerlikon Information request 2" xfId="1177" xr:uid="{00000000-0005-0000-0000-000068020000}"/>
    <cellStyle name="_Column1_Toner_Pricing_for_MFP's_~9355017_Oerlikon Price request China_24.05.2007." xfId="553" xr:uid="{00000000-0005-0000-0000-000069020000}"/>
    <cellStyle name="_Column1_Toner_Pricing_for_MFP's_~9355017_Oerlikon Price request China_24.05.2007. 2" xfId="1178" xr:uid="{00000000-0005-0000-0000-00006A020000}"/>
    <cellStyle name="_Column1_Toner_Pricing_for_MFP's_~9355017_Oerlikon Price request India" xfId="554" xr:uid="{00000000-0005-0000-0000-00006B020000}"/>
    <cellStyle name="_Column1_Toner_Pricing_for_MFP's_~9355017_Oerlikon Price request India 2" xfId="1179" xr:uid="{00000000-0005-0000-0000-00006C020000}"/>
    <cellStyle name="_Column1_Toner_Pricing_for_MFP's_~9355017_Oerlikon Price request Japan" xfId="555" xr:uid="{00000000-0005-0000-0000-00006D020000}"/>
    <cellStyle name="_Column1_Toner_Pricing_for_MFP's_~9355017_Oerlikon Price request Japan 2" xfId="1180" xr:uid="{00000000-0005-0000-0000-00006E020000}"/>
    <cellStyle name="_Column1_Toner_Pricing_for_MFP's_20070524 Oerlikon Price request Korea" xfId="556" xr:uid="{00000000-0005-0000-0000-00006F020000}"/>
    <cellStyle name="_Column1_Toner_Pricing_for_MFP's_20070524 Oerlikon Price request Korea 2" xfId="1181" xr:uid="{00000000-0005-0000-0000-000070020000}"/>
    <cellStyle name="_Column1_Toner_Pricing_for_MFP's_Bayer_MPC4500_Benchmark for Japan " xfId="557" xr:uid="{00000000-0005-0000-0000-000071020000}"/>
    <cellStyle name="_Column1_Toner_Pricing_for_MFP's_Bayer_MPC4500_Benchmark for Japan  2" xfId="1182" xr:uid="{00000000-0005-0000-0000-000072020000}"/>
    <cellStyle name="_Column1_Toner_Pricing_for_MFP's_Bayer_MPC4500_Benchmark for Japan _20070524 Oerlikon Price request Korea" xfId="558" xr:uid="{00000000-0005-0000-0000-000073020000}"/>
    <cellStyle name="_Column1_Toner_Pricing_for_MFP's_Bayer_MPC4500_Benchmark for Japan _20070524 Oerlikon Price request Korea 2" xfId="1183" xr:uid="{00000000-0005-0000-0000-000074020000}"/>
    <cellStyle name="_Column1_Toner_Pricing_for_MFP's_Bayer_MPC4500_Benchmark for Japan _Oerlikon Information request" xfId="559" xr:uid="{00000000-0005-0000-0000-000075020000}"/>
    <cellStyle name="_Column1_Toner_Pricing_for_MFP's_Bayer_MPC4500_Benchmark for Japan _Oerlikon Information request 2" xfId="1184" xr:uid="{00000000-0005-0000-0000-000076020000}"/>
    <cellStyle name="_Column1_Toner_Pricing_for_MFP's_Bayer_MPC4500_Benchmark for Japan _Oerlikon Price request China_24.05.2007." xfId="560" xr:uid="{00000000-0005-0000-0000-000077020000}"/>
    <cellStyle name="_Column1_Toner_Pricing_for_MFP's_Bayer_MPC4500_Benchmark for Japan _Oerlikon Price request China_24.05.2007. 2" xfId="1185" xr:uid="{00000000-0005-0000-0000-000078020000}"/>
    <cellStyle name="_Column1_Toner_Pricing_for_MFP's_Bayer_MPC4500_Benchmark for Japan _Oerlikon Price request India" xfId="561" xr:uid="{00000000-0005-0000-0000-000079020000}"/>
    <cellStyle name="_Column1_Toner_Pricing_for_MFP's_Bayer_MPC4500_Benchmark for Japan _Oerlikon Price request India 2" xfId="1186" xr:uid="{00000000-0005-0000-0000-00007A020000}"/>
    <cellStyle name="_Column1_Toner_Pricing_for_MFP's_Bayer_MPC4500_Benchmark for Japan _Oerlikon Price request Japan" xfId="562" xr:uid="{00000000-0005-0000-0000-00007B020000}"/>
    <cellStyle name="_Column1_Toner_Pricing_for_MFP's_Bayer_MPC4500_Benchmark for Japan _Oerlikon Price request Japan 2" xfId="1187" xr:uid="{00000000-0005-0000-0000-00007C020000}"/>
    <cellStyle name="_Column1_Toner_Pricing_for_MFP's_Oerlikon Information request" xfId="563" xr:uid="{00000000-0005-0000-0000-00007D020000}"/>
    <cellStyle name="_Column1_Toner_Pricing_for_MFP's_Oerlikon Information request 2" xfId="1188" xr:uid="{00000000-0005-0000-0000-00007E020000}"/>
    <cellStyle name="_Column1_Toner_Pricing_for_MFP's_Oerlikon Price request China_24.05.2007." xfId="564" xr:uid="{00000000-0005-0000-0000-00007F020000}"/>
    <cellStyle name="_Column1_Toner_Pricing_for_MFP's_Oerlikon Price request China_24.05.2007. 2" xfId="1189" xr:uid="{00000000-0005-0000-0000-000080020000}"/>
    <cellStyle name="_Column1_Toner_Pricing_for_MFP's_Oerlikon Price request India" xfId="565" xr:uid="{00000000-0005-0000-0000-000081020000}"/>
    <cellStyle name="_Column1_Toner_Pricing_for_MFP's_Oerlikon Price request India 2" xfId="1190" xr:uid="{00000000-0005-0000-0000-000082020000}"/>
    <cellStyle name="_Column1_Toner_Pricing_for_MFP's_Oerlikon Price request Japan" xfId="566" xr:uid="{00000000-0005-0000-0000-000083020000}"/>
    <cellStyle name="_Column1_Toner_Pricing_for_MFP's_Oerlikon Price request Japan 2" xfId="1191" xr:uid="{00000000-0005-0000-0000-000084020000}"/>
    <cellStyle name="_Column1_Voestalpine  Pricing -RCN 090318 Helen's Amendment 2" xfId="567" xr:uid="{00000000-0005-0000-0000-000085020000}"/>
    <cellStyle name="_Column1_Voestalpine  Pricing -RCN 090318 Helen's Amendment 2 2" xfId="1192" xr:uid="{00000000-0005-0000-0000-000086020000}"/>
    <cellStyle name="_Column1_Voestalpine - RCI Approved Pricing - 02-04-2009" xfId="568" xr:uid="{00000000-0005-0000-0000-000087020000}"/>
    <cellStyle name="_Column1_Voestalpine - RCI Approved Pricing - 02-04-2009 2" xfId="1193" xr:uid="{00000000-0005-0000-0000-000088020000}"/>
    <cellStyle name="_CSM OAA" xfId="569" xr:uid="{00000000-0005-0000-0000-000089020000}"/>
    <cellStyle name="_daimler" xfId="570" xr:uid="{00000000-0005-0000-0000-00008A020000}"/>
    <cellStyle name="_Daimler - additional pricing information_RGSE (0)" xfId="571" xr:uid="{00000000-0005-0000-0000-00008B020000}"/>
    <cellStyle name="_Daimler - additional pricing information_RGSE (0)_~6728952" xfId="572" xr:uid="{00000000-0005-0000-0000-00008C020000}"/>
    <cellStyle name="_Daimler - additional pricing information_RGSE (0)_Voestalpine  Pricing -RCN 090318 Helen's Amendment 2" xfId="573" xr:uid="{00000000-0005-0000-0000-00008D020000}"/>
    <cellStyle name="_Daimler - additional pricing information_RGSE (1)" xfId="574" xr:uid="{00000000-0005-0000-0000-00008E020000}"/>
    <cellStyle name="_Daimler - additional pricing information_RGSE (1)_~6728952" xfId="575" xr:uid="{00000000-0005-0000-0000-00008F020000}"/>
    <cellStyle name="_Daimler - additional pricing information_RGSE (1)_Voestalpine  Pricing -RCN 090318 Helen's Amendment 2" xfId="576" xr:uid="{00000000-0005-0000-0000-000090020000}"/>
    <cellStyle name="_daimler_~6728952" xfId="577" xr:uid="{00000000-0005-0000-0000-000091020000}"/>
    <cellStyle name="_daimler_20090122_Voestalpine_Global Price List_China" xfId="578" xr:uid="{00000000-0005-0000-0000-000092020000}"/>
    <cellStyle name="_daimler_20090123 Pricing for Voestalpine - JAPAN- V.2" xfId="579" xr:uid="{00000000-0005-0000-0000-000093020000}"/>
    <cellStyle name="_daimler_20090203_Voestalpine_Global Price List (Korea)" xfId="580" xr:uid="{00000000-0005-0000-0000-000094020000}"/>
    <cellStyle name="_daimler_Voestalpine  Pricing -RCN 090318 Helen's Amendment 2" xfId="581" xr:uid="{00000000-0005-0000-0000-000095020000}"/>
    <cellStyle name="_Data" xfId="582" xr:uid="{00000000-0005-0000-0000-000096020000}"/>
    <cellStyle name="_Data 2" xfId="1194" xr:uid="{00000000-0005-0000-0000-000097020000}"/>
    <cellStyle name="_Data_~9355017" xfId="583" xr:uid="{00000000-0005-0000-0000-000098020000}"/>
    <cellStyle name="_Data_~9355017 2" xfId="1195" xr:uid="{00000000-0005-0000-0000-000099020000}"/>
    <cellStyle name="_Data_~9355017_20070524 Oerlikon Price request Korea" xfId="584" xr:uid="{00000000-0005-0000-0000-00009A020000}"/>
    <cellStyle name="_Data_~9355017_20070524 Oerlikon Price request Korea 2" xfId="1196" xr:uid="{00000000-0005-0000-0000-00009B020000}"/>
    <cellStyle name="_Data_~9355017_Oerlikon Information request" xfId="585" xr:uid="{00000000-0005-0000-0000-00009C020000}"/>
    <cellStyle name="_Data_~9355017_Oerlikon Information request 2" xfId="1197" xr:uid="{00000000-0005-0000-0000-00009D020000}"/>
    <cellStyle name="_Data_~9355017_Oerlikon Price request China_24.05.2007." xfId="586" xr:uid="{00000000-0005-0000-0000-00009E020000}"/>
    <cellStyle name="_Data_~9355017_Oerlikon Price request China_24.05.2007. 2" xfId="1198" xr:uid="{00000000-0005-0000-0000-00009F020000}"/>
    <cellStyle name="_Data_~9355017_Oerlikon Price request India" xfId="587" xr:uid="{00000000-0005-0000-0000-0000A0020000}"/>
    <cellStyle name="_Data_~9355017_Oerlikon Price request India 2" xfId="1199" xr:uid="{00000000-0005-0000-0000-0000A1020000}"/>
    <cellStyle name="_Data_~9355017_Oerlikon Price request Japan" xfId="588" xr:uid="{00000000-0005-0000-0000-0000A2020000}"/>
    <cellStyle name="_Data_~9355017_Oerlikon Price request Japan 2" xfId="1200" xr:uid="{00000000-0005-0000-0000-0000A3020000}"/>
    <cellStyle name="_Data_20070524 Oerlikon Price request Korea" xfId="589" xr:uid="{00000000-0005-0000-0000-0000A4020000}"/>
    <cellStyle name="_Data_20070524 Oerlikon Price request Korea 2" xfId="1201" xr:uid="{00000000-0005-0000-0000-0000A5020000}"/>
    <cellStyle name="_Data_Bayer_MPC4500_Benchmark for Japan " xfId="590" xr:uid="{00000000-0005-0000-0000-0000A6020000}"/>
    <cellStyle name="_Data_Bayer_MPC4500_Benchmark for Japan  2" xfId="1202" xr:uid="{00000000-0005-0000-0000-0000A7020000}"/>
    <cellStyle name="_Data_Bayer_MPC4500_Benchmark for Japan _20070524 Oerlikon Price request Korea" xfId="591" xr:uid="{00000000-0005-0000-0000-0000A8020000}"/>
    <cellStyle name="_Data_Bayer_MPC4500_Benchmark for Japan _20070524 Oerlikon Price request Korea 2" xfId="1203" xr:uid="{00000000-0005-0000-0000-0000A9020000}"/>
    <cellStyle name="_Data_Bayer_MPC4500_Benchmark for Japan _Oerlikon Information request" xfId="592" xr:uid="{00000000-0005-0000-0000-0000AA020000}"/>
    <cellStyle name="_Data_Bayer_MPC4500_Benchmark for Japan _Oerlikon Information request 2" xfId="1204" xr:uid="{00000000-0005-0000-0000-0000AB020000}"/>
    <cellStyle name="_Data_Bayer_MPC4500_Benchmark for Japan _Oerlikon Price request China_24.05.2007." xfId="593" xr:uid="{00000000-0005-0000-0000-0000AC020000}"/>
    <cellStyle name="_Data_Bayer_MPC4500_Benchmark for Japan _Oerlikon Price request China_24.05.2007. 2" xfId="1205" xr:uid="{00000000-0005-0000-0000-0000AD020000}"/>
    <cellStyle name="_Data_Bayer_MPC4500_Benchmark for Japan _Oerlikon Price request India" xfId="594" xr:uid="{00000000-0005-0000-0000-0000AE020000}"/>
    <cellStyle name="_Data_Bayer_MPC4500_Benchmark for Japan _Oerlikon Price request India 2" xfId="1206" xr:uid="{00000000-0005-0000-0000-0000AF020000}"/>
    <cellStyle name="_Data_Bayer_MPC4500_Benchmark for Japan _Oerlikon Price request Japan" xfId="595" xr:uid="{00000000-0005-0000-0000-0000B0020000}"/>
    <cellStyle name="_Data_Bayer_MPC4500_Benchmark for Japan _Oerlikon Price request Japan 2" xfId="1207" xr:uid="{00000000-0005-0000-0000-0000B1020000}"/>
    <cellStyle name="_Data_Oerlikon Information request" xfId="596" xr:uid="{00000000-0005-0000-0000-0000B2020000}"/>
    <cellStyle name="_Data_Oerlikon Information request 2" xfId="1208" xr:uid="{00000000-0005-0000-0000-0000B3020000}"/>
    <cellStyle name="_Data_Oerlikon Price request China_24.05.2007." xfId="597" xr:uid="{00000000-0005-0000-0000-0000B4020000}"/>
    <cellStyle name="_Data_Oerlikon Price request China_24.05.2007. 2" xfId="1209" xr:uid="{00000000-0005-0000-0000-0000B5020000}"/>
    <cellStyle name="_Data_Oerlikon Price request India" xfId="598" xr:uid="{00000000-0005-0000-0000-0000B6020000}"/>
    <cellStyle name="_Data_Oerlikon Price request India 2" xfId="1210" xr:uid="{00000000-0005-0000-0000-0000B7020000}"/>
    <cellStyle name="_Data_Oerlikon Price request Japan" xfId="599" xr:uid="{00000000-0005-0000-0000-0000B8020000}"/>
    <cellStyle name="_Data_Oerlikon Price request Japan 2" xfId="1211" xr:uid="{00000000-0005-0000-0000-0000B9020000}"/>
    <cellStyle name="_Data_Toner_Pricing_for_MFP's" xfId="600" xr:uid="{00000000-0005-0000-0000-0000BA020000}"/>
    <cellStyle name="_Data_Toner_Pricing_for_MFP's 2" xfId="1212" xr:uid="{00000000-0005-0000-0000-0000BB020000}"/>
    <cellStyle name="_Data_Toner_Pricing_for_MFP's_~9355017" xfId="601" xr:uid="{00000000-0005-0000-0000-0000BC020000}"/>
    <cellStyle name="_Data_Toner_Pricing_for_MFP's_~9355017 2" xfId="1213" xr:uid="{00000000-0005-0000-0000-0000BD020000}"/>
    <cellStyle name="_Data_Toner_Pricing_for_MFP's_~9355017_20070524 Oerlikon Price request Korea" xfId="602" xr:uid="{00000000-0005-0000-0000-0000BE020000}"/>
    <cellStyle name="_Data_Toner_Pricing_for_MFP's_~9355017_20070524 Oerlikon Price request Korea 2" xfId="1214" xr:uid="{00000000-0005-0000-0000-0000BF020000}"/>
    <cellStyle name="_Data_Toner_Pricing_for_MFP's_~9355017_Oerlikon Information request" xfId="603" xr:uid="{00000000-0005-0000-0000-0000C0020000}"/>
    <cellStyle name="_Data_Toner_Pricing_for_MFP's_~9355017_Oerlikon Information request 2" xfId="1215" xr:uid="{00000000-0005-0000-0000-0000C1020000}"/>
    <cellStyle name="_Data_Toner_Pricing_for_MFP's_~9355017_Oerlikon Price request China_24.05.2007." xfId="604" xr:uid="{00000000-0005-0000-0000-0000C2020000}"/>
    <cellStyle name="_Data_Toner_Pricing_for_MFP's_~9355017_Oerlikon Price request China_24.05.2007. 2" xfId="1216" xr:uid="{00000000-0005-0000-0000-0000C3020000}"/>
    <cellStyle name="_Data_Toner_Pricing_for_MFP's_~9355017_Oerlikon Price request India" xfId="605" xr:uid="{00000000-0005-0000-0000-0000C4020000}"/>
    <cellStyle name="_Data_Toner_Pricing_for_MFP's_~9355017_Oerlikon Price request India 2" xfId="1217" xr:uid="{00000000-0005-0000-0000-0000C5020000}"/>
    <cellStyle name="_Data_Toner_Pricing_for_MFP's_~9355017_Oerlikon Price request Japan" xfId="606" xr:uid="{00000000-0005-0000-0000-0000C6020000}"/>
    <cellStyle name="_Data_Toner_Pricing_for_MFP's_~9355017_Oerlikon Price request Japan 2" xfId="1218" xr:uid="{00000000-0005-0000-0000-0000C7020000}"/>
    <cellStyle name="_Data_Toner_Pricing_for_MFP's_20070524 Oerlikon Price request Korea" xfId="607" xr:uid="{00000000-0005-0000-0000-0000C8020000}"/>
    <cellStyle name="_Data_Toner_Pricing_for_MFP's_20070524 Oerlikon Price request Korea 2" xfId="1219" xr:uid="{00000000-0005-0000-0000-0000C9020000}"/>
    <cellStyle name="_Data_Toner_Pricing_for_MFP's_Bayer_MPC4500_Benchmark for Japan " xfId="608" xr:uid="{00000000-0005-0000-0000-0000CA020000}"/>
    <cellStyle name="_Data_Toner_Pricing_for_MFP's_Bayer_MPC4500_Benchmark for Japan  2" xfId="1220" xr:uid="{00000000-0005-0000-0000-0000CB020000}"/>
    <cellStyle name="_Data_Toner_Pricing_for_MFP's_Bayer_MPC4500_Benchmark for Japan _20070524 Oerlikon Price request Korea" xfId="609" xr:uid="{00000000-0005-0000-0000-0000CC020000}"/>
    <cellStyle name="_Data_Toner_Pricing_for_MFP's_Bayer_MPC4500_Benchmark for Japan _20070524 Oerlikon Price request Korea 2" xfId="1221" xr:uid="{00000000-0005-0000-0000-0000CD020000}"/>
    <cellStyle name="_Data_Toner_Pricing_for_MFP's_Bayer_MPC4500_Benchmark for Japan _Oerlikon Information request" xfId="610" xr:uid="{00000000-0005-0000-0000-0000CE020000}"/>
    <cellStyle name="_Data_Toner_Pricing_for_MFP's_Bayer_MPC4500_Benchmark for Japan _Oerlikon Information request 2" xfId="1222" xr:uid="{00000000-0005-0000-0000-0000CF020000}"/>
    <cellStyle name="_Data_Toner_Pricing_for_MFP's_Bayer_MPC4500_Benchmark for Japan _Oerlikon Price request China_24.05.2007." xfId="611" xr:uid="{00000000-0005-0000-0000-0000D0020000}"/>
    <cellStyle name="_Data_Toner_Pricing_for_MFP's_Bayer_MPC4500_Benchmark for Japan _Oerlikon Price request China_24.05.2007. 2" xfId="1223" xr:uid="{00000000-0005-0000-0000-0000D1020000}"/>
    <cellStyle name="_Data_Toner_Pricing_for_MFP's_Bayer_MPC4500_Benchmark for Japan _Oerlikon Price request India" xfId="612" xr:uid="{00000000-0005-0000-0000-0000D2020000}"/>
    <cellStyle name="_Data_Toner_Pricing_for_MFP's_Bayer_MPC4500_Benchmark for Japan _Oerlikon Price request India 2" xfId="1224" xr:uid="{00000000-0005-0000-0000-0000D3020000}"/>
    <cellStyle name="_Data_Toner_Pricing_for_MFP's_Bayer_MPC4500_Benchmark for Japan _Oerlikon Price request Japan" xfId="613" xr:uid="{00000000-0005-0000-0000-0000D4020000}"/>
    <cellStyle name="_Data_Toner_Pricing_for_MFP's_Bayer_MPC4500_Benchmark for Japan _Oerlikon Price request Japan 2" xfId="1225" xr:uid="{00000000-0005-0000-0000-0000D5020000}"/>
    <cellStyle name="_Data_Toner_Pricing_for_MFP's_Oerlikon Information request" xfId="614" xr:uid="{00000000-0005-0000-0000-0000D6020000}"/>
    <cellStyle name="_Data_Toner_Pricing_for_MFP's_Oerlikon Information request 2" xfId="1226" xr:uid="{00000000-0005-0000-0000-0000D7020000}"/>
    <cellStyle name="_Data_Toner_Pricing_for_MFP's_Oerlikon Price request China_24.05.2007." xfId="615" xr:uid="{00000000-0005-0000-0000-0000D8020000}"/>
    <cellStyle name="_Data_Toner_Pricing_for_MFP's_Oerlikon Price request China_24.05.2007. 2" xfId="1227" xr:uid="{00000000-0005-0000-0000-0000D9020000}"/>
    <cellStyle name="_Data_Toner_Pricing_for_MFP's_Oerlikon Price request India" xfId="616" xr:uid="{00000000-0005-0000-0000-0000DA020000}"/>
    <cellStyle name="_Data_Toner_Pricing_for_MFP's_Oerlikon Price request India 2" xfId="1228" xr:uid="{00000000-0005-0000-0000-0000DB020000}"/>
    <cellStyle name="_Data_Toner_Pricing_for_MFP's_Oerlikon Price request Japan" xfId="617" xr:uid="{00000000-0005-0000-0000-0000DC020000}"/>
    <cellStyle name="_Data_Toner_Pricing_for_MFP's_Oerlikon Price request Japan 2" xfId="1229" xr:uid="{00000000-0005-0000-0000-0000DD020000}"/>
    <cellStyle name="_DC_OBE 08-2007_ Pricing Information NRG_(2)" xfId="618" xr:uid="{00000000-0005-0000-0000-0000DE020000}"/>
    <cellStyle name="_DC_OBE 08-2007_ Pricing Information NRG_(2)_~6728952" xfId="619" xr:uid="{00000000-0005-0000-0000-0000DF020000}"/>
    <cellStyle name="_DC_OBE 08-2007_ Pricing Information NRG_(2)_20090122_Voestalpine_Global Price List_China" xfId="620" xr:uid="{00000000-0005-0000-0000-0000E0020000}"/>
    <cellStyle name="_DC_OBE 08-2007_ Pricing Information NRG_(2)_20090123 Pricing for Voestalpine - JAPAN- V.2" xfId="621" xr:uid="{00000000-0005-0000-0000-0000E1020000}"/>
    <cellStyle name="_DC_OBE 08-2007_ Pricing Information NRG_(2)_20090203_Voestalpine_Global Price List (Korea)" xfId="622" xr:uid="{00000000-0005-0000-0000-0000E2020000}"/>
    <cellStyle name="_DC_OBE 08-2007_ Pricing Information NRG_(2)_Voestalpine  Pricing -RCN 090318 Helen's Amendment 2" xfId="623" xr:uid="{00000000-0005-0000-0000-0000E3020000}"/>
    <cellStyle name="_DC_OBE 08-2007_ Pricing Information NRG_(3)" xfId="624" xr:uid="{00000000-0005-0000-0000-0000E4020000}"/>
    <cellStyle name="_DC_OBE 08-2007_ Pricing Information NRG_(3)_~6728952" xfId="625" xr:uid="{00000000-0005-0000-0000-0000E5020000}"/>
    <cellStyle name="_DC_OBE 08-2007_ Pricing Information NRG_(3)_20090122_Voestalpine_Global Price List_China" xfId="626" xr:uid="{00000000-0005-0000-0000-0000E6020000}"/>
    <cellStyle name="_DC_OBE 08-2007_ Pricing Information NRG_(3)_20090123 Pricing for Voestalpine - JAPAN- V.2" xfId="627" xr:uid="{00000000-0005-0000-0000-0000E7020000}"/>
    <cellStyle name="_DC_OBE 08-2007_ Pricing Information NRG_(3)_20090203_Voestalpine_Global Price List (Korea)" xfId="628" xr:uid="{00000000-0005-0000-0000-0000E8020000}"/>
    <cellStyle name="_DC_OBE 08-2007_ Pricing Information NRG_(3)_Voestalpine  Pricing -RCN 090318 Helen's Amendment 2" xfId="629" xr:uid="{00000000-0005-0000-0000-0000E9020000}"/>
    <cellStyle name="_DSM 26.03.2007 OAA" xfId="630" xr:uid="{00000000-0005-0000-0000-0000EA020000}"/>
    <cellStyle name="_DSM 26.03.2007 OAA_20070524 Oerlikon Price request Korea" xfId="631" xr:uid="{00000000-0005-0000-0000-0000EB020000}"/>
    <cellStyle name="_DSM 26.03.2007 OAA_Oerlikon Information request" xfId="632" xr:uid="{00000000-0005-0000-0000-0000EC020000}"/>
    <cellStyle name="_DSM 26.03.2007 OAA_Oerlikon Price request China_24.05.2007." xfId="633" xr:uid="{00000000-0005-0000-0000-0000ED020000}"/>
    <cellStyle name="_DSM 26.03.2007 OAA_Oerlikon Price request India" xfId="634" xr:uid="{00000000-0005-0000-0000-0000EE020000}"/>
    <cellStyle name="_DSM 26.03.2007 OAA_Oerlikon Price request Japan" xfId="635" xr:uid="{00000000-0005-0000-0000-0000EF020000}"/>
    <cellStyle name="_EMH_Bekaert_08.10.08" xfId="636" xr:uid="{00000000-0005-0000-0000-0000F0020000}"/>
    <cellStyle name="_EMH_Bekaert_08.10.08_~6728952" xfId="637" xr:uid="{00000000-0005-0000-0000-0000F1020000}"/>
    <cellStyle name="_EMH_Bekaert_08.10.08_20090122_Voestalpine_Global Price List_China" xfId="638" xr:uid="{00000000-0005-0000-0000-0000F2020000}"/>
    <cellStyle name="_EMH_Bekaert_08.10.08_20090123 Pricing for Voestalpine - JAPAN- V.2" xfId="639" xr:uid="{00000000-0005-0000-0000-0000F3020000}"/>
    <cellStyle name="_EMH_Bekaert_08.10.08_20090203_Voestalpine_Global Price List (Korea)" xfId="640" xr:uid="{00000000-0005-0000-0000-0000F4020000}"/>
    <cellStyle name="_EMH_Bekaert_08.10.08_Voestalpine  Pricing -RCN 090318 Helen's Amendment 2" xfId="641" xr:uid="{00000000-0005-0000-0000-0000F5020000}"/>
    <cellStyle name="_EON RX30 Support Proposal 20070510" xfId="642" xr:uid="{00000000-0005-0000-0000-0000F6020000}"/>
    <cellStyle name="_EON RX30 Support Proposal 20070510_20090326_Kaeser Kompressoren_Korea Price List" xfId="643" xr:uid="{00000000-0005-0000-0000-0000F7020000}"/>
    <cellStyle name="_EON RX30 Support Proposal 20070510_A01 CSM Internal Pricing 13-01-09" xfId="644" xr:uid="{00000000-0005-0000-0000-0000F8020000}"/>
    <cellStyle name="_EON RX30 Support Proposal 20070510_A01 Rohm Hass Internal Pricing 08-06-07" xfId="645" xr:uid="{00000000-0005-0000-0000-0000F9020000}"/>
    <cellStyle name="_EON RX30 Support Proposal 20070510_A01 Rohm Hass Internal Pricing 08-06-07_~6728952" xfId="646" xr:uid="{00000000-0005-0000-0000-0000FA020000}"/>
    <cellStyle name="_EON RX30 Support Proposal 20070510_A01 Rohm Hass Internal Pricing 08-06-07_20090122_Voestalpine_Global Price List_China" xfId="647" xr:uid="{00000000-0005-0000-0000-0000FB020000}"/>
    <cellStyle name="_EON RX30 Support Proposal 20070510_A01 Rohm Hass Internal Pricing 08-06-07_20090123 Pricing for Voestalpine - JAPAN- V.2" xfId="648" xr:uid="{00000000-0005-0000-0000-0000FC020000}"/>
    <cellStyle name="_EON RX30 Support Proposal 20070510_A01 Rohm Hass Internal Pricing 08-06-07_20090203_Voestalpine_Global Price List (Korea)" xfId="649" xr:uid="{00000000-0005-0000-0000-0000FD020000}"/>
    <cellStyle name="_EON RX30 Support Proposal 20070510_A01 Rohm Hass Internal Pricing 08-06-07_Voestalpine  Pricing -RCN 090318 Helen's Amendment 2" xfId="650" xr:uid="{00000000-0005-0000-0000-0000FE020000}"/>
    <cellStyle name="_EON RX30 Support Proposal 20070510_APAC_Pricing" xfId="651" xr:uid="{00000000-0005-0000-0000-0000FF020000}"/>
    <cellStyle name="_EON RX30 Support Proposal 20070510_B01 Solvay Client Pricing 07-01-09" xfId="652" xr:uid="{00000000-0005-0000-0000-000000030000}"/>
    <cellStyle name="_EON RX30 Support Proposal 20070510_B01 Solvay Client Pricing 07-01-09_~6728952" xfId="653" xr:uid="{00000000-0005-0000-0000-000001030000}"/>
    <cellStyle name="_EON RX30 Support Proposal 20070510_B01 Solvay Client Pricing 07-01-09_20090122_Voestalpine_Global Price List_China" xfId="654" xr:uid="{00000000-0005-0000-0000-000002030000}"/>
    <cellStyle name="_EON RX30 Support Proposal 20070510_B01 Solvay Client Pricing 07-01-09_20090123 Pricing for Voestalpine - JAPAN- V.2" xfId="655" xr:uid="{00000000-0005-0000-0000-000003030000}"/>
    <cellStyle name="_EON RX30 Support Proposal 20070510_B01 Solvay Client Pricing 07-01-09_20090203_Voestalpine_Global Price List (Korea)" xfId="656" xr:uid="{00000000-0005-0000-0000-000004030000}"/>
    <cellStyle name="_EON RX30 Support Proposal 20070510_B01 Solvay Client Pricing 07-01-09_Voestalpine  Pricing -RCN 090318 Helen's Amendment 2" xfId="657" xr:uid="{00000000-0005-0000-0000-000005030000}"/>
    <cellStyle name="_EON RX30 Support Proposal 20070510_B02 Voestalpine - Global Price List 13-03-09" xfId="658" xr:uid="{00000000-0005-0000-0000-000006030000}"/>
    <cellStyle name="_EON RX30 Support Proposal 20070510_B03 Daimler Chrysler Internal pricing for Minimum Prices Service Prices SP3200SF" xfId="659" xr:uid="{00000000-0005-0000-0000-000007030000}"/>
    <cellStyle name="_EON RX30 Support Proposal 20070510_D02 Egger Client Prices 28-08-08" xfId="660" xr:uid="{00000000-0005-0000-0000-000008030000}"/>
    <cellStyle name="_EON RX30 Support Proposal 20070510_D02 Egger Client Prices 28-08-08_~6728952" xfId="661" xr:uid="{00000000-0005-0000-0000-000009030000}"/>
    <cellStyle name="_EON RX30 Support Proposal 20070510_D02 Egger Client Prices 28-08-08_20090122_Voestalpine_Global Price List_China" xfId="662" xr:uid="{00000000-0005-0000-0000-00000A030000}"/>
    <cellStyle name="_EON RX30 Support Proposal 20070510_D02 Egger Client Prices 28-08-08_20090123 Pricing for Voestalpine - JAPAN- V.2" xfId="663" xr:uid="{00000000-0005-0000-0000-00000B030000}"/>
    <cellStyle name="_EON RX30 Support Proposal 20070510_D02 Egger Client Prices 28-08-08_20090203_Voestalpine_Global Price List (Korea)" xfId="664" xr:uid="{00000000-0005-0000-0000-00000C030000}"/>
    <cellStyle name="_EON RX30 Support Proposal 20070510_D02 Egger Client Prices 28-08-08_Voestalpine  Pricing -RCN 090318 Helen's Amendment 2" xfId="665" xr:uid="{00000000-0005-0000-0000-00000D030000}"/>
    <cellStyle name="_EON RX30 Support Proposal 20070510_Kaeser Kompressoren pricing" xfId="666" xr:uid="{00000000-0005-0000-0000-00000E030000}"/>
    <cellStyle name="_EON_Information_Request" xfId="667" xr:uid="{00000000-0005-0000-0000-00000F030000}"/>
    <cellStyle name="_EON_Information_Request_20090326_Kaeser Kompressoren_Korea Price List" xfId="668" xr:uid="{00000000-0005-0000-0000-000010030000}"/>
    <cellStyle name="_EON_Information_Request_A01 CSM Internal Pricing 13-01-09" xfId="669" xr:uid="{00000000-0005-0000-0000-000011030000}"/>
    <cellStyle name="_EON_Information_Request_A01 Rohm Hass Internal Pricing 08-06-07" xfId="670" xr:uid="{00000000-0005-0000-0000-000012030000}"/>
    <cellStyle name="_EON_Information_Request_A01 Rohm Hass Internal Pricing 08-06-07_~6728952" xfId="671" xr:uid="{00000000-0005-0000-0000-000013030000}"/>
    <cellStyle name="_EON_Information_Request_A01 Rohm Hass Internal Pricing 08-06-07_20090122_Voestalpine_Global Price List_China" xfId="672" xr:uid="{00000000-0005-0000-0000-000014030000}"/>
    <cellStyle name="_EON_Information_Request_A01 Rohm Hass Internal Pricing 08-06-07_20090123 Pricing for Voestalpine - JAPAN- V.2" xfId="673" xr:uid="{00000000-0005-0000-0000-000015030000}"/>
    <cellStyle name="_EON_Information_Request_A01 Rohm Hass Internal Pricing 08-06-07_20090203_Voestalpine_Global Price List (Korea)" xfId="674" xr:uid="{00000000-0005-0000-0000-000016030000}"/>
    <cellStyle name="_EON_Information_Request_A01 Rohm Hass Internal Pricing 08-06-07_Voestalpine  Pricing -RCN 090318 Helen's Amendment 2" xfId="675" xr:uid="{00000000-0005-0000-0000-000017030000}"/>
    <cellStyle name="_EON_Information_Request_APAC_Pricing" xfId="676" xr:uid="{00000000-0005-0000-0000-000018030000}"/>
    <cellStyle name="_EON_Information_Request_B01 Solvay Client Pricing 07-01-09" xfId="677" xr:uid="{00000000-0005-0000-0000-000019030000}"/>
    <cellStyle name="_EON_Information_Request_B01 Solvay Client Pricing 07-01-09_~6728952" xfId="678" xr:uid="{00000000-0005-0000-0000-00001A030000}"/>
    <cellStyle name="_EON_Information_Request_B01 Solvay Client Pricing 07-01-09_20090122_Voestalpine_Global Price List_China" xfId="679" xr:uid="{00000000-0005-0000-0000-00001B030000}"/>
    <cellStyle name="_EON_Information_Request_B01 Solvay Client Pricing 07-01-09_20090123 Pricing for Voestalpine - JAPAN- V.2" xfId="680" xr:uid="{00000000-0005-0000-0000-00001C030000}"/>
    <cellStyle name="_EON_Information_Request_B01 Solvay Client Pricing 07-01-09_20090203_Voestalpine_Global Price List (Korea)" xfId="681" xr:uid="{00000000-0005-0000-0000-00001D030000}"/>
    <cellStyle name="_EON_Information_Request_B01 Solvay Client Pricing 07-01-09_Voestalpine  Pricing -RCN 090318 Helen's Amendment 2" xfId="682" xr:uid="{00000000-0005-0000-0000-00001E030000}"/>
    <cellStyle name="_EON_Information_Request_B02 Voestalpine - Global Price List 13-03-09" xfId="683" xr:uid="{00000000-0005-0000-0000-00001F030000}"/>
    <cellStyle name="_EON_Information_Request_B03 Daimler Chrysler Internal pricing for Minimum Prices Service Prices SP3200SF" xfId="684" xr:uid="{00000000-0005-0000-0000-000020030000}"/>
    <cellStyle name="_EON_Information_Request_D02 Egger Client Prices 28-08-08" xfId="685" xr:uid="{00000000-0005-0000-0000-000021030000}"/>
    <cellStyle name="_EON_Information_Request_D02 Egger Client Prices 28-08-08_~6728952" xfId="686" xr:uid="{00000000-0005-0000-0000-000022030000}"/>
    <cellStyle name="_EON_Information_Request_D02 Egger Client Prices 28-08-08_20090122_Voestalpine_Global Price List_China" xfId="687" xr:uid="{00000000-0005-0000-0000-000023030000}"/>
    <cellStyle name="_EON_Information_Request_D02 Egger Client Prices 28-08-08_20090123 Pricing for Voestalpine - JAPAN- V.2" xfId="688" xr:uid="{00000000-0005-0000-0000-000024030000}"/>
    <cellStyle name="_EON_Information_Request_D02 Egger Client Prices 28-08-08_20090203_Voestalpine_Global Price List (Korea)" xfId="689" xr:uid="{00000000-0005-0000-0000-000025030000}"/>
    <cellStyle name="_EON_Information_Request_D02 Egger Client Prices 28-08-08_Voestalpine  Pricing -RCN 090318 Helen's Amendment 2" xfId="690" xr:uid="{00000000-0005-0000-0000-000026030000}"/>
    <cellStyle name="_EON_Information_Request_Kaeser Kompressoren pricing" xfId="691" xr:uid="{00000000-0005-0000-0000-000027030000}"/>
    <cellStyle name="_HP 2840 AIO" xfId="692" xr:uid="{00000000-0005-0000-0000-000028030000}"/>
    <cellStyle name="_HP 2840 AIO 2" xfId="1230" xr:uid="{00000000-0005-0000-0000-000029030000}"/>
    <cellStyle name="_HP 2840 AIO_~6728952" xfId="693" xr:uid="{00000000-0005-0000-0000-00002A030000}"/>
    <cellStyle name="_HP 2840 AIO_20090122_Voestalpine_Global Price List_China" xfId="694" xr:uid="{00000000-0005-0000-0000-00002B030000}"/>
    <cellStyle name="_HP 2840 AIO_20090123 Pricing for Voestalpine - JAPAN- V.2" xfId="695" xr:uid="{00000000-0005-0000-0000-00002C030000}"/>
    <cellStyle name="_HP 2840 AIO_20090203_Voestalpine_Global Price List (Korea)" xfId="696" xr:uid="{00000000-0005-0000-0000-00002D030000}"/>
    <cellStyle name="_HP 2840 AIO_A01 Accenture Client Pricing 17-04-09" xfId="697" xr:uid="{00000000-0005-0000-0000-00002E030000}"/>
    <cellStyle name="_HP 2840 AIO_A01 Accenture Client Pricing 17-04-09 2" xfId="1231" xr:uid="{00000000-0005-0000-0000-00002F030000}"/>
    <cellStyle name="_HP 2840 AIO_A01 Kaeser Kompressoren - Hardware Price List 31-03-09 Global" xfId="698" xr:uid="{00000000-0005-0000-0000-000030030000}"/>
    <cellStyle name="_HP 2840 AIO_A01 Kaeser Kompressoren - Hardware Price List 31-03-09 Global 2" xfId="1232" xr:uid="{00000000-0005-0000-0000-000031030000}"/>
    <cellStyle name="_HP 2840 AIO_A01 Kaeser Kompressoren - Price List 02-04-09" xfId="699" xr:uid="{00000000-0005-0000-0000-000032030000}"/>
    <cellStyle name="_HP 2840 AIO_A01 Kaeser Kompressoren - Price List 02-04-09 2" xfId="1233" xr:uid="{00000000-0005-0000-0000-000033030000}"/>
    <cellStyle name="_HP 2840 AIO_A01 Kaeser Kompressoren - Price List 31-03-09 Global" xfId="700" xr:uid="{00000000-0005-0000-0000-000034030000}"/>
    <cellStyle name="_HP 2840 AIO_A01 Kaeser Kompressoren - Price List 31-03-09 Global 2" xfId="1234" xr:uid="{00000000-0005-0000-0000-000035030000}"/>
    <cellStyle name="_HP 2840 AIO_B01 Michelin Internal Pricing 13-05-09" xfId="701" xr:uid="{00000000-0005-0000-0000-000036030000}"/>
    <cellStyle name="_HP 2840 AIO_B01 Michelin Internal Pricing 13-05-09 2" xfId="1235" xr:uid="{00000000-0005-0000-0000-000037030000}"/>
    <cellStyle name="_HP 2840 AIO_Voestalpine  Pricing -RCN 090318 Helen's Amendment 2" xfId="702" xr:uid="{00000000-0005-0000-0000-000038030000}"/>
    <cellStyle name="_HP 2840 AIO_Voestalpine - RCI Approved Pricing - 02-04-2009" xfId="703" xr:uid="{00000000-0005-0000-0000-000039030000}"/>
    <cellStyle name="_HP 2840 AIO_Voestalpine - RCI Approved Pricing - 02-04-2009 2" xfId="1236" xr:uid="{00000000-0005-0000-0000-00003A030000}"/>
    <cellStyle name="_HP 2840 AIO_Voestalpine - RCI Approved Pricing - 03-17-2009" xfId="704" xr:uid="{00000000-0005-0000-0000-00003B030000}"/>
    <cellStyle name="_HP 2840 AIO_Voestalpine - RCI Approved Pricing - 03-17-2009 2" xfId="1237" xr:uid="{00000000-0005-0000-0000-00003C030000}"/>
    <cellStyle name="_HP 3030 AIO" xfId="705" xr:uid="{00000000-0005-0000-0000-00003D030000}"/>
    <cellStyle name="_HP 3030 AIO 2" xfId="1238" xr:uid="{00000000-0005-0000-0000-00003E030000}"/>
    <cellStyle name="_HP 3030 AIO_~6728952" xfId="706" xr:uid="{00000000-0005-0000-0000-00003F030000}"/>
    <cellStyle name="_HP 3030 AIO_20090122_Voestalpine_Global Price List_China" xfId="707" xr:uid="{00000000-0005-0000-0000-000040030000}"/>
    <cellStyle name="_HP 3030 AIO_20090123 Pricing for Voestalpine - JAPAN- V.2" xfId="708" xr:uid="{00000000-0005-0000-0000-000041030000}"/>
    <cellStyle name="_HP 3030 AIO_20090203_Voestalpine_Global Price List (Korea)" xfId="709" xr:uid="{00000000-0005-0000-0000-000042030000}"/>
    <cellStyle name="_HP 3030 AIO_A01 Accenture Client Pricing 17-04-09" xfId="710" xr:uid="{00000000-0005-0000-0000-000043030000}"/>
    <cellStyle name="_HP 3030 AIO_A01 Accenture Client Pricing 17-04-09 2" xfId="1239" xr:uid="{00000000-0005-0000-0000-000044030000}"/>
    <cellStyle name="_HP 3030 AIO_A01 Kaeser Kompressoren - Hardware Price List 31-03-09 Global" xfId="711" xr:uid="{00000000-0005-0000-0000-000045030000}"/>
    <cellStyle name="_HP 3030 AIO_A01 Kaeser Kompressoren - Hardware Price List 31-03-09 Global 2" xfId="1240" xr:uid="{00000000-0005-0000-0000-000046030000}"/>
    <cellStyle name="_HP 3030 AIO_A01 Kaeser Kompressoren - Price List 02-04-09" xfId="712" xr:uid="{00000000-0005-0000-0000-000047030000}"/>
    <cellStyle name="_HP 3030 AIO_A01 Kaeser Kompressoren - Price List 02-04-09 2" xfId="1241" xr:uid="{00000000-0005-0000-0000-000048030000}"/>
    <cellStyle name="_HP 3030 AIO_A01 Kaeser Kompressoren - Price List 31-03-09 Global" xfId="713" xr:uid="{00000000-0005-0000-0000-000049030000}"/>
    <cellStyle name="_HP 3030 AIO_A01 Kaeser Kompressoren - Price List 31-03-09 Global 2" xfId="1242" xr:uid="{00000000-0005-0000-0000-00004A030000}"/>
    <cellStyle name="_HP 3030 AIO_B01 Michelin Internal Pricing 13-05-09" xfId="714" xr:uid="{00000000-0005-0000-0000-00004B030000}"/>
    <cellStyle name="_HP 3030 AIO_B01 Michelin Internal Pricing 13-05-09 2" xfId="1243" xr:uid="{00000000-0005-0000-0000-00004C030000}"/>
    <cellStyle name="_HP 3030 AIO_Voestalpine  Pricing -RCN 090318 Helen's Amendment 2" xfId="715" xr:uid="{00000000-0005-0000-0000-00004D030000}"/>
    <cellStyle name="_HP 3030 AIO_Voestalpine - RCI Approved Pricing - 02-04-2009" xfId="716" xr:uid="{00000000-0005-0000-0000-00004E030000}"/>
    <cellStyle name="_HP 3030 AIO_Voestalpine - RCI Approved Pricing - 02-04-2009 2" xfId="1244" xr:uid="{00000000-0005-0000-0000-00004F030000}"/>
    <cellStyle name="_HP 3030 AIO_Voestalpine - RCI Approved Pricing - 03-17-2009" xfId="717" xr:uid="{00000000-0005-0000-0000-000050030000}"/>
    <cellStyle name="_HP 3030 AIO_Voestalpine - RCI Approved Pricing - 03-17-2009 2" xfId="1245" xr:uid="{00000000-0005-0000-0000-000051030000}"/>
    <cellStyle name="_HP 9040 MFP" xfId="718" xr:uid="{00000000-0005-0000-0000-000052030000}"/>
    <cellStyle name="_HP 9040 MFP 2" xfId="1246" xr:uid="{00000000-0005-0000-0000-000053030000}"/>
    <cellStyle name="_HP 9040 MFP_~6728952" xfId="719" xr:uid="{00000000-0005-0000-0000-000054030000}"/>
    <cellStyle name="_HP 9040 MFP_20090122_Voestalpine_Global Price List_China" xfId="720" xr:uid="{00000000-0005-0000-0000-000055030000}"/>
    <cellStyle name="_HP 9040 MFP_20090123 Pricing for Voestalpine - JAPAN- V.2" xfId="721" xr:uid="{00000000-0005-0000-0000-000056030000}"/>
    <cellStyle name="_HP 9040 MFP_20090203_Voestalpine_Global Price List (Korea)" xfId="722" xr:uid="{00000000-0005-0000-0000-000057030000}"/>
    <cellStyle name="_HP 9040 MFP_A01 Accenture Client Pricing 17-04-09" xfId="723" xr:uid="{00000000-0005-0000-0000-000058030000}"/>
    <cellStyle name="_HP 9040 MFP_A01 Accenture Client Pricing 17-04-09 2" xfId="1247" xr:uid="{00000000-0005-0000-0000-000059030000}"/>
    <cellStyle name="_HP 9040 MFP_A01 Kaeser Kompressoren - Hardware Price List 31-03-09 Global" xfId="724" xr:uid="{00000000-0005-0000-0000-00005A030000}"/>
    <cellStyle name="_HP 9040 MFP_A01 Kaeser Kompressoren - Hardware Price List 31-03-09 Global 2" xfId="1248" xr:uid="{00000000-0005-0000-0000-00005B030000}"/>
    <cellStyle name="_HP 9040 MFP_A01 Kaeser Kompressoren - Price List 02-04-09" xfId="725" xr:uid="{00000000-0005-0000-0000-00005C030000}"/>
    <cellStyle name="_HP 9040 MFP_A01 Kaeser Kompressoren - Price List 02-04-09 2" xfId="1249" xr:uid="{00000000-0005-0000-0000-00005D030000}"/>
    <cellStyle name="_HP 9040 MFP_A01 Kaeser Kompressoren - Price List 31-03-09 Global" xfId="726" xr:uid="{00000000-0005-0000-0000-00005E030000}"/>
    <cellStyle name="_HP 9040 MFP_A01 Kaeser Kompressoren - Price List 31-03-09 Global 2" xfId="1250" xr:uid="{00000000-0005-0000-0000-00005F030000}"/>
    <cellStyle name="_HP 9040 MFP_B01 Michelin Internal Pricing 13-05-09" xfId="727" xr:uid="{00000000-0005-0000-0000-000060030000}"/>
    <cellStyle name="_HP 9040 MFP_B01 Michelin Internal Pricing 13-05-09 2" xfId="1251" xr:uid="{00000000-0005-0000-0000-000061030000}"/>
    <cellStyle name="_HP 9040 MFP_Voestalpine  Pricing -RCN 090318 Helen's Amendment 2" xfId="728" xr:uid="{00000000-0005-0000-0000-000062030000}"/>
    <cellStyle name="_HP 9040 MFP_Voestalpine - RCI Approved Pricing - 02-04-2009" xfId="729" xr:uid="{00000000-0005-0000-0000-000063030000}"/>
    <cellStyle name="_HP 9040 MFP_Voestalpine - RCI Approved Pricing - 02-04-2009 2" xfId="1252" xr:uid="{00000000-0005-0000-0000-000064030000}"/>
    <cellStyle name="_HP 9040 MFP_Voestalpine - RCI Approved Pricing - 03-17-2009" xfId="730" xr:uid="{00000000-0005-0000-0000-000065030000}"/>
    <cellStyle name="_HP 9040 MFP_Voestalpine - RCI Approved Pricing - 03-17-2009 2" xfId="1253" xr:uid="{00000000-0005-0000-0000-000066030000}"/>
    <cellStyle name="_HP 9500 MFP" xfId="731" xr:uid="{00000000-0005-0000-0000-000067030000}"/>
    <cellStyle name="_HP 9500 MFP 2" xfId="1254" xr:uid="{00000000-0005-0000-0000-000068030000}"/>
    <cellStyle name="_HP 9500 MFP_~6728952" xfId="732" xr:uid="{00000000-0005-0000-0000-000069030000}"/>
    <cellStyle name="_HP 9500 MFP_20090122_Voestalpine_Global Price List_China" xfId="733" xr:uid="{00000000-0005-0000-0000-00006A030000}"/>
    <cellStyle name="_HP 9500 MFP_20090123 Pricing for Voestalpine - JAPAN- V.2" xfId="734" xr:uid="{00000000-0005-0000-0000-00006B030000}"/>
    <cellStyle name="_HP 9500 MFP_20090203_Voestalpine_Global Price List (Korea)" xfId="735" xr:uid="{00000000-0005-0000-0000-00006C030000}"/>
    <cellStyle name="_HP 9500 MFP_A01 Accenture Client Pricing 17-04-09" xfId="736" xr:uid="{00000000-0005-0000-0000-00006D030000}"/>
    <cellStyle name="_HP 9500 MFP_A01 Accenture Client Pricing 17-04-09 2" xfId="1255" xr:uid="{00000000-0005-0000-0000-00006E030000}"/>
    <cellStyle name="_HP 9500 MFP_A01 Kaeser Kompressoren - Hardware Price List 31-03-09 Global" xfId="737" xr:uid="{00000000-0005-0000-0000-00006F030000}"/>
    <cellStyle name="_HP 9500 MFP_A01 Kaeser Kompressoren - Hardware Price List 31-03-09 Global 2" xfId="1256" xr:uid="{00000000-0005-0000-0000-000070030000}"/>
    <cellStyle name="_HP 9500 MFP_A01 Kaeser Kompressoren - Price List 02-04-09" xfId="738" xr:uid="{00000000-0005-0000-0000-000071030000}"/>
    <cellStyle name="_HP 9500 MFP_A01 Kaeser Kompressoren - Price List 02-04-09 2" xfId="1257" xr:uid="{00000000-0005-0000-0000-000072030000}"/>
    <cellStyle name="_HP 9500 MFP_A01 Kaeser Kompressoren - Price List 31-03-09 Global" xfId="739" xr:uid="{00000000-0005-0000-0000-000073030000}"/>
    <cellStyle name="_HP 9500 MFP_A01 Kaeser Kompressoren - Price List 31-03-09 Global 2" xfId="1258" xr:uid="{00000000-0005-0000-0000-000074030000}"/>
    <cellStyle name="_HP 9500 MFP_B01 Michelin Internal Pricing 13-05-09" xfId="740" xr:uid="{00000000-0005-0000-0000-000075030000}"/>
    <cellStyle name="_HP 9500 MFP_B01 Michelin Internal Pricing 13-05-09 2" xfId="1259" xr:uid="{00000000-0005-0000-0000-000076030000}"/>
    <cellStyle name="_HP 9500 MFP_Voestalpine  Pricing -RCN 090318 Helen's Amendment 2" xfId="741" xr:uid="{00000000-0005-0000-0000-000077030000}"/>
    <cellStyle name="_HP 9500 MFP_Voestalpine - RCI Approved Pricing - 02-04-2009" xfId="742" xr:uid="{00000000-0005-0000-0000-000078030000}"/>
    <cellStyle name="_HP 9500 MFP_Voestalpine - RCI Approved Pricing - 02-04-2009 2" xfId="1260" xr:uid="{00000000-0005-0000-0000-000079030000}"/>
    <cellStyle name="_HP 9500 MFP_Voestalpine - RCI Approved Pricing - 03-17-2009" xfId="743" xr:uid="{00000000-0005-0000-0000-00007A030000}"/>
    <cellStyle name="_HP 9500 MFP_Voestalpine - RCI Approved Pricing - 03-17-2009 2" xfId="1261" xr:uid="{00000000-0005-0000-0000-00007B030000}"/>
    <cellStyle name="_IMA Level 1&amp;2 Direct OpCos 20081106" xfId="744" xr:uid="{00000000-0005-0000-0000-00007C030000}"/>
    <cellStyle name="_IMA Level 1&amp;2 Direct OpCos 20090408" xfId="745" xr:uid="{00000000-0005-0000-0000-00007D030000}"/>
    <cellStyle name="_Kao OAA DRAFT 1023" xfId="746" xr:uid="{00000000-0005-0000-0000-00007E030000}"/>
    <cellStyle name="_Kit DOS quotation" xfId="747" xr:uid="{00000000-0005-0000-0000-00007F030000}"/>
    <cellStyle name="_KONE Oyj Pricelist 2Q2007 070523" xfId="748" xr:uid="{00000000-0005-0000-0000-000080030000}"/>
    <cellStyle name="_KONE Oyj Pricelist 2Q2007 070608(1)" xfId="749" xr:uid="{00000000-0005-0000-0000-000081030000}"/>
    <cellStyle name="_LINDE - Internal Pricing 13-11.08" xfId="750" xr:uid="{00000000-0005-0000-0000-000082030000}"/>
    <cellStyle name="_LINDE - Internal Pricing 13-11.08_~6728952" xfId="751" xr:uid="{00000000-0005-0000-0000-000083030000}"/>
    <cellStyle name="_LINDE - Internal Pricing 13-11.08_20090122_Voestalpine_Global Price List_China" xfId="752" xr:uid="{00000000-0005-0000-0000-000084030000}"/>
    <cellStyle name="_LINDE - Internal Pricing 13-11.08_20090123 Pricing for Voestalpine - JAPAN- V.2" xfId="753" xr:uid="{00000000-0005-0000-0000-000085030000}"/>
    <cellStyle name="_LINDE - Internal Pricing 13-11.08_20090203_Voestalpine_Global Price List (Korea)" xfId="754" xr:uid="{00000000-0005-0000-0000-000086030000}"/>
    <cellStyle name="_LINDE - Internal Pricing 13-11.08_Voestalpine  Pricing -RCN 090318 Helen's Amendment 2" xfId="755" xr:uid="{00000000-0005-0000-0000-000087030000}"/>
    <cellStyle name="_Linde AG_Extrapolation_05-11-08" xfId="756" xr:uid="{00000000-0005-0000-0000-000088030000}"/>
    <cellStyle name="_liste communicable monde entier 25072007v1- potential analysis" xfId="757" xr:uid="{00000000-0005-0000-0000-000089030000}"/>
    <cellStyle name="_liste communicable monde entier 25072007v1- potential analysis 2" xfId="1262" xr:uid="{00000000-0005-0000-0000-00008A030000}"/>
    <cellStyle name="_liste communicable monde entier 25072007v1- potential analysis_A01 Kaeser Kompressoren - Price List 02-04-09" xfId="758" xr:uid="{00000000-0005-0000-0000-00008B030000}"/>
    <cellStyle name="_liste communicable monde entier 25072007v1- potential analysis_A01 Kaeser Kompressoren - Price List 02-04-09 2" xfId="1263" xr:uid="{00000000-0005-0000-0000-00008C030000}"/>
    <cellStyle name="_liste communicable monde entier 25072007v1- potential analysis_A01 Kaeser Kompressoren - Price List 31-03-09 Global" xfId="759" xr:uid="{00000000-0005-0000-0000-00008D030000}"/>
    <cellStyle name="_liste communicable monde entier 25072007v1- potential analysis_A01 Kaeser Kompressoren - Price List 31-03-09 Global 2" xfId="1264" xr:uid="{00000000-0005-0000-0000-00008E030000}"/>
    <cellStyle name="_Live accounts" xfId="760" xr:uid="{00000000-0005-0000-0000-00008F030000}"/>
    <cellStyle name="_MEA service prices" xfId="761" xr:uid="{00000000-0005-0000-0000-000090030000}"/>
    <cellStyle name="_MEA service prices_~6728952" xfId="762" xr:uid="{00000000-0005-0000-0000-000091030000}"/>
    <cellStyle name="_MEA service prices_AIR France APAC Price20071004 " xfId="763" xr:uid="{00000000-0005-0000-0000-000092030000}"/>
    <cellStyle name="_MEA service prices_Voestalpine  Pricing -RCN 090318 Helen's Amendment 2" xfId="764" xr:uid="{00000000-0005-0000-0000-000093030000}"/>
    <cellStyle name="_Merck_OAA TEMPLATE_V(1)" xfId="765" xr:uid="{00000000-0005-0000-0000-000094030000}"/>
    <cellStyle name="_MTP_2006 II Annoucement (to RGS)" xfId="766" xr:uid="{00000000-0005-0000-0000-000095030000}"/>
    <cellStyle name="_MTP_2006 II Annoucement (to RGS)_21_RGSE_Product Marketing_Master File _Jan 09" xfId="767" xr:uid="{00000000-0005-0000-0000-000096030000}"/>
    <cellStyle name="_MTP_2006 II Annoucement (to RGS)_Support Schedule-Direct" xfId="768" xr:uid="{00000000-0005-0000-0000-000097030000}"/>
    <cellStyle name="_MTP_2006 II Annoucement (to RGS)_Support Schedule-Indirect" xfId="769" xr:uid="{00000000-0005-0000-0000-000098030000}"/>
    <cellStyle name="_OAA_DaimlerChrysler AG(1)_17.08.2007" xfId="770" xr:uid="{00000000-0005-0000-0000-000099030000}"/>
    <cellStyle name="_Pricing for CSC EMEA rev 5-7-05" xfId="771" xr:uid="{00000000-0005-0000-0000-00009A030000}"/>
    <cellStyle name="_Pricing for CSC EMEA rev 5-7-05_~6728952" xfId="772" xr:uid="{00000000-0005-0000-0000-00009B030000}"/>
    <cellStyle name="_Pricing for CSC EMEA rev 5-7-05_20090122_Voestalpine_Global Price List_China" xfId="773" xr:uid="{00000000-0005-0000-0000-00009C030000}"/>
    <cellStyle name="_Pricing for CSC EMEA rev 5-7-05_20090123 Pricing for Voestalpine - JAPAN- V.2" xfId="774" xr:uid="{00000000-0005-0000-0000-00009D030000}"/>
    <cellStyle name="_Pricing for CSC EMEA rev 5-7-05_20090203_Voestalpine_Global Price List (Korea)" xfId="775" xr:uid="{00000000-0005-0000-0000-00009E030000}"/>
    <cellStyle name="_Pricing for CSC EMEA rev 5-7-05_20090326_Kaeser Kompressoren_Korea Price List" xfId="776" xr:uid="{00000000-0005-0000-0000-00009F030000}"/>
    <cellStyle name="_Pricing for CSC EMEA rev 5-7-05_Kaeser Kompressoren pricing" xfId="777" xr:uid="{00000000-0005-0000-0000-0000A0030000}"/>
    <cellStyle name="_Pricing for CSC EMEA rev 5-7-05_Voestalpine  Pricing -RCN 090318 Helen's Amendment 2" xfId="778" xr:uid="{00000000-0005-0000-0000-0000A1030000}"/>
    <cellStyle name="_Pricing for EMEA rev 1-08-05 incl calc" xfId="779" xr:uid="{00000000-0005-0000-0000-0000A2030000}"/>
    <cellStyle name="_Pricing for EMEA rev 1-08-05 incl calc_~6728952" xfId="780" xr:uid="{00000000-0005-0000-0000-0000A3030000}"/>
    <cellStyle name="_Pricing for EMEA rev 1-08-05 incl calc_20090122_Voestalpine_Global Price List_China" xfId="781" xr:uid="{00000000-0005-0000-0000-0000A4030000}"/>
    <cellStyle name="_Pricing for EMEA rev 1-08-05 incl calc_20090123 Pricing for Voestalpine - JAPAN- V.2" xfId="782" xr:uid="{00000000-0005-0000-0000-0000A5030000}"/>
    <cellStyle name="_Pricing for EMEA rev 1-08-05 incl calc_20090203_Voestalpine_Global Price List (Korea)" xfId="783" xr:uid="{00000000-0005-0000-0000-0000A6030000}"/>
    <cellStyle name="_Pricing for EMEA rev 1-08-05 incl calc_20090326_Kaeser Kompressoren_Korea Price List" xfId="784" xr:uid="{00000000-0005-0000-0000-0000A7030000}"/>
    <cellStyle name="_Pricing for EMEA rev 1-08-05 incl calc_Kaeser Kompressoren pricing" xfId="785" xr:uid="{00000000-0005-0000-0000-0000A8030000}"/>
    <cellStyle name="_Pricing for EMEA rev 1-08-05 incl calc_Voestalpine  Pricing -RCN 090318 Helen's Amendment 2" xfId="786" xr:uid="{00000000-0005-0000-0000-0000A9030000}"/>
    <cellStyle name="_Pricing for EMEA rev fk 1-08-05" xfId="787" xr:uid="{00000000-0005-0000-0000-0000AA030000}"/>
    <cellStyle name="_Pricing for EMEA rev fk 1-08-05_~6728952" xfId="788" xr:uid="{00000000-0005-0000-0000-0000AB030000}"/>
    <cellStyle name="_Pricing for EMEA rev fk 1-08-05_20090122_Voestalpine_Global Price List_China" xfId="789" xr:uid="{00000000-0005-0000-0000-0000AC030000}"/>
    <cellStyle name="_Pricing for EMEA rev fk 1-08-05_20090123 Pricing for Voestalpine - JAPAN- V.2" xfId="790" xr:uid="{00000000-0005-0000-0000-0000AD030000}"/>
    <cellStyle name="_Pricing for EMEA rev fk 1-08-05_20090203_Voestalpine_Global Price List (Korea)" xfId="791" xr:uid="{00000000-0005-0000-0000-0000AE030000}"/>
    <cellStyle name="_Pricing for EMEA rev fk 1-08-05_20090326_Kaeser Kompressoren_Korea Price List" xfId="792" xr:uid="{00000000-0005-0000-0000-0000AF030000}"/>
    <cellStyle name="_Pricing for EMEA rev fk 1-08-05_Kaeser Kompressoren pricing" xfId="793" xr:uid="{00000000-0005-0000-0000-0000B0030000}"/>
    <cellStyle name="_Pricing for EMEA rev fk 1-08-05_Voestalpine  Pricing -RCN 090318 Helen's Amendment 2" xfId="794" xr:uid="{00000000-0005-0000-0000-0000B1030000}"/>
    <cellStyle name="_Pricing Support Request Template v2" xfId="795" xr:uid="{00000000-0005-0000-0000-0000B2030000}"/>
    <cellStyle name="_Pricing Support Request Template v2_~6728952" xfId="796" xr:uid="{00000000-0005-0000-0000-0000B3030000}"/>
    <cellStyle name="_Pricing Support Request Template v2_20090122_Voestalpine_Global Price List_China" xfId="797" xr:uid="{00000000-0005-0000-0000-0000B4030000}"/>
    <cellStyle name="_Pricing Support Request Template v2_20090123 Pricing for Voestalpine - JAPAN- V.2" xfId="798" xr:uid="{00000000-0005-0000-0000-0000B5030000}"/>
    <cellStyle name="_Pricing Support Request Template v2_20090203_Voestalpine_Global Price List (Korea)" xfId="799" xr:uid="{00000000-0005-0000-0000-0000B6030000}"/>
    <cellStyle name="_Pricing Support Request Template v2_20090326_Kaeser Kompressoren_Korea Price List" xfId="800" xr:uid="{00000000-0005-0000-0000-0000B7030000}"/>
    <cellStyle name="_Pricing Support Request Template v2_A01 Rohm Hass Internal Pricing 08-06-07" xfId="801" xr:uid="{00000000-0005-0000-0000-0000B8030000}"/>
    <cellStyle name="_Pricing Support Request Template v2_A01 Rohm Hass Internal Pricing 08-06-07_~6728952" xfId="802" xr:uid="{00000000-0005-0000-0000-0000B9030000}"/>
    <cellStyle name="_Pricing Support Request Template v2_A01 Rohm Hass Internal Pricing 08-06-07_20090122_Voestalpine_Global Price List_China" xfId="803" xr:uid="{00000000-0005-0000-0000-0000BA030000}"/>
    <cellStyle name="_Pricing Support Request Template v2_A01 Rohm Hass Internal Pricing 08-06-07_20090123 Pricing for Voestalpine - JAPAN- V.2" xfId="804" xr:uid="{00000000-0005-0000-0000-0000BB030000}"/>
    <cellStyle name="_Pricing Support Request Template v2_A01 Rohm Hass Internal Pricing 08-06-07_20090203_Voestalpine_Global Price List (Korea)" xfId="805" xr:uid="{00000000-0005-0000-0000-0000BC030000}"/>
    <cellStyle name="_Pricing Support Request Template v2_A01 Rohm Hass Internal Pricing 08-06-07_Voestalpine  Pricing -RCN 090318 Helen's Amendment 2" xfId="806" xr:uid="{00000000-0005-0000-0000-0000BD030000}"/>
    <cellStyle name="_Pricing Support Request Template v2_APAC_Pricing" xfId="807" xr:uid="{00000000-0005-0000-0000-0000BE030000}"/>
    <cellStyle name="_Pricing Support Request Template v2_B03 Daimler Chrysler Internal pricing for Minimum Prices Service Prices SP3200SF" xfId="808" xr:uid="{00000000-0005-0000-0000-0000BF030000}"/>
    <cellStyle name="_Pricing Support Request Template v2_C01 Hannover Client Pricing 30-04-08" xfId="809" xr:uid="{00000000-0005-0000-0000-0000C0030000}"/>
    <cellStyle name="_Pricing Support Request Template v2_Kaeser Kompressoren pricing" xfId="810" xr:uid="{00000000-0005-0000-0000-0000C1030000}"/>
    <cellStyle name="_Pricing Support Request Template v2_Voestalpine  Pricing -RCN 090318 Helen's Amendment 2" xfId="811" xr:uid="{00000000-0005-0000-0000-0000C2030000}"/>
    <cellStyle name="_Product Specifications (Updated)" xfId="812" xr:uid="{00000000-0005-0000-0000-0000C3030000}"/>
    <cellStyle name="_Product Specifications (Updated)_~6728952" xfId="813" xr:uid="{00000000-0005-0000-0000-0000C4030000}"/>
    <cellStyle name="_Product Specifications (Updated)_20090122_Voestalpine_Global Price List_China" xfId="814" xr:uid="{00000000-0005-0000-0000-0000C5030000}"/>
    <cellStyle name="_Product Specifications (Updated)_20090123 Pricing for Voestalpine - JAPAN- V.2" xfId="815" xr:uid="{00000000-0005-0000-0000-0000C6030000}"/>
    <cellStyle name="_Product Specifications (Updated)_20090203_Voestalpine_Global Price List (Korea)" xfId="816" xr:uid="{00000000-0005-0000-0000-0000C7030000}"/>
    <cellStyle name="_Product Specifications (Updated)_20090326_Kaeser Kompressoren_Korea Price List" xfId="817" xr:uid="{00000000-0005-0000-0000-0000C8030000}"/>
    <cellStyle name="_Product Specifications (Updated)_Kaeser Kompressoren pricing" xfId="818" xr:uid="{00000000-0005-0000-0000-0000C9030000}"/>
    <cellStyle name="_Product Specifications (Updated)_Voestalpine  Pricing -RCN 090318 Helen's Amendment 2" xfId="819" xr:uid="{00000000-0005-0000-0000-0000CA030000}"/>
    <cellStyle name="_RCI Analysis -  FedEx Kinko's Pricing 20070627xls" xfId="820" xr:uid="{00000000-0005-0000-0000-0000CB030000}"/>
    <cellStyle name="_REXEL - client pricing" xfId="821" xr:uid="{00000000-0005-0000-0000-0000CC030000}"/>
    <cellStyle name="_REXEL - client pricing_~6728952" xfId="822" xr:uid="{00000000-0005-0000-0000-0000CD030000}"/>
    <cellStyle name="_REXEL - client pricing_20090122_Voestalpine_Global Price List_China" xfId="823" xr:uid="{00000000-0005-0000-0000-0000CE030000}"/>
    <cellStyle name="_REXEL - client pricing_20090123 Pricing for Voestalpine - JAPAN- V.2" xfId="824" xr:uid="{00000000-0005-0000-0000-0000CF030000}"/>
    <cellStyle name="_REXEL - client pricing_20090203_Voestalpine_Global Price List (Korea)" xfId="825" xr:uid="{00000000-0005-0000-0000-0000D0030000}"/>
    <cellStyle name="_REXEL - client pricing_Voestalpine  Pricing -RCN 090318 Helen's Amendment 2" xfId="826" xr:uid="{00000000-0005-0000-0000-0000D1030000}"/>
    <cellStyle name="_REXEL - Pricing Support Request 17-12-08" xfId="827" xr:uid="{00000000-0005-0000-0000-0000D2030000}"/>
    <cellStyle name="_REXEL - Pricing Support Request 17-12-08_~6728952" xfId="828" xr:uid="{00000000-0005-0000-0000-0000D3030000}"/>
    <cellStyle name="_REXEL - Pricing Support Request 17-12-08_20090122_Voestalpine_Global Price List_China" xfId="829" xr:uid="{00000000-0005-0000-0000-0000D4030000}"/>
    <cellStyle name="_REXEL - Pricing Support Request 17-12-08_20090123 Pricing for Voestalpine - JAPAN- V.2" xfId="830" xr:uid="{00000000-0005-0000-0000-0000D5030000}"/>
    <cellStyle name="_REXEL - Pricing Support Request 17-12-08_20090203_Voestalpine_Global Price List (Korea)" xfId="831" xr:uid="{00000000-0005-0000-0000-0000D6030000}"/>
    <cellStyle name="_REXEL - Pricing Support Request 17-12-08_Voestalpine  Pricing -RCN 090318 Helen's Amendment 2" xfId="832" xr:uid="{00000000-0005-0000-0000-0000D7030000}"/>
    <cellStyle name="_RGS Alex C1.5 - Rebates" xfId="833" xr:uid="{00000000-0005-0000-0000-0000D8030000}"/>
    <cellStyle name="_RGS_OAA TEMPLATE_Hannover Rück_27-08-07" xfId="834" xr:uid="{00000000-0005-0000-0000-0000D9030000}"/>
    <cellStyle name="_RGS_OAA TEMPLATE_V.2.04 -Unisys" xfId="835" xr:uid="{00000000-0005-0000-0000-0000DA030000}"/>
    <cellStyle name="_RGS_OAA_Adecco_final" xfId="836" xr:uid="{00000000-0005-0000-0000-0000DB030000}"/>
    <cellStyle name="_RGSE - SMA Report and proposal form" xfId="837" xr:uid="{00000000-0005-0000-0000-0000DC030000}"/>
    <cellStyle name="_RGSE - SMA Report and proposal form_~6728952" xfId="838" xr:uid="{00000000-0005-0000-0000-0000DD030000}"/>
    <cellStyle name="_RGSE - SMA Report and proposal form_20090122_Voestalpine_Global Price List_China" xfId="839" xr:uid="{00000000-0005-0000-0000-0000DE030000}"/>
    <cellStyle name="_RGSE - SMA Report and proposal form_20090123 Pricing for Voestalpine - JAPAN- V.2" xfId="840" xr:uid="{00000000-0005-0000-0000-0000DF030000}"/>
    <cellStyle name="_RGSE - SMA Report and proposal form_20090203_Voestalpine_Global Price List (Korea)" xfId="841" xr:uid="{00000000-0005-0000-0000-0000E0030000}"/>
    <cellStyle name="_RGSE - SMA Report and proposal form_20090326_Kaeser Kompressoren_Korea Price List" xfId="842" xr:uid="{00000000-0005-0000-0000-0000E1030000}"/>
    <cellStyle name="_RGSE - SMA Report and proposal form_A01 Rohm Hass Internal Pricing 08-06-07" xfId="843" xr:uid="{00000000-0005-0000-0000-0000E2030000}"/>
    <cellStyle name="_RGSE - SMA Report and proposal form_A01 Rohm Hass Internal Pricing 08-06-07_~6728952" xfId="844" xr:uid="{00000000-0005-0000-0000-0000E3030000}"/>
    <cellStyle name="_RGSE - SMA Report and proposal form_A01 Rohm Hass Internal Pricing 08-06-07_20090122_Voestalpine_Global Price List_China" xfId="845" xr:uid="{00000000-0005-0000-0000-0000E4030000}"/>
    <cellStyle name="_RGSE - SMA Report and proposal form_A01 Rohm Hass Internal Pricing 08-06-07_20090123 Pricing for Voestalpine - JAPAN- V.2" xfId="846" xr:uid="{00000000-0005-0000-0000-0000E5030000}"/>
    <cellStyle name="_RGSE - SMA Report and proposal form_A01 Rohm Hass Internal Pricing 08-06-07_20090203_Voestalpine_Global Price List (Korea)" xfId="847" xr:uid="{00000000-0005-0000-0000-0000E6030000}"/>
    <cellStyle name="_RGSE - SMA Report and proposal form_A01 Rohm Hass Internal Pricing 08-06-07_Voestalpine  Pricing -RCN 090318 Helen's Amendment 2" xfId="848" xr:uid="{00000000-0005-0000-0000-0000E7030000}"/>
    <cellStyle name="_RGSE - SMA Report and proposal form_APAC_Pricing" xfId="849" xr:uid="{00000000-0005-0000-0000-0000E8030000}"/>
    <cellStyle name="_RGSE - SMA Report and proposal form_B03 Daimler Chrysler Internal pricing for Minimum Prices Service Prices SP3200SF" xfId="850" xr:uid="{00000000-0005-0000-0000-0000E9030000}"/>
    <cellStyle name="_RGSE - SMA Report and proposal form_C01 Hannover Client Pricing 30-04-08" xfId="851" xr:uid="{00000000-0005-0000-0000-0000EA030000}"/>
    <cellStyle name="_RGSE - SMA Report and proposal form_Kaeser Kompressoren pricing" xfId="852" xr:uid="{00000000-0005-0000-0000-0000EB030000}"/>
    <cellStyle name="_RGSE - SMA Report and proposal form_Voestalpine  Pricing -RCN 090318 Helen's Amendment 2" xfId="853" xr:uid="{00000000-0005-0000-0000-0000EC030000}"/>
    <cellStyle name="_RGSE Attach 4-A - MPS Supplier Pricing Forms" xfId="854" xr:uid="{00000000-0005-0000-0000-0000ED030000}"/>
    <cellStyle name="_RGSE Pricing Template Solvay 30-10-08" xfId="855" xr:uid="{00000000-0005-0000-0000-0000EE030000}"/>
    <cellStyle name="_Rohm Haas OAA TEMPLATE 5-29-07" xfId="856" xr:uid="{00000000-0005-0000-0000-0000EF030000}"/>
    <cellStyle name="_RX23" xfId="857" xr:uid="{00000000-0005-0000-0000-0000F0030000}"/>
    <cellStyle name="_RX23_20070524 Oerlikon Price request Korea" xfId="858" xr:uid="{00000000-0005-0000-0000-0000F1030000}"/>
    <cellStyle name="_RX23_Oerlikon Information request" xfId="859" xr:uid="{00000000-0005-0000-0000-0000F2030000}"/>
    <cellStyle name="_RX23_Oerlikon Price request China_24.05.2007." xfId="860" xr:uid="{00000000-0005-0000-0000-0000F3030000}"/>
    <cellStyle name="_RX23_Oerlikon Price request India" xfId="861" xr:uid="{00000000-0005-0000-0000-0000F4030000}"/>
    <cellStyle name="_RX23_Oerlikon Price request Japan" xfId="862" xr:uid="{00000000-0005-0000-0000-0000F5030000}"/>
    <cellStyle name="_SOLVAY_OAA" xfId="863" xr:uid="{00000000-0005-0000-0000-0000F6030000}"/>
    <cellStyle name="_SUEZ Contacts Europe and progress report tracker 17082007" xfId="864" xr:uid="{00000000-0005-0000-0000-0000F7030000}"/>
    <cellStyle name="_Support Calculation for service (12 Nov 04) v3drp" xfId="865" xr:uid="{00000000-0005-0000-0000-0000F8030000}"/>
    <cellStyle name="_SUPTABLE 2007" xfId="866" xr:uid="{00000000-0005-0000-0000-0000F9030000}"/>
    <cellStyle name="_SUPTABLE 2007_21_RGSE_Product Marketing_Master File _Jan 09" xfId="867" xr:uid="{00000000-0005-0000-0000-0000FA030000}"/>
    <cellStyle name="_SUPTABLE 2007_Support Schedule-Direct" xfId="868" xr:uid="{00000000-0005-0000-0000-0000FB030000}"/>
    <cellStyle name="_SUPTABLE 2007_Support Schedule-Indirect" xfId="869" xr:uid="{00000000-0005-0000-0000-0000FC030000}"/>
    <cellStyle name="_SUPTABLE 2008-II" xfId="870" xr:uid="{00000000-0005-0000-0000-0000FD030000}"/>
    <cellStyle name="_template 1" xfId="871" xr:uid="{00000000-0005-0000-0000-0000FE030000}"/>
    <cellStyle name="_Tracker TRW" xfId="872" xr:uid="{00000000-0005-0000-0000-0000FF030000}"/>
    <cellStyle name="_Tracker TRW_~6728952" xfId="873" xr:uid="{00000000-0005-0000-0000-000000040000}"/>
    <cellStyle name="_Tracker TRW_~6728952 2" xfId="1265" xr:uid="{00000000-0005-0000-0000-000001040000}"/>
    <cellStyle name="_Tracker TRW_20090122_Voestalpine_Global Price List_China" xfId="874" xr:uid="{00000000-0005-0000-0000-000002040000}"/>
    <cellStyle name="_Tracker TRW_20090122_Voestalpine_Global Price List_China 2" xfId="1266" xr:uid="{00000000-0005-0000-0000-000003040000}"/>
    <cellStyle name="_Tracker TRW_20090123 Pricing for Voestalpine - JAPAN- V.2" xfId="875" xr:uid="{00000000-0005-0000-0000-000004040000}"/>
    <cellStyle name="_Tracker TRW_20090123 Pricing for Voestalpine - JAPAN- V.2 2" xfId="1267" xr:uid="{00000000-0005-0000-0000-000005040000}"/>
    <cellStyle name="_Tracker TRW_20090203_Voestalpine_Global Price List (Korea)" xfId="876" xr:uid="{00000000-0005-0000-0000-000006040000}"/>
    <cellStyle name="_Tracker TRW_20090203_Voestalpine_Global Price List (Korea) 2" xfId="1268" xr:uid="{00000000-0005-0000-0000-000007040000}"/>
    <cellStyle name="_Tracker TRW_20090326_Kaeser Kompressoren_Korea Price List" xfId="877" xr:uid="{00000000-0005-0000-0000-000008040000}"/>
    <cellStyle name="_Tracker TRW_20090326_Kaeser Kompressoren_Korea Price List 2" xfId="1269" xr:uid="{00000000-0005-0000-0000-000009040000}"/>
    <cellStyle name="_Tracker TRW_A01 Kaeser Kompressoren - Global Price Request 23-03-09" xfId="878" xr:uid="{00000000-0005-0000-0000-00000A040000}"/>
    <cellStyle name="_Tracker TRW_A01 Kaeser Kompressoren - Hardware Price List 31-03-09 Global" xfId="879" xr:uid="{00000000-0005-0000-0000-00000B040000}"/>
    <cellStyle name="_Tracker TRW_A01 Kaeser Kompressoren - Hardware Price List 31-03-09 Global 2" xfId="1270" xr:uid="{00000000-0005-0000-0000-00000C040000}"/>
    <cellStyle name="_Tracker TRW_A01 Kaeser Kompressoren - Price List 02-04-09" xfId="880" xr:uid="{00000000-0005-0000-0000-00000D040000}"/>
    <cellStyle name="_Tracker TRW_A01 Kaeser Kompressoren - Price List 02-04-09 2" xfId="1271" xr:uid="{00000000-0005-0000-0000-00000E040000}"/>
    <cellStyle name="_Tracker TRW_A01 Kaeser Kompressoren - Price List 31-03-09 EMEA" xfId="881" xr:uid="{00000000-0005-0000-0000-00000F040000}"/>
    <cellStyle name="_Tracker TRW_A01 Kaeser Kompressoren - Price List 31-03-09 Global" xfId="882" xr:uid="{00000000-0005-0000-0000-000010040000}"/>
    <cellStyle name="_Tracker TRW_A01 Kaeser Kompressoren - Price List 31-03-09 Global 2" xfId="1272" xr:uid="{00000000-0005-0000-0000-000011040000}"/>
    <cellStyle name="_Tracker TRW_Kaeser Kompressoren pricing" xfId="883" xr:uid="{00000000-0005-0000-0000-000012040000}"/>
    <cellStyle name="_Tracker TRW_Kaeser Kompressoren pricing 2" xfId="1273" xr:uid="{00000000-0005-0000-0000-000013040000}"/>
    <cellStyle name="_Tracker TRW_Voestalpine  Pricing -RCN 090318 Helen's Amendment 2" xfId="884" xr:uid="{00000000-0005-0000-0000-000014040000}"/>
    <cellStyle name="_Tracker TRW_Voestalpine  Pricing -RCN 090318 Helen's Amendment 2 2" xfId="1274" xr:uid="{00000000-0005-0000-0000-000015040000}"/>
    <cellStyle name="_UNISYS Benchmark prices 05.07.07" xfId="885" xr:uid="{00000000-0005-0000-0000-000016040000}"/>
    <cellStyle name="_UNISYS Benchmark prices revised 06.07.07" xfId="886" xr:uid="{00000000-0005-0000-0000-000017040000}"/>
    <cellStyle name="_UNISYS Benchmark prices revised BIS 06.07.07" xfId="887" xr:uid="{00000000-0005-0000-0000-000018040000}"/>
    <cellStyle name="_V2_A04_Henkel - Client Prices 02-10-06_with_German_Lease_Factors" xfId="888" xr:uid="{00000000-0005-0000-0000-000019040000}"/>
    <cellStyle name="_V2_A04_Henkel - Client Prices 02-10-06_with_German_Lease_Factors_~9355017" xfId="889" xr:uid="{00000000-0005-0000-0000-00001A040000}"/>
    <cellStyle name="_V2_A04_Henkel - Client Prices 02-10-06_with_German_Lease_Factors_~9355017_20070524 Oerlikon Price request Korea" xfId="890" xr:uid="{00000000-0005-0000-0000-00001B040000}"/>
    <cellStyle name="_V2_A04_Henkel - Client Prices 02-10-06_with_German_Lease_Factors_~9355017_Oerlikon Information request" xfId="891" xr:uid="{00000000-0005-0000-0000-00001C040000}"/>
    <cellStyle name="_V2_A04_Henkel - Client Prices 02-10-06_with_German_Lease_Factors_~9355017_Oerlikon Price request China_24.05.2007." xfId="892" xr:uid="{00000000-0005-0000-0000-00001D040000}"/>
    <cellStyle name="_V2_A04_Henkel - Client Prices 02-10-06_with_German_Lease_Factors_~9355017_Oerlikon Price request India" xfId="893" xr:uid="{00000000-0005-0000-0000-00001E040000}"/>
    <cellStyle name="_V2_A04_Henkel - Client Prices 02-10-06_with_German_Lease_Factors_~9355017_Oerlikon Price request Japan" xfId="894" xr:uid="{00000000-0005-0000-0000-00001F040000}"/>
    <cellStyle name="_V2_A04_Henkel - Client Prices 02-10-06_with_German_Lease_Factors_20070524 Oerlikon Price request Korea" xfId="895" xr:uid="{00000000-0005-0000-0000-000020040000}"/>
    <cellStyle name="_V2_A04_Henkel - Client Prices 02-10-06_with_German_Lease_Factors_Bayer_MPC4500_Benchmark for Japan " xfId="896" xr:uid="{00000000-0005-0000-0000-000021040000}"/>
    <cellStyle name="_V2_A04_Henkel - Client Prices 02-10-06_with_German_Lease_Factors_Bayer_MPC4500_Benchmark for Japan _20070524 Oerlikon Price request Korea" xfId="897" xr:uid="{00000000-0005-0000-0000-000022040000}"/>
    <cellStyle name="_V2_A04_Henkel - Client Prices 02-10-06_with_German_Lease_Factors_Bayer_MPC4500_Benchmark for Japan _Oerlikon Information request" xfId="898" xr:uid="{00000000-0005-0000-0000-000023040000}"/>
    <cellStyle name="_V2_A04_Henkel - Client Prices 02-10-06_with_German_Lease_Factors_Bayer_MPC4500_Benchmark for Japan _Oerlikon Price request China_24.05.2007." xfId="899" xr:uid="{00000000-0005-0000-0000-000024040000}"/>
    <cellStyle name="_V2_A04_Henkel - Client Prices 02-10-06_with_German_Lease_Factors_Bayer_MPC4500_Benchmark for Japan _Oerlikon Price request India" xfId="900" xr:uid="{00000000-0005-0000-0000-000025040000}"/>
    <cellStyle name="_V2_A04_Henkel - Client Prices 02-10-06_with_German_Lease_Factors_Bayer_MPC4500_Benchmark for Japan _Oerlikon Price request Japan" xfId="901" xr:uid="{00000000-0005-0000-0000-000026040000}"/>
    <cellStyle name="_V2_A04_Henkel - Client Prices 02-10-06_with_German_Lease_Factors_Oerlikon Information request" xfId="902" xr:uid="{00000000-0005-0000-0000-000027040000}"/>
    <cellStyle name="_V2_A04_Henkel - Client Prices 02-10-06_with_German_Lease_Factors_Oerlikon Price request China_24.05.2007." xfId="903" xr:uid="{00000000-0005-0000-0000-000028040000}"/>
    <cellStyle name="_V2_A04_Henkel - Client Prices 02-10-06_with_German_Lease_Factors_Oerlikon Price request India" xfId="904" xr:uid="{00000000-0005-0000-0000-000029040000}"/>
    <cellStyle name="_V2_A04_Henkel - Client Prices 02-10-06_with_German_Lease_Factors_Oerlikon Price request Japan" xfId="905" xr:uid="{00000000-0005-0000-0000-00002A040000}"/>
    <cellStyle name="_V2_A04_Henkel - Client Prices 02-10-06_with_German_Lease_Factors_Toner_Pricing_for_MFP's" xfId="906" xr:uid="{00000000-0005-0000-0000-00002B040000}"/>
    <cellStyle name="_V2_A04_Henkel - Client Prices 02-10-06_with_German_Lease_Factors_Toner_Pricing_for_MFP's_~9355017" xfId="907" xr:uid="{00000000-0005-0000-0000-00002C040000}"/>
    <cellStyle name="_V2_A04_Henkel - Client Prices 02-10-06_with_German_Lease_Factors_Toner_Pricing_for_MFP's_~9355017_20070524 Oerlikon Price request Korea" xfId="908" xr:uid="{00000000-0005-0000-0000-00002D040000}"/>
    <cellStyle name="_V2_A04_Henkel - Client Prices 02-10-06_with_German_Lease_Factors_Toner_Pricing_for_MFP's_~9355017_Oerlikon Information request" xfId="909" xr:uid="{00000000-0005-0000-0000-00002E040000}"/>
    <cellStyle name="_V2_A04_Henkel - Client Prices 02-10-06_with_German_Lease_Factors_Toner_Pricing_for_MFP's_~9355017_Oerlikon Price request China_24.05.2007." xfId="910" xr:uid="{00000000-0005-0000-0000-00002F040000}"/>
    <cellStyle name="_V2_A04_Henkel - Client Prices 02-10-06_with_German_Lease_Factors_Toner_Pricing_for_MFP's_~9355017_Oerlikon Price request India" xfId="911" xr:uid="{00000000-0005-0000-0000-000030040000}"/>
    <cellStyle name="_V2_A04_Henkel - Client Prices 02-10-06_with_German_Lease_Factors_Toner_Pricing_for_MFP's_~9355017_Oerlikon Price request Japan" xfId="912" xr:uid="{00000000-0005-0000-0000-000031040000}"/>
    <cellStyle name="_V2_A04_Henkel - Client Prices 02-10-06_with_German_Lease_Factors_Toner_Pricing_for_MFP's_20070524 Oerlikon Price request Korea" xfId="913" xr:uid="{00000000-0005-0000-0000-000032040000}"/>
    <cellStyle name="_V2_A04_Henkel - Client Prices 02-10-06_with_German_Lease_Factors_Toner_Pricing_for_MFP's_Bayer_MPC4500_Benchmark for Japan " xfId="914" xr:uid="{00000000-0005-0000-0000-000033040000}"/>
    <cellStyle name="_V2_A04_Henkel - Client Prices 02-10-06_with_German_Lease_Factors_Toner_Pricing_for_MFP's_Bayer_MPC4500_Benchmark for Japan _20070524 Oerlikon Price request Korea" xfId="915" xr:uid="{00000000-0005-0000-0000-000034040000}"/>
    <cellStyle name="_V2_A04_Henkel - Client Prices 02-10-06_with_German_Lease_Factors_Toner_Pricing_for_MFP's_Bayer_MPC4500_Benchmark for Japan _Oerlikon Information request" xfId="916" xr:uid="{00000000-0005-0000-0000-000035040000}"/>
    <cellStyle name="_V2_A04_Henkel - Client Prices 02-10-06_with_German_Lease_Factors_Toner_Pricing_for_MFP's_Bayer_MPC4500_Benchmark for Japan _Oerlikon Price request China_24.05.2007." xfId="917" xr:uid="{00000000-0005-0000-0000-000036040000}"/>
    <cellStyle name="_V2_A04_Henkel - Client Prices 02-10-06_with_German_Lease_Factors_Toner_Pricing_for_MFP's_Bayer_MPC4500_Benchmark for Japan _Oerlikon Price request India" xfId="918" xr:uid="{00000000-0005-0000-0000-000037040000}"/>
    <cellStyle name="_V2_A04_Henkel - Client Prices 02-10-06_with_German_Lease_Factors_Toner_Pricing_for_MFP's_Bayer_MPC4500_Benchmark for Japan _Oerlikon Price request Japan" xfId="919" xr:uid="{00000000-0005-0000-0000-000038040000}"/>
    <cellStyle name="_V2_A04_Henkel - Client Prices 02-10-06_with_German_Lease_Factors_Toner_Pricing_for_MFP's_Oerlikon Information request" xfId="920" xr:uid="{00000000-0005-0000-0000-000039040000}"/>
    <cellStyle name="_V2_A04_Henkel - Client Prices 02-10-06_with_German_Lease_Factors_Toner_Pricing_for_MFP's_Oerlikon Price request China_24.05.2007." xfId="921" xr:uid="{00000000-0005-0000-0000-00003A040000}"/>
    <cellStyle name="_V2_A04_Henkel - Client Prices 02-10-06_with_German_Lease_Factors_Toner_Pricing_for_MFP's_Oerlikon Price request India" xfId="922" xr:uid="{00000000-0005-0000-0000-00003B040000}"/>
    <cellStyle name="_V2_A04_Henkel - Client Prices 02-10-06_with_German_Lease_Factors_Toner_Pricing_for_MFP's_Oerlikon Price request Japan" xfId="923" xr:uid="{00000000-0005-0000-0000-00003C040000}"/>
    <cellStyle name="_V6_A04_Henkel_Pricing" xfId="924" xr:uid="{00000000-0005-0000-0000-00003D040000}"/>
    <cellStyle name="_V6_A04_Henkel_Pricing_20070524 Oerlikon Price request Korea" xfId="925" xr:uid="{00000000-0005-0000-0000-00003E040000}"/>
    <cellStyle name="_V6_A04_Henkel_Pricing_Oerlikon Information request" xfId="926" xr:uid="{00000000-0005-0000-0000-00003F040000}"/>
    <cellStyle name="_V6_A04_Henkel_Pricing_Oerlikon Price request China_24.05.2007." xfId="927" xr:uid="{00000000-0005-0000-0000-000040040000}"/>
    <cellStyle name="_V6_A04_Henkel_Pricing_Oerlikon Price request India" xfId="928" xr:uid="{00000000-0005-0000-0000-000041040000}"/>
    <cellStyle name="_V6_A04_Henkel_Pricing_Oerlikon Price request Japan" xfId="929" xr:uid="{00000000-0005-0000-0000-000042040000}"/>
    <cellStyle name="_Vattenfall_List of Supplier Companies_Europe 16-03-07 V2" xfId="930" xr:uid="{00000000-0005-0000-0000-000043040000}"/>
    <cellStyle name="_Vattenfall_List of Supplier Companies_Europe 16-03-07 V2_20070524 Oerlikon Price request Korea" xfId="931" xr:uid="{00000000-0005-0000-0000-000044040000}"/>
    <cellStyle name="_Vattenfall_List of Supplier Companies_Europe 16-03-07 V2_Oerlikon Information request" xfId="932" xr:uid="{00000000-0005-0000-0000-000045040000}"/>
    <cellStyle name="_Vattenfall_List of Supplier Companies_Europe 16-03-07 V2_Oerlikon Price request China_24.05.2007." xfId="933" xr:uid="{00000000-0005-0000-0000-000046040000}"/>
    <cellStyle name="_Vattenfall_List of Supplier Companies_Europe 16-03-07 V2_Oerlikon Price request India" xfId="934" xr:uid="{00000000-0005-0000-0000-000047040000}"/>
    <cellStyle name="_Vattenfall_List of Supplier Companies_Europe 16-03-07 V2_Oerlikon Price request Japan" xfId="935" xr:uid="{00000000-0005-0000-0000-000048040000}"/>
    <cellStyle name="=C:\WINDOWS\SYSTEM32\COMMAND.COM" xfId="936" xr:uid="{00000000-0005-0000-0000-000049040000}"/>
    <cellStyle name="=C:\WINDOWS\SYSTEM32\COMMAND.COM 2" xfId="937" xr:uid="{00000000-0005-0000-0000-00004A040000}"/>
    <cellStyle name="=C:\WINDOWS\SYSTEM32\COMMAND.COM 2 2" xfId="1276" xr:uid="{00000000-0005-0000-0000-00004B040000}"/>
    <cellStyle name="=C:\WINDOWS\SYSTEM32\COMMAND.COM 3" xfId="1275" xr:uid="{00000000-0005-0000-0000-00004C040000}"/>
    <cellStyle name="=C:\WINDOWS\SYSTEM32\COMMAND.COM_A01 Accenture Client Pricing 17-04-09" xfId="938" xr:uid="{00000000-0005-0000-0000-00004D040000}"/>
    <cellStyle name="1 Indent" xfId="939" xr:uid="{00000000-0005-0000-0000-00004E040000}"/>
    <cellStyle name="1 Indent 2" xfId="1277" xr:uid="{00000000-0005-0000-0000-00004F040000}"/>
    <cellStyle name="20 % - Accent1" xfId="940" xr:uid="{00000000-0005-0000-0000-000050040000}"/>
    <cellStyle name="20 % - Accent2" xfId="941" xr:uid="{00000000-0005-0000-0000-000051040000}"/>
    <cellStyle name="20 % - Accent3" xfId="942" xr:uid="{00000000-0005-0000-0000-000052040000}"/>
    <cellStyle name="20 % - Accent4" xfId="943" xr:uid="{00000000-0005-0000-0000-000053040000}"/>
    <cellStyle name="20 % - Accent5" xfId="944" xr:uid="{00000000-0005-0000-0000-000054040000}"/>
    <cellStyle name="20 % - Accent6" xfId="945" xr:uid="{00000000-0005-0000-0000-000055040000}"/>
    <cellStyle name="40 % - Accent1" xfId="946" xr:uid="{00000000-0005-0000-0000-000056040000}"/>
    <cellStyle name="40 % - Accent2" xfId="947" xr:uid="{00000000-0005-0000-0000-000057040000}"/>
    <cellStyle name="40 % - Accent3" xfId="948" xr:uid="{00000000-0005-0000-0000-000058040000}"/>
    <cellStyle name="40 % - Accent4" xfId="949" xr:uid="{00000000-0005-0000-0000-000059040000}"/>
    <cellStyle name="40 % - Accent5" xfId="950" xr:uid="{00000000-0005-0000-0000-00005A040000}"/>
    <cellStyle name="40 % - Accent6" xfId="951" xr:uid="{00000000-0005-0000-0000-00005B040000}"/>
    <cellStyle name="60 % - Accent1" xfId="952" xr:uid="{00000000-0005-0000-0000-00005C040000}"/>
    <cellStyle name="60 % - Accent2" xfId="953" xr:uid="{00000000-0005-0000-0000-00005D040000}"/>
    <cellStyle name="60 % - Accent3" xfId="954" xr:uid="{00000000-0005-0000-0000-00005E040000}"/>
    <cellStyle name="60 % - Accent4" xfId="955" xr:uid="{00000000-0005-0000-0000-00005F040000}"/>
    <cellStyle name="60 % - Accent5" xfId="956" xr:uid="{00000000-0005-0000-0000-000060040000}"/>
    <cellStyle name="60 % - Accent6" xfId="957" xr:uid="{00000000-0005-0000-0000-000061040000}"/>
    <cellStyle name="Avertissement" xfId="958" xr:uid="{00000000-0005-0000-0000-000062040000}"/>
    <cellStyle name="Basic" xfId="959" xr:uid="{00000000-0005-0000-0000-000063040000}"/>
    <cellStyle name="Basic 2" xfId="1833" xr:uid="{00000000-0005-0000-0000-000064040000}"/>
    <cellStyle name="Basic 2 2" xfId="2193" xr:uid="{00000000-0005-0000-0000-000065040000}"/>
    <cellStyle name="Basic 2 2 2" xfId="2541" xr:uid="{00000000-0005-0000-0000-000066040000}"/>
    <cellStyle name="Basic 2 3" xfId="2212" xr:uid="{00000000-0005-0000-0000-000067040000}"/>
    <cellStyle name="Basic 2 3 2" xfId="2556" xr:uid="{00000000-0005-0000-0000-000068040000}"/>
    <cellStyle name="Basic 2 4" xfId="2358" xr:uid="{00000000-0005-0000-0000-000069040000}"/>
    <cellStyle name="Basic 3" xfId="1623" xr:uid="{00000000-0005-0000-0000-00006A040000}"/>
    <cellStyle name="Basic 3 2" xfId="2452" xr:uid="{00000000-0005-0000-0000-00006B040000}"/>
    <cellStyle name="Basic 4" xfId="1610" xr:uid="{00000000-0005-0000-0000-00006C040000}"/>
    <cellStyle name="Basic 4 2" xfId="2407" xr:uid="{00000000-0005-0000-0000-00006D040000}"/>
    <cellStyle name="Basic 5" xfId="2309" xr:uid="{00000000-0005-0000-0000-00006E040000}"/>
    <cellStyle name="Basic 6" xfId="2351" xr:uid="{00000000-0005-0000-0000-00006F040000}"/>
    <cellStyle name="Besuchter Hyperlink" xfId="960" xr:uid="{00000000-0005-0000-0000-000070040000}"/>
    <cellStyle name="Bold" xfId="961" xr:uid="{00000000-0005-0000-0000-000071040000}"/>
    <cellStyle name="Bold 2" xfId="1806" xr:uid="{00000000-0005-0000-0000-000072040000}"/>
    <cellStyle name="Bold 2 2" xfId="2192" xr:uid="{00000000-0005-0000-0000-000073040000}"/>
    <cellStyle name="Bold 2 2 2" xfId="2540" xr:uid="{00000000-0005-0000-0000-000074040000}"/>
    <cellStyle name="Bold 2 3" xfId="2213" xr:uid="{00000000-0005-0000-0000-000075040000}"/>
    <cellStyle name="Bold 2 3 2" xfId="2557" xr:uid="{00000000-0005-0000-0000-000076040000}"/>
    <cellStyle name="Bold 2 4" xfId="2359" xr:uid="{00000000-0005-0000-0000-000077040000}"/>
    <cellStyle name="Bold 3" xfId="1570" xr:uid="{00000000-0005-0000-0000-000078040000}"/>
    <cellStyle name="Bold 3 2" xfId="2453" xr:uid="{00000000-0005-0000-0000-000079040000}"/>
    <cellStyle name="Bold 4" xfId="1609" xr:uid="{00000000-0005-0000-0000-00007A040000}"/>
    <cellStyle name="Bold 4 2" xfId="2408" xr:uid="{00000000-0005-0000-0000-00007B040000}"/>
    <cellStyle name="Bold 5" xfId="2308" xr:uid="{00000000-0005-0000-0000-00007C040000}"/>
    <cellStyle name="Bold 6" xfId="2350" xr:uid="{00000000-0005-0000-0000-00007D040000}"/>
    <cellStyle name="Calc Currency (0)" xfId="962" xr:uid="{00000000-0005-0000-0000-00007E040000}"/>
    <cellStyle name="Calc Currency (0) 2" xfId="1278" xr:uid="{00000000-0005-0000-0000-00007F040000}"/>
    <cellStyle name="Calcul" xfId="963" xr:uid="{00000000-0005-0000-0000-000080040000}"/>
    <cellStyle name="Calcul 2" xfId="1832" xr:uid="{00000000-0005-0000-0000-000081040000}"/>
    <cellStyle name="Calcul 2 2" xfId="1561" xr:uid="{00000000-0005-0000-0000-000082040000}"/>
    <cellStyle name="Calcul 2 2 2" xfId="2462" xr:uid="{00000000-0005-0000-0000-000083040000}"/>
    <cellStyle name="Calcul 2 3" xfId="2214" xr:uid="{00000000-0005-0000-0000-000084040000}"/>
    <cellStyle name="Calcul 2 3 2" xfId="2558" xr:uid="{00000000-0005-0000-0000-000085040000}"/>
    <cellStyle name="Calcul 2 4" xfId="2360" xr:uid="{00000000-0005-0000-0000-000086040000}"/>
    <cellStyle name="Calcul 3" xfId="1569" xr:uid="{00000000-0005-0000-0000-000087040000}"/>
    <cellStyle name="Calcul 3 2" xfId="2454" xr:uid="{00000000-0005-0000-0000-000088040000}"/>
    <cellStyle name="Calcul 4" xfId="1608" xr:uid="{00000000-0005-0000-0000-000089040000}"/>
    <cellStyle name="Calcul 4 2" xfId="2409" xr:uid="{00000000-0005-0000-0000-00008A040000}"/>
    <cellStyle name="Calcul 5" xfId="2307" xr:uid="{00000000-0005-0000-0000-00008B040000}"/>
    <cellStyle name="Calcul 6" xfId="2349" xr:uid="{00000000-0005-0000-0000-00008C040000}"/>
    <cellStyle name="Cellule liée" xfId="964" xr:uid="{00000000-0005-0000-0000-00008D040000}"/>
    <cellStyle name="Comma  - Style1" xfId="965" xr:uid="{00000000-0005-0000-0000-00008E040000}"/>
    <cellStyle name="Comma  - Style2" xfId="966" xr:uid="{00000000-0005-0000-0000-00008F040000}"/>
    <cellStyle name="Comma  - Style3" xfId="967" xr:uid="{00000000-0005-0000-0000-000090040000}"/>
    <cellStyle name="Comma  - Style4" xfId="968" xr:uid="{00000000-0005-0000-0000-000091040000}"/>
    <cellStyle name="Comma  - Style5" xfId="969" xr:uid="{00000000-0005-0000-0000-000092040000}"/>
    <cellStyle name="Comma  - Style6" xfId="970" xr:uid="{00000000-0005-0000-0000-000093040000}"/>
    <cellStyle name="Comma  - Style7" xfId="971" xr:uid="{00000000-0005-0000-0000-000094040000}"/>
    <cellStyle name="Comma  - Style8" xfId="972" xr:uid="{00000000-0005-0000-0000-000095040000}"/>
    <cellStyle name="Comma [0] 2" xfId="973" xr:uid="{00000000-0005-0000-0000-000096040000}"/>
    <cellStyle name="Comma [0] 3" xfId="974" xr:uid="{00000000-0005-0000-0000-000097040000}"/>
    <cellStyle name="Comma 2" xfId="975" xr:uid="{00000000-0005-0000-0000-000098040000}"/>
    <cellStyle name="Comma 2 2" xfId="976" xr:uid="{00000000-0005-0000-0000-000099040000}"/>
    <cellStyle name="Comma 2 2 2" xfId="1279" xr:uid="{00000000-0005-0000-0000-00009A040000}"/>
    <cellStyle name="Comma 2 3" xfId="977" xr:uid="{00000000-0005-0000-0000-00009B040000}"/>
    <cellStyle name="Comma 3" xfId="978" xr:uid="{00000000-0005-0000-0000-00009C040000}"/>
    <cellStyle name="Comma 4" xfId="1280" xr:uid="{00000000-0005-0000-0000-00009D040000}"/>
    <cellStyle name="Commentaire" xfId="979" xr:uid="{00000000-0005-0000-0000-00009E040000}"/>
    <cellStyle name="Commentaire 2" xfId="1281" xr:uid="{00000000-0005-0000-0000-00009F040000}"/>
    <cellStyle name="Commentaire 2 2" xfId="1827" xr:uid="{00000000-0005-0000-0000-0000A0040000}"/>
    <cellStyle name="Commentaire 2 2 2" xfId="2183" xr:uid="{00000000-0005-0000-0000-0000A1040000}"/>
    <cellStyle name="Commentaire 2 2 2 2" xfId="2531" xr:uid="{00000000-0005-0000-0000-0000A2040000}"/>
    <cellStyle name="Commentaire 2 2 3" xfId="2257" xr:uid="{00000000-0005-0000-0000-0000A3040000}"/>
    <cellStyle name="Commentaire 2 2 3 2" xfId="2601" xr:uid="{00000000-0005-0000-0000-0000A4040000}"/>
    <cellStyle name="Commentaire 2 2 4" xfId="2403" xr:uid="{00000000-0005-0000-0000-0000A5040000}"/>
    <cellStyle name="Commentaire 2 3" xfId="2188" xr:uid="{00000000-0005-0000-0000-0000A6040000}"/>
    <cellStyle name="Commentaire 2 3 2" xfId="2536" xr:uid="{00000000-0005-0000-0000-0000A7040000}"/>
    <cellStyle name="Commentaire 2 4" xfId="1572" xr:uid="{00000000-0005-0000-0000-0000A8040000}"/>
    <cellStyle name="Commentaire 2 4 2" xfId="2450" xr:uid="{00000000-0005-0000-0000-0000A9040000}"/>
    <cellStyle name="Commentaire 2 5" xfId="2261" xr:uid="{00000000-0005-0000-0000-0000AA040000}"/>
    <cellStyle name="Commentaire 2 6" xfId="2266" xr:uid="{00000000-0005-0000-0000-0000AB040000}"/>
    <cellStyle name="Commentaire 3" xfId="1798" xr:uid="{00000000-0005-0000-0000-0000AC040000}"/>
    <cellStyle name="Commentaire 3 2" xfId="2194" xr:uid="{00000000-0005-0000-0000-0000AD040000}"/>
    <cellStyle name="Commentaire 3 2 2" xfId="2542" xr:uid="{00000000-0005-0000-0000-0000AE040000}"/>
    <cellStyle name="Commentaire 3 3" xfId="2215" xr:uid="{00000000-0005-0000-0000-0000AF040000}"/>
    <cellStyle name="Commentaire 3 3 2" xfId="2559" xr:uid="{00000000-0005-0000-0000-0000B0040000}"/>
    <cellStyle name="Commentaire 3 4" xfId="2361" xr:uid="{00000000-0005-0000-0000-0000B1040000}"/>
    <cellStyle name="Commentaire 4" xfId="1568" xr:uid="{00000000-0005-0000-0000-0000B2040000}"/>
    <cellStyle name="Commentaire 4 2" xfId="2455" xr:uid="{00000000-0005-0000-0000-0000B3040000}"/>
    <cellStyle name="Commentaire 5" xfId="1607" xr:uid="{00000000-0005-0000-0000-0000B4040000}"/>
    <cellStyle name="Commentaire 5 2" xfId="2410" xr:uid="{00000000-0005-0000-0000-0000B5040000}"/>
    <cellStyle name="Commentaire 6" xfId="2306" xr:uid="{00000000-0005-0000-0000-0000B6040000}"/>
    <cellStyle name="Commentaire 7" xfId="2348" xr:uid="{00000000-0005-0000-0000-0000B7040000}"/>
    <cellStyle name="Currency [0]" xfId="2981" builtinId="7"/>
    <cellStyle name="Currency [0] 2" xfId="980" xr:uid="{00000000-0005-0000-0000-0000B8040000}"/>
    <cellStyle name="Currency 10" xfId="1325" xr:uid="{00000000-0005-0000-0000-0000B9040000}"/>
    <cellStyle name="Currency 11" xfId="1344" xr:uid="{00000000-0005-0000-0000-0000BA040000}"/>
    <cellStyle name="Currency 12" xfId="1354" xr:uid="{00000000-0005-0000-0000-0000BB040000}"/>
    <cellStyle name="Currency 13" xfId="1338" xr:uid="{00000000-0005-0000-0000-0000BC040000}"/>
    <cellStyle name="Currency 14" xfId="1362" xr:uid="{00000000-0005-0000-0000-0000BD040000}"/>
    <cellStyle name="Currency 15" xfId="1404" xr:uid="{00000000-0005-0000-0000-0000BE040000}"/>
    <cellStyle name="Currency 16" xfId="1441" xr:uid="{00000000-0005-0000-0000-0000BF040000}"/>
    <cellStyle name="Currency 17" xfId="1307" xr:uid="{00000000-0005-0000-0000-0000C0040000}"/>
    <cellStyle name="Currency 18" xfId="1452" xr:uid="{00000000-0005-0000-0000-0000C1040000}"/>
    <cellStyle name="Currency 19" xfId="1454" xr:uid="{00000000-0005-0000-0000-0000C2040000}"/>
    <cellStyle name="Currency 2" xfId="981" xr:uid="{00000000-0005-0000-0000-0000C3040000}"/>
    <cellStyle name="Currency 2 2" xfId="982" xr:uid="{00000000-0005-0000-0000-0000C4040000}"/>
    <cellStyle name="Currency 2 2 2" xfId="1282" xr:uid="{00000000-0005-0000-0000-0000C5040000}"/>
    <cellStyle name="Currency 2 3" xfId="983" xr:uid="{00000000-0005-0000-0000-0000C6040000}"/>
    <cellStyle name="Currency 2 4" xfId="984" xr:uid="{00000000-0005-0000-0000-0000C7040000}"/>
    <cellStyle name="Currency 20" xfId="1455" xr:uid="{00000000-0005-0000-0000-0000C8040000}"/>
    <cellStyle name="Currency 21" xfId="2039" xr:uid="{00000000-0005-0000-0000-0000C9040000}"/>
    <cellStyle name="Currency 22" xfId="1803" xr:uid="{00000000-0005-0000-0000-0000CA040000}"/>
    <cellStyle name="Currency 23" xfId="1754" xr:uid="{00000000-0005-0000-0000-0000CB040000}"/>
    <cellStyle name="Currency 24" xfId="1789" xr:uid="{00000000-0005-0000-0000-0000CC040000}"/>
    <cellStyle name="Currency 25" xfId="2053" xr:uid="{00000000-0005-0000-0000-0000CD040000}"/>
    <cellStyle name="Currency 26" xfId="2056" xr:uid="{00000000-0005-0000-0000-0000CE040000}"/>
    <cellStyle name="Currency 27" xfId="1776" xr:uid="{00000000-0005-0000-0000-0000CF040000}"/>
    <cellStyle name="Currency 28" xfId="2094" xr:uid="{00000000-0005-0000-0000-0000D0040000}"/>
    <cellStyle name="Currency 29" xfId="2052" xr:uid="{00000000-0005-0000-0000-0000D1040000}"/>
    <cellStyle name="Currency 3" xfId="985" xr:uid="{00000000-0005-0000-0000-0000D2040000}"/>
    <cellStyle name="Currency 3 2" xfId="1283" xr:uid="{00000000-0005-0000-0000-0000D3040000}"/>
    <cellStyle name="Currency 30" xfId="1706" xr:uid="{00000000-0005-0000-0000-0000D4040000}"/>
    <cellStyle name="Currency 31" xfId="1664" xr:uid="{00000000-0005-0000-0000-0000D5040000}"/>
    <cellStyle name="Currency 32" xfId="1618" xr:uid="{00000000-0005-0000-0000-0000D6040000}"/>
    <cellStyle name="Currency 33" xfId="1612" xr:uid="{00000000-0005-0000-0000-0000D7040000}"/>
    <cellStyle name="Currency 34" xfId="1500" xr:uid="{00000000-0005-0000-0000-0000D8040000}"/>
    <cellStyle name="Currency 35" xfId="2610" xr:uid="{00000000-0005-0000-0000-0000D9040000}"/>
    <cellStyle name="Currency 36" xfId="1462" xr:uid="{00000000-0005-0000-0000-0000DA040000}"/>
    <cellStyle name="Currency 37" xfId="2739" xr:uid="{00000000-0005-0000-0000-0000DB040000}"/>
    <cellStyle name="Currency 38" xfId="2738" xr:uid="{00000000-0005-0000-0000-0000DC040000}"/>
    <cellStyle name="Currency 4" xfId="986" xr:uid="{00000000-0005-0000-0000-0000DD040000}"/>
    <cellStyle name="Currency 5" xfId="987" xr:uid="{00000000-0005-0000-0000-0000DE040000}"/>
    <cellStyle name="Currency 5 2" xfId="1284" xr:uid="{00000000-0005-0000-0000-0000DF040000}"/>
    <cellStyle name="Currency 6" xfId="1314" xr:uid="{00000000-0005-0000-0000-0000E0040000}"/>
    <cellStyle name="Currency 7" xfId="1319" xr:uid="{00000000-0005-0000-0000-0000E1040000}"/>
    <cellStyle name="Currency 8" xfId="1331" xr:uid="{00000000-0005-0000-0000-0000E2040000}"/>
    <cellStyle name="Currency 9" xfId="1336" xr:uid="{00000000-0005-0000-0000-0000E3040000}"/>
    <cellStyle name="Décimal 0,0000" xfId="988" xr:uid="{00000000-0005-0000-0000-0000E4040000}"/>
    <cellStyle name="Dezimal [0]_ " xfId="989" xr:uid="{00000000-0005-0000-0000-0000E5040000}"/>
    <cellStyle name="Dezimal_ " xfId="990" xr:uid="{00000000-0005-0000-0000-0000E6040000}"/>
    <cellStyle name="Eingabefeld" xfId="991" xr:uid="{00000000-0005-0000-0000-0000E7040000}"/>
    <cellStyle name="Eingabefeld 2" xfId="1285" xr:uid="{00000000-0005-0000-0000-0000E8040000}"/>
    <cellStyle name="Entrée" xfId="992" xr:uid="{00000000-0005-0000-0000-0000E9040000}"/>
    <cellStyle name="Entrée 2" xfId="1760" xr:uid="{00000000-0005-0000-0000-0000EA040000}"/>
    <cellStyle name="Entrée 2 2" xfId="1560" xr:uid="{00000000-0005-0000-0000-0000EB040000}"/>
    <cellStyle name="Entrée 2 2 2" xfId="2463" xr:uid="{00000000-0005-0000-0000-0000EC040000}"/>
    <cellStyle name="Entrée 2 3" xfId="2216" xr:uid="{00000000-0005-0000-0000-0000ED040000}"/>
    <cellStyle name="Entrée 2 3 2" xfId="2560" xr:uid="{00000000-0005-0000-0000-0000EE040000}"/>
    <cellStyle name="Entrée 2 4" xfId="2362" xr:uid="{00000000-0005-0000-0000-0000EF040000}"/>
    <cellStyle name="Entrée 3" xfId="1567" xr:uid="{00000000-0005-0000-0000-0000F0040000}"/>
    <cellStyle name="Entrée 3 2" xfId="2456" xr:uid="{00000000-0005-0000-0000-0000F1040000}"/>
    <cellStyle name="Entrée 4" xfId="1605" xr:uid="{00000000-0005-0000-0000-0000F2040000}"/>
    <cellStyle name="Entrée 4 2" xfId="2412" xr:uid="{00000000-0005-0000-0000-0000F3040000}"/>
    <cellStyle name="Entrée 5" xfId="2305" xr:uid="{00000000-0005-0000-0000-0000F4040000}"/>
    <cellStyle name="Entrée 6" xfId="2347" xr:uid="{00000000-0005-0000-0000-0000F5040000}"/>
    <cellStyle name="Entry" xfId="993" xr:uid="{00000000-0005-0000-0000-0000F6040000}"/>
    <cellStyle name="Entry 2" xfId="1797" xr:uid="{00000000-0005-0000-0000-0000F7040000}"/>
    <cellStyle name="Entry 2 2" xfId="2187" xr:uid="{00000000-0005-0000-0000-0000F8040000}"/>
    <cellStyle name="Entry 2 2 2" xfId="2535" xr:uid="{00000000-0005-0000-0000-0000F9040000}"/>
    <cellStyle name="Entry 2 3" xfId="2217" xr:uid="{00000000-0005-0000-0000-0000FA040000}"/>
    <cellStyle name="Entry 2 3 2" xfId="2561" xr:uid="{00000000-0005-0000-0000-0000FB040000}"/>
    <cellStyle name="Entry 2 4" xfId="2363" xr:uid="{00000000-0005-0000-0000-0000FC040000}"/>
    <cellStyle name="Entry 3" xfId="1566" xr:uid="{00000000-0005-0000-0000-0000FD040000}"/>
    <cellStyle name="Entry 3 2" xfId="2457" xr:uid="{00000000-0005-0000-0000-0000FE040000}"/>
    <cellStyle name="Entry 4" xfId="1604" xr:uid="{00000000-0005-0000-0000-0000FF040000}"/>
    <cellStyle name="Entry 4 2" xfId="2413" xr:uid="{00000000-0005-0000-0000-000000050000}"/>
    <cellStyle name="Entry 5" xfId="2304" xr:uid="{00000000-0005-0000-0000-000001050000}"/>
    <cellStyle name="Entry 6" xfId="2346" xr:uid="{00000000-0005-0000-0000-000002050000}"/>
    <cellStyle name="Euro" xfId="994" xr:uid="{00000000-0005-0000-0000-000003050000}"/>
    <cellStyle name="Euro 2" xfId="1286" xr:uid="{00000000-0005-0000-0000-000004050000}"/>
    <cellStyle name="Grey" xfId="995" xr:uid="{00000000-0005-0000-0000-000005050000}"/>
    <cellStyle name="Grey 2" xfId="1287" xr:uid="{00000000-0005-0000-0000-000006050000}"/>
    <cellStyle name="Header1" xfId="996" xr:uid="{00000000-0005-0000-0000-000007050000}"/>
    <cellStyle name="Header2" xfId="997" xr:uid="{00000000-0005-0000-0000-000008050000}"/>
    <cellStyle name="Header2 2" xfId="2203" xr:uid="{00000000-0005-0000-0000-000009050000}"/>
    <cellStyle name="Header2 2 2" xfId="2202" xr:uid="{00000000-0005-0000-0000-00000A050000}"/>
    <cellStyle name="Header2 2 2 2" xfId="2550" xr:uid="{00000000-0005-0000-0000-00000B050000}"/>
    <cellStyle name="Header2 2 3" xfId="2218" xr:uid="{00000000-0005-0000-0000-00000C050000}"/>
    <cellStyle name="Header2 2 3 2" xfId="2562" xr:uid="{00000000-0005-0000-0000-00000D050000}"/>
    <cellStyle name="Header2 2 4" xfId="2364" xr:uid="{00000000-0005-0000-0000-00000E050000}"/>
    <cellStyle name="Header2 3" xfId="1565" xr:uid="{00000000-0005-0000-0000-00000F050000}"/>
    <cellStyle name="Header2 3 2" xfId="2458" xr:uid="{00000000-0005-0000-0000-000010050000}"/>
    <cellStyle name="Header2 4" xfId="1603" xr:uid="{00000000-0005-0000-0000-000011050000}"/>
    <cellStyle name="Header2 4 2" xfId="2414" xr:uid="{00000000-0005-0000-0000-000012050000}"/>
    <cellStyle name="Header2 5" xfId="2303" xr:uid="{00000000-0005-0000-0000-000013050000}"/>
    <cellStyle name="Header2 6" xfId="2345" xr:uid="{00000000-0005-0000-0000-000014050000}"/>
    <cellStyle name="Hyperlink" xfId="1111" builtinId="8"/>
    <cellStyle name="Hyperlink 3" xfId="1109" xr:uid="{00000000-0005-0000-0000-000016050000}"/>
    <cellStyle name="Hyperlink 4" xfId="1103" xr:uid="{00000000-0005-0000-0000-000017050000}"/>
    <cellStyle name="Input [yellow]" xfId="998" xr:uid="{00000000-0005-0000-0000-000018050000}"/>
    <cellStyle name="Input [yellow] 2" xfId="1288" xr:uid="{00000000-0005-0000-0000-000019050000}"/>
    <cellStyle name="Input [yellow] 2 2" xfId="2207" xr:uid="{00000000-0005-0000-0000-00001A050000}"/>
    <cellStyle name="Input [yellow] 2 2 2" xfId="2184" xr:uid="{00000000-0005-0000-0000-00001B050000}"/>
    <cellStyle name="Input [yellow] 2 2 2 2" xfId="2532" xr:uid="{00000000-0005-0000-0000-00001C050000}"/>
    <cellStyle name="Input [yellow] 2 2 3" xfId="2258" xr:uid="{00000000-0005-0000-0000-00001D050000}"/>
    <cellStyle name="Input [yellow] 2 2 3 2" xfId="2602" xr:uid="{00000000-0005-0000-0000-00001E050000}"/>
    <cellStyle name="Input [yellow] 2 2 4" xfId="2404" xr:uid="{00000000-0005-0000-0000-00001F050000}"/>
    <cellStyle name="Input [yellow] 2 3" xfId="2191" xr:uid="{00000000-0005-0000-0000-000020050000}"/>
    <cellStyle name="Input [yellow] 2 3 2" xfId="2539" xr:uid="{00000000-0005-0000-0000-000021050000}"/>
    <cellStyle name="Input [yellow] 2 4" xfId="1571" xr:uid="{00000000-0005-0000-0000-000022050000}"/>
    <cellStyle name="Input [yellow] 2 4 2" xfId="2451" xr:uid="{00000000-0005-0000-0000-000023050000}"/>
    <cellStyle name="Input [yellow] 2 5" xfId="2354" xr:uid="{00000000-0005-0000-0000-000024050000}"/>
    <cellStyle name="Input [yellow] 2 6" xfId="2265" xr:uid="{00000000-0005-0000-0000-000025050000}"/>
    <cellStyle name="Input [yellow] 3" xfId="2204" xr:uid="{00000000-0005-0000-0000-000026050000}"/>
    <cellStyle name="Input [yellow] 3 2" xfId="2186" xr:uid="{00000000-0005-0000-0000-000027050000}"/>
    <cellStyle name="Input [yellow] 3 2 2" xfId="2534" xr:uid="{00000000-0005-0000-0000-000028050000}"/>
    <cellStyle name="Input [yellow] 3 3" xfId="2219" xr:uid="{00000000-0005-0000-0000-000029050000}"/>
    <cellStyle name="Input [yellow] 3 3 2" xfId="2563" xr:uid="{00000000-0005-0000-0000-00002A050000}"/>
    <cellStyle name="Input [yellow] 3 4" xfId="2365" xr:uid="{00000000-0005-0000-0000-00002B050000}"/>
    <cellStyle name="Input [yellow] 4" xfId="1564" xr:uid="{00000000-0005-0000-0000-00002C050000}"/>
    <cellStyle name="Input [yellow] 4 2" xfId="2459" xr:uid="{00000000-0005-0000-0000-00002D050000}"/>
    <cellStyle name="Input [yellow] 5" xfId="1602" xr:uid="{00000000-0005-0000-0000-00002E050000}"/>
    <cellStyle name="Input [yellow] 5 2" xfId="2415" xr:uid="{00000000-0005-0000-0000-00002F050000}"/>
    <cellStyle name="Input [yellow] 6" xfId="2302" xr:uid="{00000000-0005-0000-0000-000030050000}"/>
    <cellStyle name="Input [yellow] 7" xfId="2344" xr:uid="{00000000-0005-0000-0000-000031050000}"/>
    <cellStyle name="Insatisfaisant" xfId="999" xr:uid="{00000000-0005-0000-0000-000032050000}"/>
    <cellStyle name="Italic" xfId="1000" xr:uid="{00000000-0005-0000-0000-000033050000}"/>
    <cellStyle name="Italic 2" xfId="1814" xr:uid="{00000000-0005-0000-0000-000034050000}"/>
    <cellStyle name="Italic 2 2" xfId="1559" xr:uid="{00000000-0005-0000-0000-000035050000}"/>
    <cellStyle name="Italic 2 2 2" xfId="2464" xr:uid="{00000000-0005-0000-0000-000036050000}"/>
    <cellStyle name="Italic 2 3" xfId="2220" xr:uid="{00000000-0005-0000-0000-000037050000}"/>
    <cellStyle name="Italic 2 3 2" xfId="2564" xr:uid="{00000000-0005-0000-0000-000038050000}"/>
    <cellStyle name="Italic 2 4" xfId="2366" xr:uid="{00000000-0005-0000-0000-000039050000}"/>
    <cellStyle name="Italic 3" xfId="1563" xr:uid="{00000000-0005-0000-0000-00003A050000}"/>
    <cellStyle name="Italic 3 2" xfId="2460" xr:uid="{00000000-0005-0000-0000-00003B050000}"/>
    <cellStyle name="Italic 4" xfId="1601" xr:uid="{00000000-0005-0000-0000-00003C050000}"/>
    <cellStyle name="Italic 4 2" xfId="2416" xr:uid="{00000000-0005-0000-0000-00003D050000}"/>
    <cellStyle name="Italic 5" xfId="2301" xr:uid="{00000000-0005-0000-0000-00003E050000}"/>
    <cellStyle name="Italic 6" xfId="2343" xr:uid="{00000000-0005-0000-0000-00003F050000}"/>
    <cellStyle name="Komma [0]_Printer Category RFP Part 2v2" xfId="1001" xr:uid="{00000000-0005-0000-0000-000040050000}"/>
    <cellStyle name="Komma_Printer Category RFP Part 2v2" xfId="1002" xr:uid="{00000000-0005-0000-0000-000041050000}"/>
    <cellStyle name="Migliaia (0)_186 logistica nuovo prodotto" xfId="1003" xr:uid="{00000000-0005-0000-0000-000042050000}"/>
    <cellStyle name="Neutre" xfId="1004" xr:uid="{00000000-0005-0000-0000-000043050000}"/>
    <cellStyle name="Non d‚fini" xfId="1005" xr:uid="{00000000-0005-0000-0000-000044050000}"/>
    <cellStyle name="Normal" xfId="0" builtinId="0"/>
    <cellStyle name="Normal - Style1" xfId="1006" xr:uid="{00000000-0005-0000-0000-000046050000}"/>
    <cellStyle name="Normal 10" xfId="1107" xr:uid="{00000000-0005-0000-0000-000047050000}"/>
    <cellStyle name="Normal 10 10" xfId="1825" xr:uid="{00000000-0005-0000-0000-000048050000}"/>
    <cellStyle name="Normal 10 11" xfId="1705" xr:uid="{00000000-0005-0000-0000-000049050000}"/>
    <cellStyle name="Normal 10 12" xfId="1663" xr:uid="{00000000-0005-0000-0000-00004A050000}"/>
    <cellStyle name="Normal 10 13" xfId="1499" xr:uid="{00000000-0005-0000-0000-00004B050000}"/>
    <cellStyle name="Normal 10 14" xfId="2609" xr:uid="{00000000-0005-0000-0000-00004C050000}"/>
    <cellStyle name="Normal 10 15" xfId="1461" xr:uid="{00000000-0005-0000-0000-00004D050000}"/>
    <cellStyle name="Normal 10 2" xfId="1313" xr:uid="{00000000-0005-0000-0000-00004E050000}"/>
    <cellStyle name="Normal 10 2 10" xfId="1669" xr:uid="{00000000-0005-0000-0000-00004F050000}"/>
    <cellStyle name="Normal 10 2 11" xfId="1505" xr:uid="{00000000-0005-0000-0000-000050050000}"/>
    <cellStyle name="Normal 10 2 12" xfId="2615" xr:uid="{00000000-0005-0000-0000-000051050000}"/>
    <cellStyle name="Normal 10 2 13" xfId="1466" xr:uid="{00000000-0005-0000-0000-000052050000}"/>
    <cellStyle name="Normal 10 2 2" xfId="1330" xr:uid="{00000000-0005-0000-0000-000053050000}"/>
    <cellStyle name="Normal 10 2 2 10" xfId="1478" xr:uid="{00000000-0005-0000-0000-000054050000}"/>
    <cellStyle name="Normal 10 2 2 2" xfId="1379" xr:uid="{00000000-0005-0000-0000-000055050000}"/>
    <cellStyle name="Normal 10 2 2 2 2" xfId="2667" xr:uid="{00000000-0005-0000-0000-000056050000}"/>
    <cellStyle name="Normal 10 2 2 2 3" xfId="1642" xr:uid="{00000000-0005-0000-0000-000057050000}"/>
    <cellStyle name="Normal 10 2 2 3" xfId="1422" xr:uid="{00000000-0005-0000-0000-000058050000}"/>
    <cellStyle name="Normal 10 2 2 3 2" xfId="2710" xr:uid="{00000000-0005-0000-0000-000059050000}"/>
    <cellStyle name="Normal 10 2 2 3 3" xfId="1951" xr:uid="{00000000-0005-0000-0000-00005A050000}"/>
    <cellStyle name="Normal 10 2 2 4" xfId="1900" xr:uid="{00000000-0005-0000-0000-00005B050000}"/>
    <cellStyle name="Normal 10 2 2 5" xfId="1860" xr:uid="{00000000-0005-0000-0000-00005C050000}"/>
    <cellStyle name="Normal 10 2 2 6" xfId="1724" xr:uid="{00000000-0005-0000-0000-00005D050000}"/>
    <cellStyle name="Normal 10 2 2 7" xfId="1682" xr:uid="{00000000-0005-0000-0000-00005E050000}"/>
    <cellStyle name="Normal 10 2 2 8" xfId="1518" xr:uid="{00000000-0005-0000-0000-00005F050000}"/>
    <cellStyle name="Normal 10 2 2 9" xfId="2628" xr:uid="{00000000-0005-0000-0000-000060050000}"/>
    <cellStyle name="Normal 10 2 3" xfId="1348" xr:uid="{00000000-0005-0000-0000-000061050000}"/>
    <cellStyle name="Normal 10 2 3 10" xfId="1490" xr:uid="{00000000-0005-0000-0000-000062050000}"/>
    <cellStyle name="Normal 10 2 3 2" xfId="1391" xr:uid="{00000000-0005-0000-0000-000063050000}"/>
    <cellStyle name="Normal 10 2 3 2 2" xfId="2679" xr:uid="{00000000-0005-0000-0000-000064050000}"/>
    <cellStyle name="Normal 10 2 3 2 3" xfId="1654" xr:uid="{00000000-0005-0000-0000-000065050000}"/>
    <cellStyle name="Normal 10 2 3 3" xfId="1434" xr:uid="{00000000-0005-0000-0000-000066050000}"/>
    <cellStyle name="Normal 10 2 3 3 2" xfId="2722" xr:uid="{00000000-0005-0000-0000-000067050000}"/>
    <cellStyle name="Normal 10 2 3 3 3" xfId="1963" xr:uid="{00000000-0005-0000-0000-000068050000}"/>
    <cellStyle name="Normal 10 2 3 4" xfId="1912" xr:uid="{00000000-0005-0000-0000-000069050000}"/>
    <cellStyle name="Normal 10 2 3 5" xfId="1872" xr:uid="{00000000-0005-0000-0000-00006A050000}"/>
    <cellStyle name="Normal 10 2 3 6" xfId="1736" xr:uid="{00000000-0005-0000-0000-00006B050000}"/>
    <cellStyle name="Normal 10 2 3 7" xfId="1694" xr:uid="{00000000-0005-0000-0000-00006C050000}"/>
    <cellStyle name="Normal 10 2 3 8" xfId="1530" xr:uid="{00000000-0005-0000-0000-00006D050000}"/>
    <cellStyle name="Normal 10 2 3 9" xfId="2640" xr:uid="{00000000-0005-0000-0000-00006E050000}"/>
    <cellStyle name="Normal 10 2 4" xfId="1366" xr:uid="{00000000-0005-0000-0000-00006F050000}"/>
    <cellStyle name="Normal 10 2 4 2" xfId="2004" xr:uid="{00000000-0005-0000-0000-000070050000}"/>
    <cellStyle name="Normal 10 2 4 3" xfId="1976" xr:uid="{00000000-0005-0000-0000-000071050000}"/>
    <cellStyle name="Normal 10 2 4 4" xfId="1926" xr:uid="{00000000-0005-0000-0000-000072050000}"/>
    <cellStyle name="Normal 10 2 4 5" xfId="2654" xr:uid="{00000000-0005-0000-0000-000073050000}"/>
    <cellStyle name="Normal 10 2 4 6" xfId="1630" xr:uid="{00000000-0005-0000-0000-000074050000}"/>
    <cellStyle name="Normal 10 2 5" xfId="1409" xr:uid="{00000000-0005-0000-0000-000075050000}"/>
    <cellStyle name="Normal 10 2 5 2" xfId="2697" xr:uid="{00000000-0005-0000-0000-000076050000}"/>
    <cellStyle name="Normal 10 2 5 3" xfId="1988" xr:uid="{00000000-0005-0000-0000-000077050000}"/>
    <cellStyle name="Normal 10 2 6" xfId="1939" xr:uid="{00000000-0005-0000-0000-000078050000}"/>
    <cellStyle name="Normal 10 2 7" xfId="1888" xr:uid="{00000000-0005-0000-0000-000079050000}"/>
    <cellStyle name="Normal 10 2 8" xfId="1847" xr:uid="{00000000-0005-0000-0000-00007A050000}"/>
    <cellStyle name="Normal 10 2 9" xfId="1711" xr:uid="{00000000-0005-0000-0000-00007B050000}"/>
    <cellStyle name="Normal 10 3" xfId="1318" xr:uid="{00000000-0005-0000-0000-00007C050000}"/>
    <cellStyle name="Normal 10 3 10" xfId="1673" xr:uid="{00000000-0005-0000-0000-00007D050000}"/>
    <cellStyle name="Normal 10 3 11" xfId="1509" xr:uid="{00000000-0005-0000-0000-00007E050000}"/>
    <cellStyle name="Normal 10 3 12" xfId="2619" xr:uid="{00000000-0005-0000-0000-00007F050000}"/>
    <cellStyle name="Normal 10 3 13" xfId="1470" xr:uid="{00000000-0005-0000-0000-000080050000}"/>
    <cellStyle name="Normal 10 3 2" xfId="1335" xr:uid="{00000000-0005-0000-0000-000081050000}"/>
    <cellStyle name="Normal 10 3 2 10" xfId="1482" xr:uid="{00000000-0005-0000-0000-000082050000}"/>
    <cellStyle name="Normal 10 3 2 2" xfId="1383" xr:uid="{00000000-0005-0000-0000-000083050000}"/>
    <cellStyle name="Normal 10 3 2 2 2" xfId="2671" xr:uid="{00000000-0005-0000-0000-000084050000}"/>
    <cellStyle name="Normal 10 3 2 2 3" xfId="1646" xr:uid="{00000000-0005-0000-0000-000085050000}"/>
    <cellStyle name="Normal 10 3 2 3" xfId="1426" xr:uid="{00000000-0005-0000-0000-000086050000}"/>
    <cellStyle name="Normal 10 3 2 3 2" xfId="2714" xr:uid="{00000000-0005-0000-0000-000087050000}"/>
    <cellStyle name="Normal 10 3 2 3 3" xfId="1955" xr:uid="{00000000-0005-0000-0000-000088050000}"/>
    <cellStyle name="Normal 10 3 2 4" xfId="1904" xr:uid="{00000000-0005-0000-0000-000089050000}"/>
    <cellStyle name="Normal 10 3 2 5" xfId="1864" xr:uid="{00000000-0005-0000-0000-00008A050000}"/>
    <cellStyle name="Normal 10 3 2 6" xfId="1728" xr:uid="{00000000-0005-0000-0000-00008B050000}"/>
    <cellStyle name="Normal 10 3 2 7" xfId="1686" xr:uid="{00000000-0005-0000-0000-00008C050000}"/>
    <cellStyle name="Normal 10 3 2 8" xfId="1522" xr:uid="{00000000-0005-0000-0000-00008D050000}"/>
    <cellStyle name="Normal 10 3 2 9" xfId="2632" xr:uid="{00000000-0005-0000-0000-00008E050000}"/>
    <cellStyle name="Normal 10 3 3" xfId="1352" xr:uid="{00000000-0005-0000-0000-00008F050000}"/>
    <cellStyle name="Normal 10 3 3 10" xfId="1494" xr:uid="{00000000-0005-0000-0000-000090050000}"/>
    <cellStyle name="Normal 10 3 3 2" xfId="1395" xr:uid="{00000000-0005-0000-0000-000091050000}"/>
    <cellStyle name="Normal 10 3 3 2 2" xfId="2683" xr:uid="{00000000-0005-0000-0000-000092050000}"/>
    <cellStyle name="Normal 10 3 3 2 3" xfId="1658" xr:uid="{00000000-0005-0000-0000-000093050000}"/>
    <cellStyle name="Normal 10 3 3 3" xfId="1438" xr:uid="{00000000-0005-0000-0000-000094050000}"/>
    <cellStyle name="Normal 10 3 3 3 2" xfId="2726" xr:uid="{00000000-0005-0000-0000-000095050000}"/>
    <cellStyle name="Normal 10 3 3 3 3" xfId="1967" xr:uid="{00000000-0005-0000-0000-000096050000}"/>
    <cellStyle name="Normal 10 3 3 4" xfId="1916" xr:uid="{00000000-0005-0000-0000-000097050000}"/>
    <cellStyle name="Normal 10 3 3 5" xfId="1876" xr:uid="{00000000-0005-0000-0000-000098050000}"/>
    <cellStyle name="Normal 10 3 3 6" xfId="1740" xr:uid="{00000000-0005-0000-0000-000099050000}"/>
    <cellStyle name="Normal 10 3 3 7" xfId="1698" xr:uid="{00000000-0005-0000-0000-00009A050000}"/>
    <cellStyle name="Normal 10 3 3 8" xfId="1534" xr:uid="{00000000-0005-0000-0000-00009B050000}"/>
    <cellStyle name="Normal 10 3 3 9" xfId="2644" xr:uid="{00000000-0005-0000-0000-00009C050000}"/>
    <cellStyle name="Normal 10 3 4" xfId="1370" xr:uid="{00000000-0005-0000-0000-00009D050000}"/>
    <cellStyle name="Normal 10 3 4 2" xfId="2008" xr:uid="{00000000-0005-0000-0000-00009E050000}"/>
    <cellStyle name="Normal 10 3 4 3" xfId="1980" xr:uid="{00000000-0005-0000-0000-00009F050000}"/>
    <cellStyle name="Normal 10 3 4 4" xfId="1930" xr:uid="{00000000-0005-0000-0000-0000A0050000}"/>
    <cellStyle name="Normal 10 3 4 5" xfId="2658" xr:uid="{00000000-0005-0000-0000-0000A1050000}"/>
    <cellStyle name="Normal 10 3 4 6" xfId="1634" xr:uid="{00000000-0005-0000-0000-0000A2050000}"/>
    <cellStyle name="Normal 10 3 5" xfId="1413" xr:uid="{00000000-0005-0000-0000-0000A3050000}"/>
    <cellStyle name="Normal 10 3 5 2" xfId="2701" xr:uid="{00000000-0005-0000-0000-0000A4050000}"/>
    <cellStyle name="Normal 10 3 5 3" xfId="1992" xr:uid="{00000000-0005-0000-0000-0000A5050000}"/>
    <cellStyle name="Normal 10 3 6" xfId="1943" xr:uid="{00000000-0005-0000-0000-0000A6050000}"/>
    <cellStyle name="Normal 10 3 7" xfId="1892" xr:uid="{00000000-0005-0000-0000-0000A7050000}"/>
    <cellStyle name="Normal 10 3 8" xfId="1851" xr:uid="{00000000-0005-0000-0000-0000A8050000}"/>
    <cellStyle name="Normal 10 3 9" xfId="1715" xr:uid="{00000000-0005-0000-0000-0000A9050000}"/>
    <cellStyle name="Normal 10 4" xfId="1324" xr:uid="{00000000-0005-0000-0000-0000AA050000}"/>
    <cellStyle name="Normal 10 4 10" xfId="1474" xr:uid="{00000000-0005-0000-0000-0000AB050000}"/>
    <cellStyle name="Normal 10 4 2" xfId="1374" xr:uid="{00000000-0005-0000-0000-0000AC050000}"/>
    <cellStyle name="Normal 10 4 2 2" xfId="2662" xr:uid="{00000000-0005-0000-0000-0000AD050000}"/>
    <cellStyle name="Normal 10 4 2 3" xfId="1638" xr:uid="{00000000-0005-0000-0000-0000AE050000}"/>
    <cellStyle name="Normal 10 4 3" xfId="1417" xr:uid="{00000000-0005-0000-0000-0000AF050000}"/>
    <cellStyle name="Normal 10 4 3 2" xfId="2705" xr:uid="{00000000-0005-0000-0000-0000B0050000}"/>
    <cellStyle name="Normal 10 4 3 3" xfId="1947" xr:uid="{00000000-0005-0000-0000-0000B1050000}"/>
    <cellStyle name="Normal 10 4 4" xfId="1896" xr:uid="{00000000-0005-0000-0000-0000B2050000}"/>
    <cellStyle name="Normal 10 4 5" xfId="1855" xr:uid="{00000000-0005-0000-0000-0000B3050000}"/>
    <cellStyle name="Normal 10 4 6" xfId="1719" xr:uid="{00000000-0005-0000-0000-0000B4050000}"/>
    <cellStyle name="Normal 10 4 7" xfId="1677" xr:uid="{00000000-0005-0000-0000-0000B5050000}"/>
    <cellStyle name="Normal 10 4 8" xfId="1513" xr:uid="{00000000-0005-0000-0000-0000B6050000}"/>
    <cellStyle name="Normal 10 4 9" xfId="2623" xr:uid="{00000000-0005-0000-0000-0000B7050000}"/>
    <cellStyle name="Normal 10 5" xfId="1342" xr:uid="{00000000-0005-0000-0000-0000B8050000}"/>
    <cellStyle name="Normal 10 5 10" xfId="1486" xr:uid="{00000000-0005-0000-0000-0000B9050000}"/>
    <cellStyle name="Normal 10 5 2" xfId="1387" xr:uid="{00000000-0005-0000-0000-0000BA050000}"/>
    <cellStyle name="Normal 10 5 2 2" xfId="2675" xr:uid="{00000000-0005-0000-0000-0000BB050000}"/>
    <cellStyle name="Normal 10 5 2 3" xfId="1650" xr:uid="{00000000-0005-0000-0000-0000BC050000}"/>
    <cellStyle name="Normal 10 5 3" xfId="1430" xr:uid="{00000000-0005-0000-0000-0000BD050000}"/>
    <cellStyle name="Normal 10 5 3 2" xfId="2718" xr:uid="{00000000-0005-0000-0000-0000BE050000}"/>
    <cellStyle name="Normal 10 5 3 3" xfId="1959" xr:uid="{00000000-0005-0000-0000-0000BF050000}"/>
    <cellStyle name="Normal 10 5 4" xfId="1908" xr:uid="{00000000-0005-0000-0000-0000C0050000}"/>
    <cellStyle name="Normal 10 5 5" xfId="1868" xr:uid="{00000000-0005-0000-0000-0000C1050000}"/>
    <cellStyle name="Normal 10 5 6" xfId="1732" xr:uid="{00000000-0005-0000-0000-0000C2050000}"/>
    <cellStyle name="Normal 10 5 7" xfId="1690" xr:uid="{00000000-0005-0000-0000-0000C3050000}"/>
    <cellStyle name="Normal 10 5 8" xfId="1526" xr:uid="{00000000-0005-0000-0000-0000C4050000}"/>
    <cellStyle name="Normal 10 5 9" xfId="2636" xr:uid="{00000000-0005-0000-0000-0000C5050000}"/>
    <cellStyle name="Normal 10 6" xfId="1361" xr:uid="{00000000-0005-0000-0000-0000C6050000}"/>
    <cellStyle name="Normal 10 6 2" xfId="1999" xr:uid="{00000000-0005-0000-0000-0000C7050000}"/>
    <cellStyle name="Normal 10 6 3" xfId="1971" xr:uid="{00000000-0005-0000-0000-0000C8050000}"/>
    <cellStyle name="Normal 10 6 4" xfId="1921" xr:uid="{00000000-0005-0000-0000-0000C9050000}"/>
    <cellStyle name="Normal 10 6 5" xfId="2650" xr:uid="{00000000-0005-0000-0000-0000CA050000}"/>
    <cellStyle name="Normal 10 6 6" xfId="1622" xr:uid="{00000000-0005-0000-0000-0000CB050000}"/>
    <cellStyle name="Normal 10 7" xfId="1402" xr:uid="{00000000-0005-0000-0000-0000CC050000}"/>
    <cellStyle name="Normal 10 7 2" xfId="2692" xr:uid="{00000000-0005-0000-0000-0000CD050000}"/>
    <cellStyle name="Normal 10 7 3" xfId="1984" xr:uid="{00000000-0005-0000-0000-0000CE050000}"/>
    <cellStyle name="Normal 10 8" xfId="1306" xr:uid="{00000000-0005-0000-0000-0000CF050000}"/>
    <cellStyle name="Normal 10 8 2" xfId="1934" xr:uid="{00000000-0005-0000-0000-0000D0050000}"/>
    <cellStyle name="Normal 10 9" xfId="1451" xr:uid="{00000000-0005-0000-0000-0000D1050000}"/>
    <cellStyle name="Normal 10 9 2" xfId="1883" xr:uid="{00000000-0005-0000-0000-0000D2050000}"/>
    <cellStyle name="Normal 11" xfId="1112" xr:uid="{00000000-0005-0000-0000-0000D3050000}"/>
    <cellStyle name="Normal 12" xfId="1308" xr:uid="{00000000-0005-0000-0000-0000D4050000}"/>
    <cellStyle name="Normal 13" xfId="1301" xr:uid="{00000000-0005-0000-0000-0000D5050000}"/>
    <cellStyle name="Normal 14" xfId="1320" xr:uid="{00000000-0005-0000-0000-0000D6050000}"/>
    <cellStyle name="Normal 15" xfId="1337" xr:uid="{00000000-0005-0000-0000-0000D7050000}"/>
    <cellStyle name="Normal 16" xfId="1343" xr:uid="{00000000-0005-0000-0000-0000D8050000}"/>
    <cellStyle name="Normal 17" xfId="1353" xr:uid="{00000000-0005-0000-0000-0000D9050000}"/>
    <cellStyle name="Normal 18" xfId="1357" xr:uid="{00000000-0005-0000-0000-0000DA050000}"/>
    <cellStyle name="Normal 19" xfId="1397" xr:uid="{00000000-0005-0000-0000-0000DB050000}"/>
    <cellStyle name="Normal 2" xfId="1007" xr:uid="{00000000-0005-0000-0000-0000DC050000}"/>
    <cellStyle name="Normal 2 2" xfId="1008" xr:uid="{00000000-0005-0000-0000-0000DD050000}"/>
    <cellStyle name="Normal 2 2 2" xfId="1110" xr:uid="{00000000-0005-0000-0000-0000DE050000}"/>
    <cellStyle name="Normal 2 3" xfId="1009" xr:uid="{00000000-0005-0000-0000-0000DF050000}"/>
    <cellStyle name="Normal 2_~6728952" xfId="1010" xr:uid="{00000000-0005-0000-0000-0000E0050000}"/>
    <cellStyle name="Normal 20" xfId="1403" xr:uid="{00000000-0005-0000-0000-0000E1050000}"/>
    <cellStyle name="Normal 21" xfId="1398" xr:uid="{00000000-0005-0000-0000-0000E2050000}"/>
    <cellStyle name="Normal 21 2" xfId="1879" xr:uid="{00000000-0005-0000-0000-0000E3050000}"/>
    <cellStyle name="Normal 22" xfId="1302" xr:uid="{00000000-0005-0000-0000-0000E4050000}"/>
    <cellStyle name="Normal 23" xfId="1446" xr:uid="{00000000-0005-0000-0000-0000E5050000}"/>
    <cellStyle name="Normal 24" xfId="1447" xr:uid="{00000000-0005-0000-0000-0000E6050000}"/>
    <cellStyle name="Normal 25" xfId="1453" xr:uid="{00000000-0005-0000-0000-0000E7050000}"/>
    <cellStyle name="Normal 26" xfId="1763" xr:uid="{00000000-0005-0000-0000-0000E8050000}"/>
    <cellStyle name="Normal 27" xfId="1784" xr:uid="{00000000-0005-0000-0000-0000E9050000}"/>
    <cellStyle name="Normal 28" xfId="1793" xr:uid="{00000000-0005-0000-0000-0000EA050000}"/>
    <cellStyle name="Normal 29" xfId="1761" xr:uid="{00000000-0005-0000-0000-0000EB050000}"/>
    <cellStyle name="Normal 3" xfId="1011" xr:uid="{00000000-0005-0000-0000-0000EC050000}"/>
    <cellStyle name="Normal 3 2" xfId="1012" xr:uid="{00000000-0005-0000-0000-0000ED050000}"/>
    <cellStyle name="Normal 3 2 2" xfId="1290" xr:uid="{00000000-0005-0000-0000-0000EE050000}"/>
    <cellStyle name="Normal 3 3" xfId="1289" xr:uid="{00000000-0005-0000-0000-0000EF050000}"/>
    <cellStyle name="Normal 3_A01 Kaeser Kompressoren - Price List 02-04-09" xfId="1013" xr:uid="{00000000-0005-0000-0000-0000F0050000}"/>
    <cellStyle name="Normal 30" xfId="1751" xr:uid="{00000000-0005-0000-0000-0000F1050000}"/>
    <cellStyle name="Normal 31" xfId="1748" xr:uid="{00000000-0005-0000-0000-0000F2050000}"/>
    <cellStyle name="Normal 32" xfId="1808" xr:uid="{00000000-0005-0000-0000-0000F3050000}"/>
    <cellStyle name="Normal 33" xfId="1753" xr:uid="{00000000-0005-0000-0000-0000F4050000}"/>
    <cellStyle name="Normal 34" xfId="1701" xr:uid="{00000000-0005-0000-0000-0000F5050000}"/>
    <cellStyle name="Normal 35" xfId="1659" xr:uid="{00000000-0005-0000-0000-0000F6050000}"/>
    <cellStyle name="Normal 36" xfId="1537" xr:uid="{00000000-0005-0000-0000-0000F7050000}"/>
    <cellStyle name="Normal 37" xfId="1613" xr:uid="{00000000-0005-0000-0000-0000F8050000}"/>
    <cellStyle name="Normal 38" xfId="1495" xr:uid="{00000000-0005-0000-0000-0000F9050000}"/>
    <cellStyle name="Normal 39" xfId="2605" xr:uid="{00000000-0005-0000-0000-0000FA050000}"/>
    <cellStyle name="Normal 4" xfId="1014" xr:uid="{00000000-0005-0000-0000-0000FB050000}"/>
    <cellStyle name="Normal 4 2" xfId="1291" xr:uid="{00000000-0005-0000-0000-0000FC050000}"/>
    <cellStyle name="Normal 40" xfId="1457" xr:uid="{00000000-0005-0000-0000-0000FD050000}"/>
    <cellStyle name="Normal 40 2" xfId="2741" xr:uid="{00000000-0005-0000-0000-0000FE050000}"/>
    <cellStyle name="Normal 41" xfId="2742" xr:uid="{00000000-0005-0000-0000-0000FF050000}"/>
    <cellStyle name="Normal 42" xfId="2735" xr:uid="{00000000-0005-0000-0000-000000060000}"/>
    <cellStyle name="Normal 43" xfId="2740" xr:uid="{00000000-0005-0000-0000-000001060000}"/>
    <cellStyle name="Normal 44" xfId="1456" xr:uid="{00000000-0005-0000-0000-000002060000}"/>
    <cellStyle name="Normal 5" xfId="1015" xr:uid="{00000000-0005-0000-0000-000003060000}"/>
    <cellStyle name="Normal 5 2" xfId="1108" xr:uid="{00000000-0005-0000-0000-000004060000}"/>
    <cellStyle name="Normal 6" xfId="1102" xr:uid="{00000000-0005-0000-0000-000005060000}"/>
    <cellStyle name="Normal 6 10" xfId="1448" xr:uid="{00000000-0005-0000-0000-000006060000}"/>
    <cellStyle name="Normal 6 10 2" xfId="1880" xr:uid="{00000000-0005-0000-0000-000007060000}"/>
    <cellStyle name="Normal 6 11" xfId="1821" xr:uid="{00000000-0005-0000-0000-000008060000}"/>
    <cellStyle name="Normal 6 12" xfId="1702" xr:uid="{00000000-0005-0000-0000-000009060000}"/>
    <cellStyle name="Normal 6 13" xfId="1660" xr:uid="{00000000-0005-0000-0000-00000A060000}"/>
    <cellStyle name="Normal 6 14" xfId="1496" xr:uid="{00000000-0005-0000-0000-00000B060000}"/>
    <cellStyle name="Normal 6 15" xfId="2606" xr:uid="{00000000-0005-0000-0000-00000C060000}"/>
    <cellStyle name="Normal 6 16" xfId="1458" xr:uid="{00000000-0005-0000-0000-00000D060000}"/>
    <cellStyle name="Normal 6 2" xfId="1300" xr:uid="{00000000-0005-0000-0000-00000E060000}"/>
    <cellStyle name="Normal 6 3" xfId="1310" xr:uid="{00000000-0005-0000-0000-00000F060000}"/>
    <cellStyle name="Normal 6 3 10" xfId="1666" xr:uid="{00000000-0005-0000-0000-000010060000}"/>
    <cellStyle name="Normal 6 3 11" xfId="1502" xr:uid="{00000000-0005-0000-0000-000011060000}"/>
    <cellStyle name="Normal 6 3 12" xfId="2612" xr:uid="{00000000-0005-0000-0000-000012060000}"/>
    <cellStyle name="Normal 6 3 13" xfId="1463" xr:uid="{00000000-0005-0000-0000-000013060000}"/>
    <cellStyle name="Normal 6 3 2" xfId="1327" xr:uid="{00000000-0005-0000-0000-000014060000}"/>
    <cellStyle name="Normal 6 3 2 10" xfId="1475" xr:uid="{00000000-0005-0000-0000-000015060000}"/>
    <cellStyle name="Normal 6 3 2 2" xfId="1376" xr:uid="{00000000-0005-0000-0000-000016060000}"/>
    <cellStyle name="Normal 6 3 2 2 2" xfId="2664" xr:uid="{00000000-0005-0000-0000-000017060000}"/>
    <cellStyle name="Normal 6 3 2 2 3" xfId="1639" xr:uid="{00000000-0005-0000-0000-000018060000}"/>
    <cellStyle name="Normal 6 3 2 3" xfId="1419" xr:uid="{00000000-0005-0000-0000-000019060000}"/>
    <cellStyle name="Normal 6 3 2 3 2" xfId="2707" xr:uid="{00000000-0005-0000-0000-00001A060000}"/>
    <cellStyle name="Normal 6 3 2 3 3" xfId="1948" xr:uid="{00000000-0005-0000-0000-00001B060000}"/>
    <cellStyle name="Normal 6 3 2 4" xfId="1897" xr:uid="{00000000-0005-0000-0000-00001C060000}"/>
    <cellStyle name="Normal 6 3 2 5" xfId="1857" xr:uid="{00000000-0005-0000-0000-00001D060000}"/>
    <cellStyle name="Normal 6 3 2 6" xfId="1721" xr:uid="{00000000-0005-0000-0000-00001E060000}"/>
    <cellStyle name="Normal 6 3 2 7" xfId="1679" xr:uid="{00000000-0005-0000-0000-00001F060000}"/>
    <cellStyle name="Normal 6 3 2 8" xfId="1515" xr:uid="{00000000-0005-0000-0000-000020060000}"/>
    <cellStyle name="Normal 6 3 2 9" xfId="2625" xr:uid="{00000000-0005-0000-0000-000021060000}"/>
    <cellStyle name="Normal 6 3 3" xfId="1345" xr:uid="{00000000-0005-0000-0000-000022060000}"/>
    <cellStyle name="Normal 6 3 3 10" xfId="1487" xr:uid="{00000000-0005-0000-0000-000023060000}"/>
    <cellStyle name="Normal 6 3 3 2" xfId="1388" xr:uid="{00000000-0005-0000-0000-000024060000}"/>
    <cellStyle name="Normal 6 3 3 2 2" xfId="2676" xr:uid="{00000000-0005-0000-0000-000025060000}"/>
    <cellStyle name="Normal 6 3 3 2 3" xfId="1651" xr:uid="{00000000-0005-0000-0000-000026060000}"/>
    <cellStyle name="Normal 6 3 3 3" xfId="1431" xr:uid="{00000000-0005-0000-0000-000027060000}"/>
    <cellStyle name="Normal 6 3 3 3 2" xfId="2719" xr:uid="{00000000-0005-0000-0000-000028060000}"/>
    <cellStyle name="Normal 6 3 3 3 3" xfId="1960" xr:uid="{00000000-0005-0000-0000-000029060000}"/>
    <cellStyle name="Normal 6 3 3 4" xfId="1909" xr:uid="{00000000-0005-0000-0000-00002A060000}"/>
    <cellStyle name="Normal 6 3 3 5" xfId="1869" xr:uid="{00000000-0005-0000-0000-00002B060000}"/>
    <cellStyle name="Normal 6 3 3 6" xfId="1733" xr:uid="{00000000-0005-0000-0000-00002C060000}"/>
    <cellStyle name="Normal 6 3 3 7" xfId="1691" xr:uid="{00000000-0005-0000-0000-00002D060000}"/>
    <cellStyle name="Normal 6 3 3 8" xfId="1527" xr:uid="{00000000-0005-0000-0000-00002E060000}"/>
    <cellStyle name="Normal 6 3 3 9" xfId="2637" xr:uid="{00000000-0005-0000-0000-00002F060000}"/>
    <cellStyle name="Normal 6 3 4" xfId="1363" xr:uid="{00000000-0005-0000-0000-000030060000}"/>
    <cellStyle name="Normal 6 3 4 2" xfId="2001" xr:uid="{00000000-0005-0000-0000-000031060000}"/>
    <cellStyle name="Normal 6 3 4 3" xfId="1973" xr:uid="{00000000-0005-0000-0000-000032060000}"/>
    <cellStyle name="Normal 6 3 4 4" xfId="1923" xr:uid="{00000000-0005-0000-0000-000033060000}"/>
    <cellStyle name="Normal 6 3 4 5" xfId="2651" xr:uid="{00000000-0005-0000-0000-000034060000}"/>
    <cellStyle name="Normal 6 3 4 6" xfId="1627" xr:uid="{00000000-0005-0000-0000-000035060000}"/>
    <cellStyle name="Normal 6 3 5" xfId="1406" xr:uid="{00000000-0005-0000-0000-000036060000}"/>
    <cellStyle name="Normal 6 3 5 2" xfId="2694" xr:uid="{00000000-0005-0000-0000-000037060000}"/>
    <cellStyle name="Normal 6 3 5 3" xfId="1985" xr:uid="{00000000-0005-0000-0000-000038060000}"/>
    <cellStyle name="Normal 6 3 6" xfId="1936" xr:uid="{00000000-0005-0000-0000-000039060000}"/>
    <cellStyle name="Normal 6 3 7" xfId="1885" xr:uid="{00000000-0005-0000-0000-00003A060000}"/>
    <cellStyle name="Normal 6 3 8" xfId="1844" xr:uid="{00000000-0005-0000-0000-00003B060000}"/>
    <cellStyle name="Normal 6 3 9" xfId="1708" xr:uid="{00000000-0005-0000-0000-00003C060000}"/>
    <cellStyle name="Normal 6 4" xfId="1315" xr:uid="{00000000-0005-0000-0000-00003D060000}"/>
    <cellStyle name="Normal 6 4 10" xfId="1670" xr:uid="{00000000-0005-0000-0000-00003E060000}"/>
    <cellStyle name="Normal 6 4 11" xfId="1506" xr:uid="{00000000-0005-0000-0000-00003F060000}"/>
    <cellStyle name="Normal 6 4 12" xfId="2616" xr:uid="{00000000-0005-0000-0000-000040060000}"/>
    <cellStyle name="Normal 6 4 13" xfId="1467" xr:uid="{00000000-0005-0000-0000-000041060000}"/>
    <cellStyle name="Normal 6 4 2" xfId="1332" xr:uid="{00000000-0005-0000-0000-000042060000}"/>
    <cellStyle name="Normal 6 4 2 10" xfId="1479" xr:uid="{00000000-0005-0000-0000-000043060000}"/>
    <cellStyle name="Normal 6 4 2 2" xfId="1380" xr:uid="{00000000-0005-0000-0000-000044060000}"/>
    <cellStyle name="Normal 6 4 2 2 2" xfId="2668" xr:uid="{00000000-0005-0000-0000-000045060000}"/>
    <cellStyle name="Normal 6 4 2 2 3" xfId="1643" xr:uid="{00000000-0005-0000-0000-000046060000}"/>
    <cellStyle name="Normal 6 4 2 3" xfId="1423" xr:uid="{00000000-0005-0000-0000-000047060000}"/>
    <cellStyle name="Normal 6 4 2 3 2" xfId="2711" xr:uid="{00000000-0005-0000-0000-000048060000}"/>
    <cellStyle name="Normal 6 4 2 3 3" xfId="1952" xr:uid="{00000000-0005-0000-0000-000049060000}"/>
    <cellStyle name="Normal 6 4 2 4" xfId="1901" xr:uid="{00000000-0005-0000-0000-00004A060000}"/>
    <cellStyle name="Normal 6 4 2 5" xfId="1861" xr:uid="{00000000-0005-0000-0000-00004B060000}"/>
    <cellStyle name="Normal 6 4 2 6" xfId="1725" xr:uid="{00000000-0005-0000-0000-00004C060000}"/>
    <cellStyle name="Normal 6 4 2 7" xfId="1683" xr:uid="{00000000-0005-0000-0000-00004D060000}"/>
    <cellStyle name="Normal 6 4 2 8" xfId="1519" xr:uid="{00000000-0005-0000-0000-00004E060000}"/>
    <cellStyle name="Normal 6 4 2 9" xfId="2629" xr:uid="{00000000-0005-0000-0000-00004F060000}"/>
    <cellStyle name="Normal 6 4 3" xfId="1349" xr:uid="{00000000-0005-0000-0000-000050060000}"/>
    <cellStyle name="Normal 6 4 3 10" xfId="1491" xr:uid="{00000000-0005-0000-0000-000051060000}"/>
    <cellStyle name="Normal 6 4 3 2" xfId="1392" xr:uid="{00000000-0005-0000-0000-000052060000}"/>
    <cellStyle name="Normal 6 4 3 2 2" xfId="2680" xr:uid="{00000000-0005-0000-0000-000053060000}"/>
    <cellStyle name="Normal 6 4 3 2 3" xfId="1655" xr:uid="{00000000-0005-0000-0000-000054060000}"/>
    <cellStyle name="Normal 6 4 3 3" xfId="1435" xr:uid="{00000000-0005-0000-0000-000055060000}"/>
    <cellStyle name="Normal 6 4 3 3 2" xfId="2723" xr:uid="{00000000-0005-0000-0000-000056060000}"/>
    <cellStyle name="Normal 6 4 3 3 3" xfId="1964" xr:uid="{00000000-0005-0000-0000-000057060000}"/>
    <cellStyle name="Normal 6 4 3 4" xfId="1913" xr:uid="{00000000-0005-0000-0000-000058060000}"/>
    <cellStyle name="Normal 6 4 3 5" xfId="1873" xr:uid="{00000000-0005-0000-0000-000059060000}"/>
    <cellStyle name="Normal 6 4 3 6" xfId="1737" xr:uid="{00000000-0005-0000-0000-00005A060000}"/>
    <cellStyle name="Normal 6 4 3 7" xfId="1695" xr:uid="{00000000-0005-0000-0000-00005B060000}"/>
    <cellStyle name="Normal 6 4 3 8" xfId="1531" xr:uid="{00000000-0005-0000-0000-00005C060000}"/>
    <cellStyle name="Normal 6 4 3 9" xfId="2641" xr:uid="{00000000-0005-0000-0000-00005D060000}"/>
    <cellStyle name="Normal 6 4 4" xfId="1367" xr:uid="{00000000-0005-0000-0000-00005E060000}"/>
    <cellStyle name="Normal 6 4 4 2" xfId="2005" xr:uid="{00000000-0005-0000-0000-00005F060000}"/>
    <cellStyle name="Normal 6 4 4 3" xfId="1977" xr:uid="{00000000-0005-0000-0000-000060060000}"/>
    <cellStyle name="Normal 6 4 4 4" xfId="1927" xr:uid="{00000000-0005-0000-0000-000061060000}"/>
    <cellStyle name="Normal 6 4 4 5" xfId="2655" xr:uid="{00000000-0005-0000-0000-000062060000}"/>
    <cellStyle name="Normal 6 4 4 6" xfId="1631" xr:uid="{00000000-0005-0000-0000-000063060000}"/>
    <cellStyle name="Normal 6 4 5" xfId="1410" xr:uid="{00000000-0005-0000-0000-000064060000}"/>
    <cellStyle name="Normal 6 4 5 2" xfId="2698" xr:uid="{00000000-0005-0000-0000-000065060000}"/>
    <cellStyle name="Normal 6 4 5 3" xfId="1989" xr:uid="{00000000-0005-0000-0000-000066060000}"/>
    <cellStyle name="Normal 6 4 6" xfId="1940" xr:uid="{00000000-0005-0000-0000-000067060000}"/>
    <cellStyle name="Normal 6 4 7" xfId="1889" xr:uid="{00000000-0005-0000-0000-000068060000}"/>
    <cellStyle name="Normal 6 4 8" xfId="1848" xr:uid="{00000000-0005-0000-0000-000069060000}"/>
    <cellStyle name="Normal 6 4 9" xfId="1712" xr:uid="{00000000-0005-0000-0000-00006A060000}"/>
    <cellStyle name="Normal 6 5" xfId="1321" xr:uid="{00000000-0005-0000-0000-00006B060000}"/>
    <cellStyle name="Normal 6 5 10" xfId="1471" xr:uid="{00000000-0005-0000-0000-00006C060000}"/>
    <cellStyle name="Normal 6 5 2" xfId="1371" xr:uid="{00000000-0005-0000-0000-00006D060000}"/>
    <cellStyle name="Normal 6 5 2 2" xfId="2659" xr:uid="{00000000-0005-0000-0000-00006E060000}"/>
    <cellStyle name="Normal 6 5 2 3" xfId="1635" xr:uid="{00000000-0005-0000-0000-00006F060000}"/>
    <cellStyle name="Normal 6 5 3" xfId="1414" xr:uid="{00000000-0005-0000-0000-000070060000}"/>
    <cellStyle name="Normal 6 5 3 2" xfId="2702" xr:uid="{00000000-0005-0000-0000-000071060000}"/>
    <cellStyle name="Normal 6 5 3 3" xfId="1944" xr:uid="{00000000-0005-0000-0000-000072060000}"/>
    <cellStyle name="Normal 6 5 4" xfId="1893" xr:uid="{00000000-0005-0000-0000-000073060000}"/>
    <cellStyle name="Normal 6 5 5" xfId="1852" xr:uid="{00000000-0005-0000-0000-000074060000}"/>
    <cellStyle name="Normal 6 5 6" xfId="1716" xr:uid="{00000000-0005-0000-0000-000075060000}"/>
    <cellStyle name="Normal 6 5 7" xfId="1674" xr:uid="{00000000-0005-0000-0000-000076060000}"/>
    <cellStyle name="Normal 6 5 8" xfId="1510" xr:uid="{00000000-0005-0000-0000-000077060000}"/>
    <cellStyle name="Normal 6 5 9" xfId="2620" xr:uid="{00000000-0005-0000-0000-000078060000}"/>
    <cellStyle name="Normal 6 6" xfId="1339" xr:uid="{00000000-0005-0000-0000-000079060000}"/>
    <cellStyle name="Normal 6 6 10" xfId="1483" xr:uid="{00000000-0005-0000-0000-00007A060000}"/>
    <cellStyle name="Normal 6 6 2" xfId="1384" xr:uid="{00000000-0005-0000-0000-00007B060000}"/>
    <cellStyle name="Normal 6 6 2 2" xfId="2672" xr:uid="{00000000-0005-0000-0000-00007C060000}"/>
    <cellStyle name="Normal 6 6 2 3" xfId="1647" xr:uid="{00000000-0005-0000-0000-00007D060000}"/>
    <cellStyle name="Normal 6 6 3" xfId="1427" xr:uid="{00000000-0005-0000-0000-00007E060000}"/>
    <cellStyle name="Normal 6 6 3 2" xfId="2715" xr:uid="{00000000-0005-0000-0000-00007F060000}"/>
    <cellStyle name="Normal 6 6 3 3" xfId="1956" xr:uid="{00000000-0005-0000-0000-000080060000}"/>
    <cellStyle name="Normal 6 6 4" xfId="1905" xr:uid="{00000000-0005-0000-0000-000081060000}"/>
    <cellStyle name="Normal 6 6 5" xfId="1865" xr:uid="{00000000-0005-0000-0000-000082060000}"/>
    <cellStyle name="Normal 6 6 6" xfId="1729" xr:uid="{00000000-0005-0000-0000-000083060000}"/>
    <cellStyle name="Normal 6 6 7" xfId="1687" xr:uid="{00000000-0005-0000-0000-000084060000}"/>
    <cellStyle name="Normal 6 6 8" xfId="1523" xr:uid="{00000000-0005-0000-0000-000085060000}"/>
    <cellStyle name="Normal 6 6 9" xfId="2633" xr:uid="{00000000-0005-0000-0000-000086060000}"/>
    <cellStyle name="Normal 6 7" xfId="1358" xr:uid="{00000000-0005-0000-0000-000087060000}"/>
    <cellStyle name="Normal 6 7 2" xfId="1996" xr:uid="{00000000-0005-0000-0000-000088060000}"/>
    <cellStyle name="Normal 6 7 3" xfId="1968" xr:uid="{00000000-0005-0000-0000-000089060000}"/>
    <cellStyle name="Normal 6 7 4" xfId="1918" xr:uid="{00000000-0005-0000-0000-00008A060000}"/>
    <cellStyle name="Normal 6 7 5" xfId="2647" xr:uid="{00000000-0005-0000-0000-00008B060000}"/>
    <cellStyle name="Normal 6 7 6" xfId="1619" xr:uid="{00000000-0005-0000-0000-00008C060000}"/>
    <cellStyle name="Normal 6 8" xfId="1399" xr:uid="{00000000-0005-0000-0000-00008D060000}"/>
    <cellStyle name="Normal 6 8 2" xfId="2689" xr:uid="{00000000-0005-0000-0000-00008E060000}"/>
    <cellStyle name="Normal 6 8 3" xfId="1981" xr:uid="{00000000-0005-0000-0000-00008F060000}"/>
    <cellStyle name="Normal 6 9" xfId="1303" xr:uid="{00000000-0005-0000-0000-000090060000}"/>
    <cellStyle name="Normal 6 9 2" xfId="1931" xr:uid="{00000000-0005-0000-0000-000091060000}"/>
    <cellStyle name="Normal 7" xfId="1104" xr:uid="{00000000-0005-0000-0000-000092060000}"/>
    <cellStyle name="Normal 7 10" xfId="1823" xr:uid="{00000000-0005-0000-0000-000093060000}"/>
    <cellStyle name="Normal 7 11" xfId="1703" xr:uid="{00000000-0005-0000-0000-000094060000}"/>
    <cellStyle name="Normal 7 12" xfId="1661" xr:uid="{00000000-0005-0000-0000-000095060000}"/>
    <cellStyle name="Normal 7 13" xfId="1497" xr:uid="{00000000-0005-0000-0000-000096060000}"/>
    <cellStyle name="Normal 7 14" xfId="2607" xr:uid="{00000000-0005-0000-0000-000097060000}"/>
    <cellStyle name="Normal 7 15" xfId="1459" xr:uid="{00000000-0005-0000-0000-000098060000}"/>
    <cellStyle name="Normal 7 2" xfId="1311" xr:uid="{00000000-0005-0000-0000-000099060000}"/>
    <cellStyle name="Normal 7 2 10" xfId="1667" xr:uid="{00000000-0005-0000-0000-00009A060000}"/>
    <cellStyle name="Normal 7 2 11" xfId="1503" xr:uid="{00000000-0005-0000-0000-00009B060000}"/>
    <cellStyle name="Normal 7 2 12" xfId="2613" xr:uid="{00000000-0005-0000-0000-00009C060000}"/>
    <cellStyle name="Normal 7 2 13" xfId="1464" xr:uid="{00000000-0005-0000-0000-00009D060000}"/>
    <cellStyle name="Normal 7 2 2" xfId="1328" xr:uid="{00000000-0005-0000-0000-00009E060000}"/>
    <cellStyle name="Normal 7 2 2 10" xfId="1476" xr:uid="{00000000-0005-0000-0000-00009F060000}"/>
    <cellStyle name="Normal 7 2 2 2" xfId="1377" xr:uid="{00000000-0005-0000-0000-0000A0060000}"/>
    <cellStyle name="Normal 7 2 2 2 2" xfId="2665" xr:uid="{00000000-0005-0000-0000-0000A1060000}"/>
    <cellStyle name="Normal 7 2 2 2 3" xfId="1640" xr:uid="{00000000-0005-0000-0000-0000A2060000}"/>
    <cellStyle name="Normal 7 2 2 3" xfId="1420" xr:uid="{00000000-0005-0000-0000-0000A3060000}"/>
    <cellStyle name="Normal 7 2 2 3 2" xfId="2708" xr:uid="{00000000-0005-0000-0000-0000A4060000}"/>
    <cellStyle name="Normal 7 2 2 3 3" xfId="1949" xr:uid="{00000000-0005-0000-0000-0000A5060000}"/>
    <cellStyle name="Normal 7 2 2 4" xfId="1898" xr:uid="{00000000-0005-0000-0000-0000A6060000}"/>
    <cellStyle name="Normal 7 2 2 5" xfId="1858" xr:uid="{00000000-0005-0000-0000-0000A7060000}"/>
    <cellStyle name="Normal 7 2 2 6" xfId="1722" xr:uid="{00000000-0005-0000-0000-0000A8060000}"/>
    <cellStyle name="Normal 7 2 2 7" xfId="1680" xr:uid="{00000000-0005-0000-0000-0000A9060000}"/>
    <cellStyle name="Normal 7 2 2 8" xfId="1516" xr:uid="{00000000-0005-0000-0000-0000AA060000}"/>
    <cellStyle name="Normal 7 2 2 9" xfId="2626" xr:uid="{00000000-0005-0000-0000-0000AB060000}"/>
    <cellStyle name="Normal 7 2 3" xfId="1346" xr:uid="{00000000-0005-0000-0000-0000AC060000}"/>
    <cellStyle name="Normal 7 2 3 10" xfId="1488" xr:uid="{00000000-0005-0000-0000-0000AD060000}"/>
    <cellStyle name="Normal 7 2 3 2" xfId="1389" xr:uid="{00000000-0005-0000-0000-0000AE060000}"/>
    <cellStyle name="Normal 7 2 3 2 2" xfId="2677" xr:uid="{00000000-0005-0000-0000-0000AF060000}"/>
    <cellStyle name="Normal 7 2 3 2 3" xfId="1652" xr:uid="{00000000-0005-0000-0000-0000B0060000}"/>
    <cellStyle name="Normal 7 2 3 3" xfId="1432" xr:uid="{00000000-0005-0000-0000-0000B1060000}"/>
    <cellStyle name="Normal 7 2 3 3 2" xfId="2720" xr:uid="{00000000-0005-0000-0000-0000B2060000}"/>
    <cellStyle name="Normal 7 2 3 3 3" xfId="1961" xr:uid="{00000000-0005-0000-0000-0000B3060000}"/>
    <cellStyle name="Normal 7 2 3 4" xfId="1910" xr:uid="{00000000-0005-0000-0000-0000B4060000}"/>
    <cellStyle name="Normal 7 2 3 5" xfId="1870" xr:uid="{00000000-0005-0000-0000-0000B5060000}"/>
    <cellStyle name="Normal 7 2 3 6" xfId="1734" xr:uid="{00000000-0005-0000-0000-0000B6060000}"/>
    <cellStyle name="Normal 7 2 3 7" xfId="1692" xr:uid="{00000000-0005-0000-0000-0000B7060000}"/>
    <cellStyle name="Normal 7 2 3 8" xfId="1528" xr:uid="{00000000-0005-0000-0000-0000B8060000}"/>
    <cellStyle name="Normal 7 2 3 9" xfId="2638" xr:uid="{00000000-0005-0000-0000-0000B9060000}"/>
    <cellStyle name="Normal 7 2 4" xfId="1364" xr:uid="{00000000-0005-0000-0000-0000BA060000}"/>
    <cellStyle name="Normal 7 2 4 2" xfId="2002" xr:uid="{00000000-0005-0000-0000-0000BB060000}"/>
    <cellStyle name="Normal 7 2 4 3" xfId="1974" xr:uid="{00000000-0005-0000-0000-0000BC060000}"/>
    <cellStyle name="Normal 7 2 4 4" xfId="1924" xr:uid="{00000000-0005-0000-0000-0000BD060000}"/>
    <cellStyle name="Normal 7 2 4 5" xfId="2652" xr:uid="{00000000-0005-0000-0000-0000BE060000}"/>
    <cellStyle name="Normal 7 2 4 6" xfId="1628" xr:uid="{00000000-0005-0000-0000-0000BF060000}"/>
    <cellStyle name="Normal 7 2 5" xfId="1407" xr:uid="{00000000-0005-0000-0000-0000C0060000}"/>
    <cellStyle name="Normal 7 2 5 2" xfId="2695" xr:uid="{00000000-0005-0000-0000-0000C1060000}"/>
    <cellStyle name="Normal 7 2 5 3" xfId="1986" xr:uid="{00000000-0005-0000-0000-0000C2060000}"/>
    <cellStyle name="Normal 7 2 6" xfId="1937" xr:uid="{00000000-0005-0000-0000-0000C3060000}"/>
    <cellStyle name="Normal 7 2 7" xfId="1886" xr:uid="{00000000-0005-0000-0000-0000C4060000}"/>
    <cellStyle name="Normal 7 2 8" xfId="1845" xr:uid="{00000000-0005-0000-0000-0000C5060000}"/>
    <cellStyle name="Normal 7 2 9" xfId="1709" xr:uid="{00000000-0005-0000-0000-0000C6060000}"/>
    <cellStyle name="Normal 7 3" xfId="1316" xr:uid="{00000000-0005-0000-0000-0000C7060000}"/>
    <cellStyle name="Normal 7 3 10" xfId="1671" xr:uid="{00000000-0005-0000-0000-0000C8060000}"/>
    <cellStyle name="Normal 7 3 11" xfId="1507" xr:uid="{00000000-0005-0000-0000-0000C9060000}"/>
    <cellStyle name="Normal 7 3 12" xfId="2617" xr:uid="{00000000-0005-0000-0000-0000CA060000}"/>
    <cellStyle name="Normal 7 3 13" xfId="1468" xr:uid="{00000000-0005-0000-0000-0000CB060000}"/>
    <cellStyle name="Normal 7 3 2" xfId="1333" xr:uid="{00000000-0005-0000-0000-0000CC060000}"/>
    <cellStyle name="Normal 7 3 2 10" xfId="1480" xr:uid="{00000000-0005-0000-0000-0000CD060000}"/>
    <cellStyle name="Normal 7 3 2 2" xfId="1381" xr:uid="{00000000-0005-0000-0000-0000CE060000}"/>
    <cellStyle name="Normal 7 3 2 2 2" xfId="2669" xr:uid="{00000000-0005-0000-0000-0000CF060000}"/>
    <cellStyle name="Normal 7 3 2 2 3" xfId="1644" xr:uid="{00000000-0005-0000-0000-0000D0060000}"/>
    <cellStyle name="Normal 7 3 2 3" xfId="1424" xr:uid="{00000000-0005-0000-0000-0000D1060000}"/>
    <cellStyle name="Normal 7 3 2 3 2" xfId="2712" xr:uid="{00000000-0005-0000-0000-0000D2060000}"/>
    <cellStyle name="Normal 7 3 2 3 3" xfId="1953" xr:uid="{00000000-0005-0000-0000-0000D3060000}"/>
    <cellStyle name="Normal 7 3 2 4" xfId="1902" xr:uid="{00000000-0005-0000-0000-0000D4060000}"/>
    <cellStyle name="Normal 7 3 2 5" xfId="1862" xr:uid="{00000000-0005-0000-0000-0000D5060000}"/>
    <cellStyle name="Normal 7 3 2 6" xfId="1726" xr:uid="{00000000-0005-0000-0000-0000D6060000}"/>
    <cellStyle name="Normal 7 3 2 7" xfId="1684" xr:uid="{00000000-0005-0000-0000-0000D7060000}"/>
    <cellStyle name="Normal 7 3 2 8" xfId="1520" xr:uid="{00000000-0005-0000-0000-0000D8060000}"/>
    <cellStyle name="Normal 7 3 2 9" xfId="2630" xr:uid="{00000000-0005-0000-0000-0000D9060000}"/>
    <cellStyle name="Normal 7 3 3" xfId="1350" xr:uid="{00000000-0005-0000-0000-0000DA060000}"/>
    <cellStyle name="Normal 7 3 3 10" xfId="1492" xr:uid="{00000000-0005-0000-0000-0000DB060000}"/>
    <cellStyle name="Normal 7 3 3 2" xfId="1393" xr:uid="{00000000-0005-0000-0000-0000DC060000}"/>
    <cellStyle name="Normal 7 3 3 2 2" xfId="2681" xr:uid="{00000000-0005-0000-0000-0000DD060000}"/>
    <cellStyle name="Normal 7 3 3 2 3" xfId="1656" xr:uid="{00000000-0005-0000-0000-0000DE060000}"/>
    <cellStyle name="Normal 7 3 3 3" xfId="1436" xr:uid="{00000000-0005-0000-0000-0000DF060000}"/>
    <cellStyle name="Normal 7 3 3 3 2" xfId="2724" xr:uid="{00000000-0005-0000-0000-0000E0060000}"/>
    <cellStyle name="Normal 7 3 3 3 3" xfId="1965" xr:uid="{00000000-0005-0000-0000-0000E1060000}"/>
    <cellStyle name="Normal 7 3 3 4" xfId="1914" xr:uid="{00000000-0005-0000-0000-0000E2060000}"/>
    <cellStyle name="Normal 7 3 3 5" xfId="1874" xr:uid="{00000000-0005-0000-0000-0000E3060000}"/>
    <cellStyle name="Normal 7 3 3 6" xfId="1738" xr:uid="{00000000-0005-0000-0000-0000E4060000}"/>
    <cellStyle name="Normal 7 3 3 7" xfId="1696" xr:uid="{00000000-0005-0000-0000-0000E5060000}"/>
    <cellStyle name="Normal 7 3 3 8" xfId="1532" xr:uid="{00000000-0005-0000-0000-0000E6060000}"/>
    <cellStyle name="Normal 7 3 3 9" xfId="2642" xr:uid="{00000000-0005-0000-0000-0000E7060000}"/>
    <cellStyle name="Normal 7 3 4" xfId="1368" xr:uid="{00000000-0005-0000-0000-0000E8060000}"/>
    <cellStyle name="Normal 7 3 4 2" xfId="2006" xr:uid="{00000000-0005-0000-0000-0000E9060000}"/>
    <cellStyle name="Normal 7 3 4 3" xfId="1978" xr:uid="{00000000-0005-0000-0000-0000EA060000}"/>
    <cellStyle name="Normal 7 3 4 4" xfId="1928" xr:uid="{00000000-0005-0000-0000-0000EB060000}"/>
    <cellStyle name="Normal 7 3 4 5" xfId="2656" xr:uid="{00000000-0005-0000-0000-0000EC060000}"/>
    <cellStyle name="Normal 7 3 4 6" xfId="1632" xr:uid="{00000000-0005-0000-0000-0000ED060000}"/>
    <cellStyle name="Normal 7 3 5" xfId="1411" xr:uid="{00000000-0005-0000-0000-0000EE060000}"/>
    <cellStyle name="Normal 7 3 5 2" xfId="2699" xr:uid="{00000000-0005-0000-0000-0000EF060000}"/>
    <cellStyle name="Normal 7 3 5 3" xfId="1990" xr:uid="{00000000-0005-0000-0000-0000F0060000}"/>
    <cellStyle name="Normal 7 3 6" xfId="1941" xr:uid="{00000000-0005-0000-0000-0000F1060000}"/>
    <cellStyle name="Normal 7 3 7" xfId="1890" xr:uid="{00000000-0005-0000-0000-0000F2060000}"/>
    <cellStyle name="Normal 7 3 8" xfId="1849" xr:uid="{00000000-0005-0000-0000-0000F3060000}"/>
    <cellStyle name="Normal 7 3 9" xfId="1713" xr:uid="{00000000-0005-0000-0000-0000F4060000}"/>
    <cellStyle name="Normal 7 4" xfId="1322" xr:uid="{00000000-0005-0000-0000-0000F5060000}"/>
    <cellStyle name="Normal 7 4 10" xfId="1472" xr:uid="{00000000-0005-0000-0000-0000F6060000}"/>
    <cellStyle name="Normal 7 4 2" xfId="1372" xr:uid="{00000000-0005-0000-0000-0000F7060000}"/>
    <cellStyle name="Normal 7 4 2 2" xfId="2660" xr:uid="{00000000-0005-0000-0000-0000F8060000}"/>
    <cellStyle name="Normal 7 4 2 3" xfId="1636" xr:uid="{00000000-0005-0000-0000-0000F9060000}"/>
    <cellStyle name="Normal 7 4 3" xfId="1415" xr:uid="{00000000-0005-0000-0000-0000FA060000}"/>
    <cellStyle name="Normal 7 4 3 2" xfId="2703" xr:uid="{00000000-0005-0000-0000-0000FB060000}"/>
    <cellStyle name="Normal 7 4 3 3" xfId="1945" xr:uid="{00000000-0005-0000-0000-0000FC060000}"/>
    <cellStyle name="Normal 7 4 4" xfId="1894" xr:uid="{00000000-0005-0000-0000-0000FD060000}"/>
    <cellStyle name="Normal 7 4 5" xfId="1853" xr:uid="{00000000-0005-0000-0000-0000FE060000}"/>
    <cellStyle name="Normal 7 4 6" xfId="1717" xr:uid="{00000000-0005-0000-0000-0000FF060000}"/>
    <cellStyle name="Normal 7 4 7" xfId="1675" xr:uid="{00000000-0005-0000-0000-000000070000}"/>
    <cellStyle name="Normal 7 4 8" xfId="1511" xr:uid="{00000000-0005-0000-0000-000001070000}"/>
    <cellStyle name="Normal 7 4 9" xfId="2621" xr:uid="{00000000-0005-0000-0000-000002070000}"/>
    <cellStyle name="Normal 7 5" xfId="1340" xr:uid="{00000000-0005-0000-0000-000003070000}"/>
    <cellStyle name="Normal 7 5 10" xfId="1484" xr:uid="{00000000-0005-0000-0000-000004070000}"/>
    <cellStyle name="Normal 7 5 2" xfId="1385" xr:uid="{00000000-0005-0000-0000-000005070000}"/>
    <cellStyle name="Normal 7 5 2 2" xfId="2673" xr:uid="{00000000-0005-0000-0000-000006070000}"/>
    <cellStyle name="Normal 7 5 2 3" xfId="1648" xr:uid="{00000000-0005-0000-0000-000007070000}"/>
    <cellStyle name="Normal 7 5 3" xfId="1428" xr:uid="{00000000-0005-0000-0000-000008070000}"/>
    <cellStyle name="Normal 7 5 3 2" xfId="2716" xr:uid="{00000000-0005-0000-0000-000009070000}"/>
    <cellStyle name="Normal 7 5 3 3" xfId="1957" xr:uid="{00000000-0005-0000-0000-00000A070000}"/>
    <cellStyle name="Normal 7 5 4" xfId="1906" xr:uid="{00000000-0005-0000-0000-00000B070000}"/>
    <cellStyle name="Normal 7 5 5" xfId="1866" xr:uid="{00000000-0005-0000-0000-00000C070000}"/>
    <cellStyle name="Normal 7 5 6" xfId="1730" xr:uid="{00000000-0005-0000-0000-00000D070000}"/>
    <cellStyle name="Normal 7 5 7" xfId="1688" xr:uid="{00000000-0005-0000-0000-00000E070000}"/>
    <cellStyle name="Normal 7 5 8" xfId="1524" xr:uid="{00000000-0005-0000-0000-00000F070000}"/>
    <cellStyle name="Normal 7 5 9" xfId="2634" xr:uid="{00000000-0005-0000-0000-000010070000}"/>
    <cellStyle name="Normal 7 6" xfId="1359" xr:uid="{00000000-0005-0000-0000-000011070000}"/>
    <cellStyle name="Normal 7 6 2" xfId="1997" xr:uid="{00000000-0005-0000-0000-000012070000}"/>
    <cellStyle name="Normal 7 6 3" xfId="1969" xr:uid="{00000000-0005-0000-0000-000013070000}"/>
    <cellStyle name="Normal 7 6 4" xfId="1919" xr:uid="{00000000-0005-0000-0000-000014070000}"/>
    <cellStyle name="Normal 7 6 5" xfId="2648" xr:uid="{00000000-0005-0000-0000-000015070000}"/>
    <cellStyle name="Normal 7 6 6" xfId="1620" xr:uid="{00000000-0005-0000-0000-000016070000}"/>
    <cellStyle name="Normal 7 7" xfId="1400" xr:uid="{00000000-0005-0000-0000-000017070000}"/>
    <cellStyle name="Normal 7 7 2" xfId="2690" xr:uid="{00000000-0005-0000-0000-000018070000}"/>
    <cellStyle name="Normal 7 7 3" xfId="1982" xr:uid="{00000000-0005-0000-0000-000019070000}"/>
    <cellStyle name="Normal 7 8" xfId="1304" xr:uid="{00000000-0005-0000-0000-00001A070000}"/>
    <cellStyle name="Normal 7 8 2" xfId="1932" xr:uid="{00000000-0005-0000-0000-00001B070000}"/>
    <cellStyle name="Normal 7 9" xfId="1449" xr:uid="{00000000-0005-0000-0000-00001C070000}"/>
    <cellStyle name="Normal 7 9 2" xfId="1881" xr:uid="{00000000-0005-0000-0000-00001D070000}"/>
    <cellStyle name="Normal 8" xfId="1105" xr:uid="{00000000-0005-0000-0000-00001E070000}"/>
    <cellStyle name="Normal 8 10" xfId="1824" xr:uid="{00000000-0005-0000-0000-00001F070000}"/>
    <cellStyle name="Normal 8 11" xfId="1704" xr:uid="{00000000-0005-0000-0000-000020070000}"/>
    <cellStyle name="Normal 8 12" xfId="1662" xr:uid="{00000000-0005-0000-0000-000021070000}"/>
    <cellStyle name="Normal 8 13" xfId="1498" xr:uid="{00000000-0005-0000-0000-000022070000}"/>
    <cellStyle name="Normal 8 14" xfId="2608" xr:uid="{00000000-0005-0000-0000-000023070000}"/>
    <cellStyle name="Normal 8 15" xfId="1460" xr:uid="{00000000-0005-0000-0000-000024070000}"/>
    <cellStyle name="Normal 8 2" xfId="1312" xr:uid="{00000000-0005-0000-0000-000025070000}"/>
    <cellStyle name="Normal 8 2 10" xfId="1668" xr:uid="{00000000-0005-0000-0000-000026070000}"/>
    <cellStyle name="Normal 8 2 11" xfId="1504" xr:uid="{00000000-0005-0000-0000-000027070000}"/>
    <cellStyle name="Normal 8 2 12" xfId="2614" xr:uid="{00000000-0005-0000-0000-000028070000}"/>
    <cellStyle name="Normal 8 2 13" xfId="1465" xr:uid="{00000000-0005-0000-0000-000029070000}"/>
    <cellStyle name="Normal 8 2 2" xfId="1329" xr:uid="{00000000-0005-0000-0000-00002A070000}"/>
    <cellStyle name="Normal 8 2 2 10" xfId="1477" xr:uid="{00000000-0005-0000-0000-00002B070000}"/>
    <cellStyle name="Normal 8 2 2 2" xfId="1378" xr:uid="{00000000-0005-0000-0000-00002C070000}"/>
    <cellStyle name="Normal 8 2 2 2 2" xfId="2666" xr:uid="{00000000-0005-0000-0000-00002D070000}"/>
    <cellStyle name="Normal 8 2 2 2 3" xfId="1641" xr:uid="{00000000-0005-0000-0000-00002E070000}"/>
    <cellStyle name="Normal 8 2 2 3" xfId="1421" xr:uid="{00000000-0005-0000-0000-00002F070000}"/>
    <cellStyle name="Normal 8 2 2 3 2" xfId="2709" xr:uid="{00000000-0005-0000-0000-000030070000}"/>
    <cellStyle name="Normal 8 2 2 3 3" xfId="1950" xr:uid="{00000000-0005-0000-0000-000031070000}"/>
    <cellStyle name="Normal 8 2 2 4" xfId="1899" xr:uid="{00000000-0005-0000-0000-000032070000}"/>
    <cellStyle name="Normal 8 2 2 5" xfId="1859" xr:uid="{00000000-0005-0000-0000-000033070000}"/>
    <cellStyle name="Normal 8 2 2 6" xfId="1723" xr:uid="{00000000-0005-0000-0000-000034070000}"/>
    <cellStyle name="Normal 8 2 2 7" xfId="1681" xr:uid="{00000000-0005-0000-0000-000035070000}"/>
    <cellStyle name="Normal 8 2 2 8" xfId="1517" xr:uid="{00000000-0005-0000-0000-000036070000}"/>
    <cellStyle name="Normal 8 2 2 9" xfId="2627" xr:uid="{00000000-0005-0000-0000-000037070000}"/>
    <cellStyle name="Normal 8 2 3" xfId="1347" xr:uid="{00000000-0005-0000-0000-000038070000}"/>
    <cellStyle name="Normal 8 2 3 10" xfId="1489" xr:uid="{00000000-0005-0000-0000-000039070000}"/>
    <cellStyle name="Normal 8 2 3 2" xfId="1390" xr:uid="{00000000-0005-0000-0000-00003A070000}"/>
    <cellStyle name="Normal 8 2 3 2 2" xfId="2678" xr:uid="{00000000-0005-0000-0000-00003B070000}"/>
    <cellStyle name="Normal 8 2 3 2 3" xfId="1653" xr:uid="{00000000-0005-0000-0000-00003C070000}"/>
    <cellStyle name="Normal 8 2 3 3" xfId="1433" xr:uid="{00000000-0005-0000-0000-00003D070000}"/>
    <cellStyle name="Normal 8 2 3 3 2" xfId="2721" xr:uid="{00000000-0005-0000-0000-00003E070000}"/>
    <cellStyle name="Normal 8 2 3 3 3" xfId="1962" xr:uid="{00000000-0005-0000-0000-00003F070000}"/>
    <cellStyle name="Normal 8 2 3 4" xfId="1911" xr:uid="{00000000-0005-0000-0000-000040070000}"/>
    <cellStyle name="Normal 8 2 3 5" xfId="1871" xr:uid="{00000000-0005-0000-0000-000041070000}"/>
    <cellStyle name="Normal 8 2 3 6" xfId="1735" xr:uid="{00000000-0005-0000-0000-000042070000}"/>
    <cellStyle name="Normal 8 2 3 7" xfId="1693" xr:uid="{00000000-0005-0000-0000-000043070000}"/>
    <cellStyle name="Normal 8 2 3 8" xfId="1529" xr:uid="{00000000-0005-0000-0000-000044070000}"/>
    <cellStyle name="Normal 8 2 3 9" xfId="2639" xr:uid="{00000000-0005-0000-0000-000045070000}"/>
    <cellStyle name="Normal 8 2 4" xfId="1365" xr:uid="{00000000-0005-0000-0000-000046070000}"/>
    <cellStyle name="Normal 8 2 4 2" xfId="2003" xr:uid="{00000000-0005-0000-0000-000047070000}"/>
    <cellStyle name="Normal 8 2 4 3" xfId="1975" xr:uid="{00000000-0005-0000-0000-000048070000}"/>
    <cellStyle name="Normal 8 2 4 4" xfId="1925" xr:uid="{00000000-0005-0000-0000-000049070000}"/>
    <cellStyle name="Normal 8 2 4 5" xfId="2653" xr:uid="{00000000-0005-0000-0000-00004A070000}"/>
    <cellStyle name="Normal 8 2 4 6" xfId="1629" xr:uid="{00000000-0005-0000-0000-00004B070000}"/>
    <cellStyle name="Normal 8 2 5" xfId="1408" xr:uid="{00000000-0005-0000-0000-00004C070000}"/>
    <cellStyle name="Normal 8 2 5 2" xfId="2696" xr:uid="{00000000-0005-0000-0000-00004D070000}"/>
    <cellStyle name="Normal 8 2 5 3" xfId="1987" xr:uid="{00000000-0005-0000-0000-00004E070000}"/>
    <cellStyle name="Normal 8 2 6" xfId="1938" xr:uid="{00000000-0005-0000-0000-00004F070000}"/>
    <cellStyle name="Normal 8 2 7" xfId="1887" xr:uid="{00000000-0005-0000-0000-000050070000}"/>
    <cellStyle name="Normal 8 2 8" xfId="1846" xr:uid="{00000000-0005-0000-0000-000051070000}"/>
    <cellStyle name="Normal 8 2 9" xfId="1710" xr:uid="{00000000-0005-0000-0000-000052070000}"/>
    <cellStyle name="Normal 8 3" xfId="1317" xr:uid="{00000000-0005-0000-0000-000053070000}"/>
    <cellStyle name="Normal 8 3 10" xfId="1672" xr:uid="{00000000-0005-0000-0000-000054070000}"/>
    <cellStyle name="Normal 8 3 11" xfId="1508" xr:uid="{00000000-0005-0000-0000-000055070000}"/>
    <cellStyle name="Normal 8 3 12" xfId="2618" xr:uid="{00000000-0005-0000-0000-000056070000}"/>
    <cellStyle name="Normal 8 3 13" xfId="1469" xr:uid="{00000000-0005-0000-0000-000057070000}"/>
    <cellStyle name="Normal 8 3 2" xfId="1334" xr:uid="{00000000-0005-0000-0000-000058070000}"/>
    <cellStyle name="Normal 8 3 2 10" xfId="1481" xr:uid="{00000000-0005-0000-0000-000059070000}"/>
    <cellStyle name="Normal 8 3 2 2" xfId="1382" xr:uid="{00000000-0005-0000-0000-00005A070000}"/>
    <cellStyle name="Normal 8 3 2 2 2" xfId="2670" xr:uid="{00000000-0005-0000-0000-00005B070000}"/>
    <cellStyle name="Normal 8 3 2 2 3" xfId="1645" xr:uid="{00000000-0005-0000-0000-00005C070000}"/>
    <cellStyle name="Normal 8 3 2 3" xfId="1425" xr:uid="{00000000-0005-0000-0000-00005D070000}"/>
    <cellStyle name="Normal 8 3 2 3 2" xfId="2713" xr:uid="{00000000-0005-0000-0000-00005E070000}"/>
    <cellStyle name="Normal 8 3 2 3 3" xfId="1954" xr:uid="{00000000-0005-0000-0000-00005F070000}"/>
    <cellStyle name="Normal 8 3 2 4" xfId="1903" xr:uid="{00000000-0005-0000-0000-000060070000}"/>
    <cellStyle name="Normal 8 3 2 5" xfId="1863" xr:uid="{00000000-0005-0000-0000-000061070000}"/>
    <cellStyle name="Normal 8 3 2 6" xfId="1727" xr:uid="{00000000-0005-0000-0000-000062070000}"/>
    <cellStyle name="Normal 8 3 2 7" xfId="1685" xr:uid="{00000000-0005-0000-0000-000063070000}"/>
    <cellStyle name="Normal 8 3 2 8" xfId="1521" xr:uid="{00000000-0005-0000-0000-000064070000}"/>
    <cellStyle name="Normal 8 3 2 9" xfId="2631" xr:uid="{00000000-0005-0000-0000-000065070000}"/>
    <cellStyle name="Normal 8 3 3" xfId="1351" xr:uid="{00000000-0005-0000-0000-000066070000}"/>
    <cellStyle name="Normal 8 3 3 10" xfId="1493" xr:uid="{00000000-0005-0000-0000-000067070000}"/>
    <cellStyle name="Normal 8 3 3 2" xfId="1394" xr:uid="{00000000-0005-0000-0000-000068070000}"/>
    <cellStyle name="Normal 8 3 3 2 2" xfId="2682" xr:uid="{00000000-0005-0000-0000-000069070000}"/>
    <cellStyle name="Normal 8 3 3 2 3" xfId="1657" xr:uid="{00000000-0005-0000-0000-00006A070000}"/>
    <cellStyle name="Normal 8 3 3 3" xfId="1437" xr:uid="{00000000-0005-0000-0000-00006B070000}"/>
    <cellStyle name="Normal 8 3 3 3 2" xfId="2725" xr:uid="{00000000-0005-0000-0000-00006C070000}"/>
    <cellStyle name="Normal 8 3 3 3 3" xfId="1966" xr:uid="{00000000-0005-0000-0000-00006D070000}"/>
    <cellStyle name="Normal 8 3 3 4" xfId="1915" xr:uid="{00000000-0005-0000-0000-00006E070000}"/>
    <cellStyle name="Normal 8 3 3 5" xfId="1875" xr:uid="{00000000-0005-0000-0000-00006F070000}"/>
    <cellStyle name="Normal 8 3 3 6" xfId="1739" xr:uid="{00000000-0005-0000-0000-000070070000}"/>
    <cellStyle name="Normal 8 3 3 7" xfId="1697" xr:uid="{00000000-0005-0000-0000-000071070000}"/>
    <cellStyle name="Normal 8 3 3 8" xfId="1533" xr:uid="{00000000-0005-0000-0000-000072070000}"/>
    <cellStyle name="Normal 8 3 3 9" xfId="2643" xr:uid="{00000000-0005-0000-0000-000073070000}"/>
    <cellStyle name="Normal 8 3 4" xfId="1369" xr:uid="{00000000-0005-0000-0000-000074070000}"/>
    <cellStyle name="Normal 8 3 4 2" xfId="2007" xr:uid="{00000000-0005-0000-0000-000075070000}"/>
    <cellStyle name="Normal 8 3 4 3" xfId="1979" xr:uid="{00000000-0005-0000-0000-000076070000}"/>
    <cellStyle name="Normal 8 3 4 4" xfId="1929" xr:uid="{00000000-0005-0000-0000-000077070000}"/>
    <cellStyle name="Normal 8 3 4 5" xfId="2657" xr:uid="{00000000-0005-0000-0000-000078070000}"/>
    <cellStyle name="Normal 8 3 4 6" xfId="1633" xr:uid="{00000000-0005-0000-0000-000079070000}"/>
    <cellStyle name="Normal 8 3 5" xfId="1412" xr:uid="{00000000-0005-0000-0000-00007A070000}"/>
    <cellStyle name="Normal 8 3 5 2" xfId="2700" xr:uid="{00000000-0005-0000-0000-00007B070000}"/>
    <cellStyle name="Normal 8 3 5 3" xfId="1991" xr:uid="{00000000-0005-0000-0000-00007C070000}"/>
    <cellStyle name="Normal 8 3 6" xfId="1942" xr:uid="{00000000-0005-0000-0000-00007D070000}"/>
    <cellStyle name="Normal 8 3 7" xfId="1891" xr:uid="{00000000-0005-0000-0000-00007E070000}"/>
    <cellStyle name="Normal 8 3 8" xfId="1850" xr:uid="{00000000-0005-0000-0000-00007F070000}"/>
    <cellStyle name="Normal 8 3 9" xfId="1714" xr:uid="{00000000-0005-0000-0000-000080070000}"/>
    <cellStyle name="Normal 8 4" xfId="1323" xr:uid="{00000000-0005-0000-0000-000081070000}"/>
    <cellStyle name="Normal 8 4 10" xfId="1473" xr:uid="{00000000-0005-0000-0000-000082070000}"/>
    <cellStyle name="Normal 8 4 2" xfId="1373" xr:uid="{00000000-0005-0000-0000-000083070000}"/>
    <cellStyle name="Normal 8 4 2 2" xfId="2661" xr:uid="{00000000-0005-0000-0000-000084070000}"/>
    <cellStyle name="Normal 8 4 2 3" xfId="1637" xr:uid="{00000000-0005-0000-0000-000085070000}"/>
    <cellStyle name="Normal 8 4 3" xfId="1416" xr:uid="{00000000-0005-0000-0000-000086070000}"/>
    <cellStyle name="Normal 8 4 3 2" xfId="2704" xr:uid="{00000000-0005-0000-0000-000087070000}"/>
    <cellStyle name="Normal 8 4 3 3" xfId="1946" xr:uid="{00000000-0005-0000-0000-000088070000}"/>
    <cellStyle name="Normal 8 4 4" xfId="1895" xr:uid="{00000000-0005-0000-0000-000089070000}"/>
    <cellStyle name="Normal 8 4 5" xfId="1854" xr:uid="{00000000-0005-0000-0000-00008A070000}"/>
    <cellStyle name="Normal 8 4 6" xfId="1718" xr:uid="{00000000-0005-0000-0000-00008B070000}"/>
    <cellStyle name="Normal 8 4 7" xfId="1676" xr:uid="{00000000-0005-0000-0000-00008C070000}"/>
    <cellStyle name="Normal 8 4 8" xfId="1512" xr:uid="{00000000-0005-0000-0000-00008D070000}"/>
    <cellStyle name="Normal 8 4 9" xfId="2622" xr:uid="{00000000-0005-0000-0000-00008E070000}"/>
    <cellStyle name="Normal 8 5" xfId="1341" xr:uid="{00000000-0005-0000-0000-00008F070000}"/>
    <cellStyle name="Normal 8 5 10" xfId="1485" xr:uid="{00000000-0005-0000-0000-000090070000}"/>
    <cellStyle name="Normal 8 5 2" xfId="1386" xr:uid="{00000000-0005-0000-0000-000091070000}"/>
    <cellStyle name="Normal 8 5 2 2" xfId="2674" xr:uid="{00000000-0005-0000-0000-000092070000}"/>
    <cellStyle name="Normal 8 5 2 3" xfId="1649" xr:uid="{00000000-0005-0000-0000-000093070000}"/>
    <cellStyle name="Normal 8 5 3" xfId="1429" xr:uid="{00000000-0005-0000-0000-000094070000}"/>
    <cellStyle name="Normal 8 5 3 2" xfId="2717" xr:uid="{00000000-0005-0000-0000-000095070000}"/>
    <cellStyle name="Normal 8 5 3 3" xfId="1958" xr:uid="{00000000-0005-0000-0000-000096070000}"/>
    <cellStyle name="Normal 8 5 4" xfId="1907" xr:uid="{00000000-0005-0000-0000-000097070000}"/>
    <cellStyle name="Normal 8 5 5" xfId="1867" xr:uid="{00000000-0005-0000-0000-000098070000}"/>
    <cellStyle name="Normal 8 5 6" xfId="1731" xr:uid="{00000000-0005-0000-0000-000099070000}"/>
    <cellStyle name="Normal 8 5 7" xfId="1689" xr:uid="{00000000-0005-0000-0000-00009A070000}"/>
    <cellStyle name="Normal 8 5 8" xfId="1525" xr:uid="{00000000-0005-0000-0000-00009B070000}"/>
    <cellStyle name="Normal 8 5 9" xfId="2635" xr:uid="{00000000-0005-0000-0000-00009C070000}"/>
    <cellStyle name="Normal 8 6" xfId="1360" xr:uid="{00000000-0005-0000-0000-00009D070000}"/>
    <cellStyle name="Normal 8 6 2" xfId="1998" xr:uid="{00000000-0005-0000-0000-00009E070000}"/>
    <cellStyle name="Normal 8 6 3" xfId="1970" xr:uid="{00000000-0005-0000-0000-00009F070000}"/>
    <cellStyle name="Normal 8 6 4" xfId="1920" xr:uid="{00000000-0005-0000-0000-0000A0070000}"/>
    <cellStyle name="Normal 8 6 5" xfId="2649" xr:uid="{00000000-0005-0000-0000-0000A1070000}"/>
    <cellStyle name="Normal 8 6 6" xfId="1621" xr:uid="{00000000-0005-0000-0000-0000A2070000}"/>
    <cellStyle name="Normal 8 7" xfId="1401" xr:uid="{00000000-0005-0000-0000-0000A3070000}"/>
    <cellStyle name="Normal 8 7 2" xfId="2691" xr:uid="{00000000-0005-0000-0000-0000A4070000}"/>
    <cellStyle name="Normal 8 7 3" xfId="1983" xr:uid="{00000000-0005-0000-0000-0000A5070000}"/>
    <cellStyle name="Normal 8 8" xfId="1305" xr:uid="{00000000-0005-0000-0000-0000A6070000}"/>
    <cellStyle name="Normal 8 8 2" xfId="1933" xr:uid="{00000000-0005-0000-0000-0000A7070000}"/>
    <cellStyle name="Normal 8 9" xfId="1450" xr:uid="{00000000-0005-0000-0000-0000A8070000}"/>
    <cellStyle name="Normal 8 9 2" xfId="1882" xr:uid="{00000000-0005-0000-0000-0000A9070000}"/>
    <cellStyle name="Normal 9" xfId="1106" xr:uid="{00000000-0005-0000-0000-0000AA070000}"/>
    <cellStyle name="Normale_PRINTER-CHART" xfId="1016" xr:uid="{00000000-0005-0000-0000-0000AB070000}"/>
    <cellStyle name="Normalny_3. Printer MFD Map_1" xfId="1017" xr:uid="{00000000-0005-0000-0000-0000AC070000}"/>
    <cellStyle name="Number" xfId="1018" xr:uid="{00000000-0005-0000-0000-0000AD070000}"/>
    <cellStyle name="Number 2" xfId="1762" xr:uid="{00000000-0005-0000-0000-0000AE070000}"/>
    <cellStyle name="Number 2 2" xfId="1558" xr:uid="{00000000-0005-0000-0000-0000AF070000}"/>
    <cellStyle name="Number 2 2 2" xfId="2465" xr:uid="{00000000-0005-0000-0000-0000B0070000}"/>
    <cellStyle name="Number 2 3" xfId="2221" xr:uid="{00000000-0005-0000-0000-0000B1070000}"/>
    <cellStyle name="Number 2 3 2" xfId="2565" xr:uid="{00000000-0005-0000-0000-0000B2070000}"/>
    <cellStyle name="Number 2 4" xfId="2367" xr:uid="{00000000-0005-0000-0000-0000B3070000}"/>
    <cellStyle name="Number 3" xfId="1557" xr:uid="{00000000-0005-0000-0000-0000B4070000}"/>
    <cellStyle name="Number 3 2" xfId="2466" xr:uid="{00000000-0005-0000-0000-0000B5070000}"/>
    <cellStyle name="Number 4" xfId="2189" xr:uid="{00000000-0005-0000-0000-0000B6070000}"/>
    <cellStyle name="Number 4 2" xfId="2537" xr:uid="{00000000-0005-0000-0000-0000B7070000}"/>
    <cellStyle name="Number 5" xfId="2300" xr:uid="{00000000-0005-0000-0000-0000B8070000}"/>
    <cellStyle name="Number 6" xfId="2342" xr:uid="{00000000-0005-0000-0000-0000B9070000}"/>
    <cellStyle name="Œ…‹æØ‚è [0.00]_CTM" xfId="1019" xr:uid="{00000000-0005-0000-0000-0000BA070000}"/>
    <cellStyle name="Œ…‹æØ‚è_CTM" xfId="1020" xr:uid="{00000000-0005-0000-0000-0000BB070000}"/>
    <cellStyle name="Percent [2]" xfId="1021" xr:uid="{00000000-0005-0000-0000-0000BC070000}"/>
    <cellStyle name="Percent [2] 2" xfId="1292" xr:uid="{00000000-0005-0000-0000-0000BD070000}"/>
    <cellStyle name="Percent 2" xfId="1022" xr:uid="{00000000-0005-0000-0000-0000BE070000}"/>
    <cellStyle name="Percent 2 2" xfId="1023" xr:uid="{00000000-0005-0000-0000-0000BF070000}"/>
    <cellStyle name="Percent 2 2 2" xfId="1293" xr:uid="{00000000-0005-0000-0000-0000C0070000}"/>
    <cellStyle name="Percent 2 3" xfId="1024" xr:uid="{00000000-0005-0000-0000-0000C1070000}"/>
    <cellStyle name="Percent 3" xfId="1025" xr:uid="{00000000-0005-0000-0000-0000C2070000}"/>
    <cellStyle name="SAPBEXaggData" xfId="1026" xr:uid="{00000000-0005-0000-0000-0000C3070000}"/>
    <cellStyle name="SAPBEXaggData 2" xfId="1791" xr:uid="{00000000-0005-0000-0000-0000C4070000}"/>
    <cellStyle name="SAPBEXaggData 2 2" xfId="1556" xr:uid="{00000000-0005-0000-0000-0000C5070000}"/>
    <cellStyle name="SAPBEXaggData 2 2 2" xfId="2467" xr:uid="{00000000-0005-0000-0000-0000C6070000}"/>
    <cellStyle name="SAPBEXaggData 2 3" xfId="2222" xr:uid="{00000000-0005-0000-0000-0000C7070000}"/>
    <cellStyle name="SAPBEXaggData 2 3 2" xfId="2566" xr:uid="{00000000-0005-0000-0000-0000C8070000}"/>
    <cellStyle name="SAPBEXaggData 2 4" xfId="2368" xr:uid="{00000000-0005-0000-0000-0000C9070000}"/>
    <cellStyle name="SAPBEXaggData 3" xfId="1551" xr:uid="{00000000-0005-0000-0000-0000CA070000}"/>
    <cellStyle name="SAPBEXaggData 3 2" xfId="2472" xr:uid="{00000000-0005-0000-0000-0000CB070000}"/>
    <cellStyle name="SAPBEXaggData 4" xfId="1600" xr:uid="{00000000-0005-0000-0000-0000CC070000}"/>
    <cellStyle name="SAPBEXaggData 4 2" xfId="2417" xr:uid="{00000000-0005-0000-0000-0000CD070000}"/>
    <cellStyle name="SAPBEXaggData 5" xfId="2299" xr:uid="{00000000-0005-0000-0000-0000CE070000}"/>
    <cellStyle name="SAPBEXaggData 6" xfId="2341" xr:uid="{00000000-0005-0000-0000-0000CF070000}"/>
    <cellStyle name="SAPBEXaggDataEmph" xfId="1027" xr:uid="{00000000-0005-0000-0000-0000D0070000}"/>
    <cellStyle name="SAPBEXaggDataEmph 2" xfId="1835" xr:uid="{00000000-0005-0000-0000-0000D1070000}"/>
    <cellStyle name="SAPBEXaggDataEmph 2 2" xfId="2195" xr:uid="{00000000-0005-0000-0000-0000D2070000}"/>
    <cellStyle name="SAPBEXaggDataEmph 2 2 2" xfId="2543" xr:uid="{00000000-0005-0000-0000-0000D3070000}"/>
    <cellStyle name="SAPBEXaggDataEmph 2 3" xfId="2223" xr:uid="{00000000-0005-0000-0000-0000D4070000}"/>
    <cellStyle name="SAPBEXaggDataEmph 2 3 2" xfId="2567" xr:uid="{00000000-0005-0000-0000-0000D5070000}"/>
    <cellStyle name="SAPBEXaggDataEmph 2 4" xfId="2369" xr:uid="{00000000-0005-0000-0000-0000D6070000}"/>
    <cellStyle name="SAPBEXaggDataEmph 3" xfId="1550" xr:uid="{00000000-0005-0000-0000-0000D7070000}"/>
    <cellStyle name="SAPBEXaggDataEmph 3 2" xfId="2473" xr:uid="{00000000-0005-0000-0000-0000D8070000}"/>
    <cellStyle name="SAPBEXaggDataEmph 4" xfId="1599" xr:uid="{00000000-0005-0000-0000-0000D9070000}"/>
    <cellStyle name="SAPBEXaggDataEmph 4 2" xfId="2418" xr:uid="{00000000-0005-0000-0000-0000DA070000}"/>
    <cellStyle name="SAPBEXaggDataEmph 5" xfId="2298" xr:uid="{00000000-0005-0000-0000-0000DB070000}"/>
    <cellStyle name="SAPBEXaggDataEmph 6" xfId="2340" xr:uid="{00000000-0005-0000-0000-0000DC070000}"/>
    <cellStyle name="SAPBEXaggItem" xfId="1028" xr:uid="{00000000-0005-0000-0000-0000DD070000}"/>
    <cellStyle name="SAPBEXaggItem 2" xfId="2017" xr:uid="{00000000-0005-0000-0000-0000DE070000}"/>
    <cellStyle name="SAPBEXaggItem 2 2" xfId="1555" xr:uid="{00000000-0005-0000-0000-0000DF070000}"/>
    <cellStyle name="SAPBEXaggItem 2 2 2" xfId="2468" xr:uid="{00000000-0005-0000-0000-0000E0070000}"/>
    <cellStyle name="SAPBEXaggItem 2 3" xfId="2224" xr:uid="{00000000-0005-0000-0000-0000E1070000}"/>
    <cellStyle name="SAPBEXaggItem 2 3 2" xfId="2568" xr:uid="{00000000-0005-0000-0000-0000E2070000}"/>
    <cellStyle name="SAPBEXaggItem 2 4" xfId="2370" xr:uid="{00000000-0005-0000-0000-0000E3070000}"/>
    <cellStyle name="SAPBEXaggItem 3" xfId="1549" xr:uid="{00000000-0005-0000-0000-0000E4070000}"/>
    <cellStyle name="SAPBEXaggItem 3 2" xfId="2474" xr:uid="{00000000-0005-0000-0000-0000E5070000}"/>
    <cellStyle name="SAPBEXaggItem 4" xfId="1598" xr:uid="{00000000-0005-0000-0000-0000E6070000}"/>
    <cellStyle name="SAPBEXaggItem 4 2" xfId="2419" xr:uid="{00000000-0005-0000-0000-0000E7070000}"/>
    <cellStyle name="SAPBEXaggItem 5" xfId="2297" xr:uid="{00000000-0005-0000-0000-0000E8070000}"/>
    <cellStyle name="SAPBEXaggItem 6" xfId="2339" xr:uid="{00000000-0005-0000-0000-0000E9070000}"/>
    <cellStyle name="SAPBEXaggItemX" xfId="1029" xr:uid="{00000000-0005-0000-0000-0000EA070000}"/>
    <cellStyle name="SAPBEXaggItemX 2" xfId="2025" xr:uid="{00000000-0005-0000-0000-0000EB070000}"/>
    <cellStyle name="SAPBEXaggItemX 2 2" xfId="1554" xr:uid="{00000000-0005-0000-0000-0000EC070000}"/>
    <cellStyle name="SAPBEXaggItemX 2 2 2" xfId="2469" xr:uid="{00000000-0005-0000-0000-0000ED070000}"/>
    <cellStyle name="SAPBEXaggItemX 2 3" xfId="2225" xr:uid="{00000000-0005-0000-0000-0000EE070000}"/>
    <cellStyle name="SAPBEXaggItemX 2 3 2" xfId="2569" xr:uid="{00000000-0005-0000-0000-0000EF070000}"/>
    <cellStyle name="SAPBEXaggItemX 2 4" xfId="2371" xr:uid="{00000000-0005-0000-0000-0000F0070000}"/>
    <cellStyle name="SAPBEXaggItemX 3" xfId="1548" xr:uid="{00000000-0005-0000-0000-0000F1070000}"/>
    <cellStyle name="SAPBEXaggItemX 3 2" xfId="2475" xr:uid="{00000000-0005-0000-0000-0000F2070000}"/>
    <cellStyle name="SAPBEXaggItemX 4" xfId="1597" xr:uid="{00000000-0005-0000-0000-0000F3070000}"/>
    <cellStyle name="SAPBEXaggItemX 4 2" xfId="2420" xr:uid="{00000000-0005-0000-0000-0000F4070000}"/>
    <cellStyle name="SAPBEXaggItemX 5" xfId="2296" xr:uid="{00000000-0005-0000-0000-0000F5070000}"/>
    <cellStyle name="SAPBEXaggItemX 6" xfId="2338" xr:uid="{00000000-0005-0000-0000-0000F6070000}"/>
    <cellStyle name="SAPBEXchaText" xfId="1030" xr:uid="{00000000-0005-0000-0000-0000F7070000}"/>
    <cellStyle name="SAPBEXexcBad7" xfId="1031" xr:uid="{00000000-0005-0000-0000-0000F8070000}"/>
    <cellStyle name="SAPBEXexcBad7 2" xfId="1769" xr:uid="{00000000-0005-0000-0000-0000F9070000}"/>
    <cellStyle name="SAPBEXexcBad7 2 2" xfId="2196" xr:uid="{00000000-0005-0000-0000-0000FA070000}"/>
    <cellStyle name="SAPBEXexcBad7 2 2 2" xfId="2544" xr:uid="{00000000-0005-0000-0000-0000FB070000}"/>
    <cellStyle name="SAPBEXexcBad7 2 3" xfId="2226" xr:uid="{00000000-0005-0000-0000-0000FC070000}"/>
    <cellStyle name="SAPBEXexcBad7 2 3 2" xfId="2570" xr:uid="{00000000-0005-0000-0000-0000FD070000}"/>
    <cellStyle name="SAPBEXexcBad7 2 4" xfId="2372" xr:uid="{00000000-0005-0000-0000-0000FE070000}"/>
    <cellStyle name="SAPBEXexcBad7 3" xfId="1546" xr:uid="{00000000-0005-0000-0000-0000FF070000}"/>
    <cellStyle name="SAPBEXexcBad7 3 2" xfId="2477" xr:uid="{00000000-0005-0000-0000-000000080000}"/>
    <cellStyle name="SAPBEXexcBad7 4" xfId="1596" xr:uid="{00000000-0005-0000-0000-000001080000}"/>
    <cellStyle name="SAPBEXexcBad7 4 2" xfId="2421" xr:uid="{00000000-0005-0000-0000-000002080000}"/>
    <cellStyle name="SAPBEXexcBad7 5" xfId="2353" xr:uid="{00000000-0005-0000-0000-000003080000}"/>
    <cellStyle name="SAPBEXexcBad7 6" xfId="2337" xr:uid="{00000000-0005-0000-0000-000004080000}"/>
    <cellStyle name="SAPBEXexcBad8" xfId="1032" xr:uid="{00000000-0005-0000-0000-000005080000}"/>
    <cellStyle name="SAPBEXexcBad8 2" xfId="1780" xr:uid="{00000000-0005-0000-0000-000006080000}"/>
    <cellStyle name="SAPBEXexcBad8 2 2" xfId="1553" xr:uid="{00000000-0005-0000-0000-000007080000}"/>
    <cellStyle name="SAPBEXexcBad8 2 2 2" xfId="2470" xr:uid="{00000000-0005-0000-0000-000008080000}"/>
    <cellStyle name="SAPBEXexcBad8 2 3" xfId="2227" xr:uid="{00000000-0005-0000-0000-000009080000}"/>
    <cellStyle name="SAPBEXexcBad8 2 3 2" xfId="2571" xr:uid="{00000000-0005-0000-0000-00000A080000}"/>
    <cellStyle name="SAPBEXexcBad8 2 4" xfId="2373" xr:uid="{00000000-0005-0000-0000-00000B080000}"/>
    <cellStyle name="SAPBEXexcBad8 3" xfId="1545" xr:uid="{00000000-0005-0000-0000-00000C080000}"/>
    <cellStyle name="SAPBEXexcBad8 3 2" xfId="2478" xr:uid="{00000000-0005-0000-0000-00000D080000}"/>
    <cellStyle name="SAPBEXexcBad8 4" xfId="1595" xr:uid="{00000000-0005-0000-0000-00000E080000}"/>
    <cellStyle name="SAPBEXexcBad8 4 2" xfId="2422" xr:uid="{00000000-0005-0000-0000-00000F080000}"/>
    <cellStyle name="SAPBEXexcBad8 5" xfId="2295" xr:uid="{00000000-0005-0000-0000-000010080000}"/>
    <cellStyle name="SAPBEXexcBad8 6" xfId="2336" xr:uid="{00000000-0005-0000-0000-000011080000}"/>
    <cellStyle name="SAPBEXexcBad9" xfId="1033" xr:uid="{00000000-0005-0000-0000-000012080000}"/>
    <cellStyle name="SAPBEXexcBad9 2" xfId="1792" xr:uid="{00000000-0005-0000-0000-000013080000}"/>
    <cellStyle name="SAPBEXexcBad9 2 2" xfId="1552" xr:uid="{00000000-0005-0000-0000-000014080000}"/>
    <cellStyle name="SAPBEXexcBad9 2 2 2" xfId="2471" xr:uid="{00000000-0005-0000-0000-000015080000}"/>
    <cellStyle name="SAPBEXexcBad9 2 3" xfId="2228" xr:uid="{00000000-0005-0000-0000-000016080000}"/>
    <cellStyle name="SAPBEXexcBad9 2 3 2" xfId="2572" xr:uid="{00000000-0005-0000-0000-000017080000}"/>
    <cellStyle name="SAPBEXexcBad9 2 4" xfId="2374" xr:uid="{00000000-0005-0000-0000-000018080000}"/>
    <cellStyle name="SAPBEXexcBad9 3" xfId="1544" xr:uid="{00000000-0005-0000-0000-000019080000}"/>
    <cellStyle name="SAPBEXexcBad9 3 2" xfId="2479" xr:uid="{00000000-0005-0000-0000-00001A080000}"/>
    <cellStyle name="SAPBEXexcBad9 4" xfId="1594" xr:uid="{00000000-0005-0000-0000-00001B080000}"/>
    <cellStyle name="SAPBEXexcBad9 4 2" xfId="2423" xr:uid="{00000000-0005-0000-0000-00001C080000}"/>
    <cellStyle name="SAPBEXexcBad9 5" xfId="2294" xr:uid="{00000000-0005-0000-0000-00001D080000}"/>
    <cellStyle name="SAPBEXexcBad9 6" xfId="2335" xr:uid="{00000000-0005-0000-0000-00001E080000}"/>
    <cellStyle name="SAPBEXexcCritical4" xfId="1034" xr:uid="{00000000-0005-0000-0000-00001F080000}"/>
    <cellStyle name="SAPBEXexcCritical4 2" xfId="2037" xr:uid="{00000000-0005-0000-0000-000020080000}"/>
    <cellStyle name="SAPBEXexcCritical4 2 2" xfId="1547" xr:uid="{00000000-0005-0000-0000-000021080000}"/>
    <cellStyle name="SAPBEXexcCritical4 2 2 2" xfId="2476" xr:uid="{00000000-0005-0000-0000-000022080000}"/>
    <cellStyle name="SAPBEXexcCritical4 2 3" xfId="2229" xr:uid="{00000000-0005-0000-0000-000023080000}"/>
    <cellStyle name="SAPBEXexcCritical4 2 3 2" xfId="2573" xr:uid="{00000000-0005-0000-0000-000024080000}"/>
    <cellStyle name="SAPBEXexcCritical4 2 4" xfId="2375" xr:uid="{00000000-0005-0000-0000-000025080000}"/>
    <cellStyle name="SAPBEXexcCritical4 3" xfId="1617" xr:uid="{00000000-0005-0000-0000-000026080000}"/>
    <cellStyle name="SAPBEXexcCritical4 3 2" xfId="2480" xr:uid="{00000000-0005-0000-0000-000027080000}"/>
    <cellStyle name="SAPBEXexcCritical4 4" xfId="1593" xr:uid="{00000000-0005-0000-0000-000028080000}"/>
    <cellStyle name="SAPBEXexcCritical4 4 2" xfId="2424" xr:uid="{00000000-0005-0000-0000-000029080000}"/>
    <cellStyle name="SAPBEXexcCritical4 5" xfId="2293" xr:uid="{00000000-0005-0000-0000-00002A080000}"/>
    <cellStyle name="SAPBEXexcCritical4 6" xfId="2334" xr:uid="{00000000-0005-0000-0000-00002B080000}"/>
    <cellStyle name="SAPBEXexcCritical5" xfId="1035" xr:uid="{00000000-0005-0000-0000-00002C080000}"/>
    <cellStyle name="SAPBEXexcCritical5 2" xfId="1770" xr:uid="{00000000-0005-0000-0000-00002D080000}"/>
    <cellStyle name="SAPBEXexcCritical5 2 2" xfId="1614" xr:uid="{00000000-0005-0000-0000-00002E080000}"/>
    <cellStyle name="SAPBEXexcCritical5 2 2 2" xfId="2486" xr:uid="{00000000-0005-0000-0000-00002F080000}"/>
    <cellStyle name="SAPBEXexcCritical5 2 3" xfId="2230" xr:uid="{00000000-0005-0000-0000-000030080000}"/>
    <cellStyle name="SAPBEXexcCritical5 2 3 2" xfId="2574" xr:uid="{00000000-0005-0000-0000-000031080000}"/>
    <cellStyle name="SAPBEXexcCritical5 2 4" xfId="2376" xr:uid="{00000000-0005-0000-0000-000032080000}"/>
    <cellStyle name="SAPBEXexcCritical5 3" xfId="1543" xr:uid="{00000000-0005-0000-0000-000033080000}"/>
    <cellStyle name="SAPBEXexcCritical5 3 2" xfId="2481" xr:uid="{00000000-0005-0000-0000-000034080000}"/>
    <cellStyle name="SAPBEXexcCritical5 4" xfId="1625" xr:uid="{00000000-0005-0000-0000-000035080000}"/>
    <cellStyle name="SAPBEXexcCritical5 4 2" xfId="2425" xr:uid="{00000000-0005-0000-0000-000036080000}"/>
    <cellStyle name="SAPBEXexcCritical5 5" xfId="2292" xr:uid="{00000000-0005-0000-0000-000037080000}"/>
    <cellStyle name="SAPBEXexcCritical5 6" xfId="2333" xr:uid="{00000000-0005-0000-0000-000038080000}"/>
    <cellStyle name="SAPBEXexcCritical6" xfId="1036" xr:uid="{00000000-0005-0000-0000-000039080000}"/>
    <cellStyle name="SAPBEXexcCritical6 2" xfId="1836" xr:uid="{00000000-0005-0000-0000-00003A080000}"/>
    <cellStyle name="SAPBEXexcCritical6 2 2" xfId="1540" xr:uid="{00000000-0005-0000-0000-00003B080000}"/>
    <cellStyle name="SAPBEXexcCritical6 2 2 2" xfId="2487" xr:uid="{00000000-0005-0000-0000-00003C080000}"/>
    <cellStyle name="SAPBEXexcCritical6 2 3" xfId="2231" xr:uid="{00000000-0005-0000-0000-00003D080000}"/>
    <cellStyle name="SAPBEXexcCritical6 2 3 2" xfId="2575" xr:uid="{00000000-0005-0000-0000-00003E080000}"/>
    <cellStyle name="SAPBEXexcCritical6 2 4" xfId="2377" xr:uid="{00000000-0005-0000-0000-00003F080000}"/>
    <cellStyle name="SAPBEXexcCritical6 3" xfId="1616" xr:uid="{00000000-0005-0000-0000-000040080000}"/>
    <cellStyle name="SAPBEXexcCritical6 3 2" xfId="2482" xr:uid="{00000000-0005-0000-0000-000041080000}"/>
    <cellStyle name="SAPBEXexcCritical6 4" xfId="1592" xr:uid="{00000000-0005-0000-0000-000042080000}"/>
    <cellStyle name="SAPBEXexcCritical6 4 2" xfId="2426" xr:uid="{00000000-0005-0000-0000-000043080000}"/>
    <cellStyle name="SAPBEXexcCritical6 5" xfId="2291" xr:uid="{00000000-0005-0000-0000-000044080000}"/>
    <cellStyle name="SAPBEXexcCritical6 6" xfId="2332" xr:uid="{00000000-0005-0000-0000-000045080000}"/>
    <cellStyle name="SAPBEXexcGood1" xfId="1037" xr:uid="{00000000-0005-0000-0000-000046080000}"/>
    <cellStyle name="SAPBEXexcGood1 2" xfId="2047" xr:uid="{00000000-0005-0000-0000-000047080000}"/>
    <cellStyle name="SAPBEXexcGood1 2 2" xfId="2140" xr:uid="{00000000-0005-0000-0000-000048080000}"/>
    <cellStyle name="SAPBEXexcGood1 2 2 2" xfId="2488" xr:uid="{00000000-0005-0000-0000-000049080000}"/>
    <cellStyle name="SAPBEXexcGood1 2 3" xfId="2232" xr:uid="{00000000-0005-0000-0000-00004A080000}"/>
    <cellStyle name="SAPBEXexcGood1 2 3 2" xfId="2576" xr:uid="{00000000-0005-0000-0000-00004B080000}"/>
    <cellStyle name="SAPBEXexcGood1 2 4" xfId="2378" xr:uid="{00000000-0005-0000-0000-00004C080000}"/>
    <cellStyle name="SAPBEXexcGood1 3" xfId="1542" xr:uid="{00000000-0005-0000-0000-00004D080000}"/>
    <cellStyle name="SAPBEXexcGood1 3 2" xfId="2483" xr:uid="{00000000-0005-0000-0000-00004E080000}"/>
    <cellStyle name="SAPBEXexcGood1 4" xfId="1539" xr:uid="{00000000-0005-0000-0000-00004F080000}"/>
    <cellStyle name="SAPBEXexcGood1 4 2" xfId="2427" xr:uid="{00000000-0005-0000-0000-000050080000}"/>
    <cellStyle name="SAPBEXexcGood1 5" xfId="2290" xr:uid="{00000000-0005-0000-0000-000051080000}"/>
    <cellStyle name="SAPBEXexcGood1 6" xfId="2331" xr:uid="{00000000-0005-0000-0000-000052080000}"/>
    <cellStyle name="SAPBEXexcGood2" xfId="1038" xr:uid="{00000000-0005-0000-0000-000053080000}"/>
    <cellStyle name="SAPBEXexcGood2 2" xfId="2028" xr:uid="{00000000-0005-0000-0000-000054080000}"/>
    <cellStyle name="SAPBEXexcGood2 2 2" xfId="2142" xr:uid="{00000000-0005-0000-0000-000055080000}"/>
    <cellStyle name="SAPBEXexcGood2 2 2 2" xfId="2490" xr:uid="{00000000-0005-0000-0000-000056080000}"/>
    <cellStyle name="SAPBEXexcGood2 2 3" xfId="2233" xr:uid="{00000000-0005-0000-0000-000057080000}"/>
    <cellStyle name="SAPBEXexcGood2 2 3 2" xfId="2577" xr:uid="{00000000-0005-0000-0000-000058080000}"/>
    <cellStyle name="SAPBEXexcGood2 2 4" xfId="2379" xr:uid="{00000000-0005-0000-0000-000059080000}"/>
    <cellStyle name="SAPBEXexcGood2 3" xfId="1615" xr:uid="{00000000-0005-0000-0000-00005A080000}"/>
    <cellStyle name="SAPBEXexcGood2 3 2" xfId="2484" xr:uid="{00000000-0005-0000-0000-00005B080000}"/>
    <cellStyle name="SAPBEXexcGood2 4" xfId="1626" xr:uid="{00000000-0005-0000-0000-00005C080000}"/>
    <cellStyle name="SAPBEXexcGood2 4 2" xfId="2428" xr:uid="{00000000-0005-0000-0000-00005D080000}"/>
    <cellStyle name="SAPBEXexcGood2 5" xfId="2289" xr:uid="{00000000-0005-0000-0000-00005E080000}"/>
    <cellStyle name="SAPBEXexcGood2 6" xfId="2330" xr:uid="{00000000-0005-0000-0000-00005F080000}"/>
    <cellStyle name="SAPBEXexcGood3" xfId="1039" xr:uid="{00000000-0005-0000-0000-000060080000}"/>
    <cellStyle name="SAPBEXexcGood3 2" xfId="1781" xr:uid="{00000000-0005-0000-0000-000061080000}"/>
    <cellStyle name="SAPBEXexcGood3 2 2" xfId="2198" xr:uid="{00000000-0005-0000-0000-000062080000}"/>
    <cellStyle name="SAPBEXexcGood3 2 2 2" xfId="2546" xr:uid="{00000000-0005-0000-0000-000063080000}"/>
    <cellStyle name="SAPBEXexcGood3 2 3" xfId="2234" xr:uid="{00000000-0005-0000-0000-000064080000}"/>
    <cellStyle name="SAPBEXexcGood3 2 3 2" xfId="2578" xr:uid="{00000000-0005-0000-0000-000065080000}"/>
    <cellStyle name="SAPBEXexcGood3 2 4" xfId="2380" xr:uid="{00000000-0005-0000-0000-000066080000}"/>
    <cellStyle name="SAPBEXexcGood3 3" xfId="1541" xr:uid="{00000000-0005-0000-0000-000067080000}"/>
    <cellStyle name="SAPBEXexcGood3 3 2" xfId="2485" xr:uid="{00000000-0005-0000-0000-000068080000}"/>
    <cellStyle name="SAPBEXexcGood3 4" xfId="1624" xr:uid="{00000000-0005-0000-0000-000069080000}"/>
    <cellStyle name="SAPBEXexcGood3 4 2" xfId="2429" xr:uid="{00000000-0005-0000-0000-00006A080000}"/>
    <cellStyle name="SAPBEXexcGood3 5" xfId="2288" xr:uid="{00000000-0005-0000-0000-00006B080000}"/>
    <cellStyle name="SAPBEXexcGood3 6" xfId="2329" xr:uid="{00000000-0005-0000-0000-00006C080000}"/>
    <cellStyle name="SAPBEXfilterDrill" xfId="1040" xr:uid="{00000000-0005-0000-0000-00006D080000}"/>
    <cellStyle name="SAPBEXfilterItem" xfId="1041" xr:uid="{00000000-0005-0000-0000-00006E080000}"/>
    <cellStyle name="SAPBEXfilterText" xfId="1042" xr:uid="{00000000-0005-0000-0000-00006F080000}"/>
    <cellStyle name="SAPBEXformats" xfId="1043" xr:uid="{00000000-0005-0000-0000-000070080000}"/>
    <cellStyle name="SAPBEXformats 2" xfId="1294" xr:uid="{00000000-0005-0000-0000-000071080000}"/>
    <cellStyle name="SAPBEXformats 2 2" xfId="2054" xr:uid="{00000000-0005-0000-0000-000072080000}"/>
    <cellStyle name="SAPBEXformats 2 2 2" xfId="2185" xr:uid="{00000000-0005-0000-0000-000073080000}"/>
    <cellStyle name="SAPBEXformats 2 2 2 2" xfId="2533" xr:uid="{00000000-0005-0000-0000-000074080000}"/>
    <cellStyle name="SAPBEXformats 2 2 3" xfId="2259" xr:uid="{00000000-0005-0000-0000-000075080000}"/>
    <cellStyle name="SAPBEXformats 2 2 3 2" xfId="2603" xr:uid="{00000000-0005-0000-0000-000076080000}"/>
    <cellStyle name="SAPBEXformats 2 2 4" xfId="2405" xr:uid="{00000000-0005-0000-0000-000077080000}"/>
    <cellStyle name="SAPBEXformats 2 3" xfId="2197" xr:uid="{00000000-0005-0000-0000-000078080000}"/>
    <cellStyle name="SAPBEXformats 2 3 2" xfId="2545" xr:uid="{00000000-0005-0000-0000-000079080000}"/>
    <cellStyle name="SAPBEXformats 2 4" xfId="2210" xr:uid="{00000000-0005-0000-0000-00007A080000}"/>
    <cellStyle name="SAPBEXformats 2 4 2" xfId="2554" xr:uid="{00000000-0005-0000-0000-00007B080000}"/>
    <cellStyle name="SAPBEXformats 2 5" xfId="2355" xr:uid="{00000000-0005-0000-0000-00007C080000}"/>
    <cellStyle name="SAPBEXformats 2 6" xfId="2264" xr:uid="{00000000-0005-0000-0000-00007D080000}"/>
    <cellStyle name="SAPBEXformats 3" xfId="1771" xr:uid="{00000000-0005-0000-0000-00007E080000}"/>
    <cellStyle name="SAPBEXformats 3 2" xfId="2143" xr:uid="{00000000-0005-0000-0000-00007F080000}"/>
    <cellStyle name="SAPBEXformats 3 2 2" xfId="2491" xr:uid="{00000000-0005-0000-0000-000080080000}"/>
    <cellStyle name="SAPBEXformats 3 3" xfId="2235" xr:uid="{00000000-0005-0000-0000-000081080000}"/>
    <cellStyle name="SAPBEXformats 3 3 2" xfId="2579" xr:uid="{00000000-0005-0000-0000-000082080000}"/>
    <cellStyle name="SAPBEXformats 3 4" xfId="2381" xr:uid="{00000000-0005-0000-0000-000083080000}"/>
    <cellStyle name="SAPBEXformats 4" xfId="2141" xr:uid="{00000000-0005-0000-0000-000084080000}"/>
    <cellStyle name="SAPBEXformats 4 2" xfId="2489" xr:uid="{00000000-0005-0000-0000-000085080000}"/>
    <cellStyle name="SAPBEXformats 5" xfId="1591" xr:uid="{00000000-0005-0000-0000-000086080000}"/>
    <cellStyle name="SAPBEXformats 5 2" xfId="2430" xr:uid="{00000000-0005-0000-0000-000087080000}"/>
    <cellStyle name="SAPBEXformats 6" xfId="2287" xr:uid="{00000000-0005-0000-0000-000088080000}"/>
    <cellStyle name="SAPBEXformats 7" xfId="2328" xr:uid="{00000000-0005-0000-0000-000089080000}"/>
    <cellStyle name="SAPBEXheaderItem" xfId="1044" xr:uid="{00000000-0005-0000-0000-00008A080000}"/>
    <cellStyle name="SAPBEXheaderItem 2" xfId="1295" xr:uid="{00000000-0005-0000-0000-00008B080000}"/>
    <cellStyle name="SAPBEXheaderText" xfId="1045" xr:uid="{00000000-0005-0000-0000-00008C080000}"/>
    <cellStyle name="SAPBEXheaderText 2" xfId="1296" xr:uid="{00000000-0005-0000-0000-00008D080000}"/>
    <cellStyle name="SAPBEXHLevel0" xfId="1046" xr:uid="{00000000-0005-0000-0000-00008E080000}"/>
    <cellStyle name="SAPBEXHLevel0 2" xfId="2021" xr:uid="{00000000-0005-0000-0000-00008F080000}"/>
    <cellStyle name="SAPBEXHLevel0 2 2" xfId="2199" xr:uid="{00000000-0005-0000-0000-000090080000}"/>
    <cellStyle name="SAPBEXHLevel0 2 2 2" xfId="2547" xr:uid="{00000000-0005-0000-0000-000091080000}"/>
    <cellStyle name="SAPBEXHLevel0 2 3" xfId="2236" xr:uid="{00000000-0005-0000-0000-000092080000}"/>
    <cellStyle name="SAPBEXHLevel0 2 3 2" xfId="2580" xr:uid="{00000000-0005-0000-0000-000093080000}"/>
    <cellStyle name="SAPBEXHLevel0 2 4" xfId="2382" xr:uid="{00000000-0005-0000-0000-000094080000}"/>
    <cellStyle name="SAPBEXHLevel0 3" xfId="2144" xr:uid="{00000000-0005-0000-0000-000095080000}"/>
    <cellStyle name="SAPBEXHLevel0 3 2" xfId="2492" xr:uid="{00000000-0005-0000-0000-000096080000}"/>
    <cellStyle name="SAPBEXHLevel0 4" xfId="1590" xr:uid="{00000000-0005-0000-0000-000097080000}"/>
    <cellStyle name="SAPBEXHLevel0 4 2" xfId="2431" xr:uid="{00000000-0005-0000-0000-000098080000}"/>
    <cellStyle name="SAPBEXHLevel0 5" xfId="2286" xr:uid="{00000000-0005-0000-0000-000099080000}"/>
    <cellStyle name="SAPBEXHLevel0 6" xfId="2327" xr:uid="{00000000-0005-0000-0000-00009A080000}"/>
    <cellStyle name="SAPBEXHLevel0X" xfId="1047" xr:uid="{00000000-0005-0000-0000-00009B080000}"/>
    <cellStyle name="SAPBEXHLevel0X 2" xfId="2031" xr:uid="{00000000-0005-0000-0000-00009C080000}"/>
    <cellStyle name="SAPBEXHLevel0X 2 2" xfId="2160" xr:uid="{00000000-0005-0000-0000-00009D080000}"/>
    <cellStyle name="SAPBEXHLevel0X 2 2 2" xfId="2508" xr:uid="{00000000-0005-0000-0000-00009E080000}"/>
    <cellStyle name="SAPBEXHLevel0X 2 3" xfId="2237" xr:uid="{00000000-0005-0000-0000-00009F080000}"/>
    <cellStyle name="SAPBEXHLevel0X 2 3 2" xfId="2581" xr:uid="{00000000-0005-0000-0000-0000A0080000}"/>
    <cellStyle name="SAPBEXHLevel0X 2 4" xfId="2383" xr:uid="{00000000-0005-0000-0000-0000A1080000}"/>
    <cellStyle name="SAPBEXHLevel0X 3" xfId="2145" xr:uid="{00000000-0005-0000-0000-0000A2080000}"/>
    <cellStyle name="SAPBEXHLevel0X 3 2" xfId="2493" xr:uid="{00000000-0005-0000-0000-0000A3080000}"/>
    <cellStyle name="SAPBEXHLevel0X 4" xfId="1589" xr:uid="{00000000-0005-0000-0000-0000A4080000}"/>
    <cellStyle name="SAPBEXHLevel0X 4 2" xfId="2432" xr:uid="{00000000-0005-0000-0000-0000A5080000}"/>
    <cellStyle name="SAPBEXHLevel0X 5" xfId="2285" xr:uid="{00000000-0005-0000-0000-0000A6080000}"/>
    <cellStyle name="SAPBEXHLevel0X 6" xfId="2326" xr:uid="{00000000-0005-0000-0000-0000A7080000}"/>
    <cellStyle name="SAPBEXHLevel1" xfId="1048" xr:uid="{00000000-0005-0000-0000-0000A8080000}"/>
    <cellStyle name="SAPBEXHLevel1 2" xfId="1757" xr:uid="{00000000-0005-0000-0000-0000A9080000}"/>
    <cellStyle name="SAPBEXHLevel1 2 2" xfId="2162" xr:uid="{00000000-0005-0000-0000-0000AA080000}"/>
    <cellStyle name="SAPBEXHLevel1 2 2 2" xfId="2510" xr:uid="{00000000-0005-0000-0000-0000AB080000}"/>
    <cellStyle name="SAPBEXHLevel1 2 3" xfId="2238" xr:uid="{00000000-0005-0000-0000-0000AC080000}"/>
    <cellStyle name="SAPBEXHLevel1 2 3 2" xfId="2582" xr:uid="{00000000-0005-0000-0000-0000AD080000}"/>
    <cellStyle name="SAPBEXHLevel1 2 4" xfId="2384" xr:uid="{00000000-0005-0000-0000-0000AE080000}"/>
    <cellStyle name="SAPBEXHLevel1 3" xfId="2146" xr:uid="{00000000-0005-0000-0000-0000AF080000}"/>
    <cellStyle name="SAPBEXHLevel1 3 2" xfId="2494" xr:uid="{00000000-0005-0000-0000-0000B0080000}"/>
    <cellStyle name="SAPBEXHLevel1 4" xfId="1588" xr:uid="{00000000-0005-0000-0000-0000B1080000}"/>
    <cellStyle name="SAPBEXHLevel1 4 2" xfId="2433" xr:uid="{00000000-0005-0000-0000-0000B2080000}"/>
    <cellStyle name="SAPBEXHLevel1 5" xfId="2284" xr:uid="{00000000-0005-0000-0000-0000B3080000}"/>
    <cellStyle name="SAPBEXHLevel1 6" xfId="2325" xr:uid="{00000000-0005-0000-0000-0000B4080000}"/>
    <cellStyle name="SAPBEXHLevel1X" xfId="1049" xr:uid="{00000000-0005-0000-0000-0000B5080000}"/>
    <cellStyle name="SAPBEXHLevel1X 2" xfId="1837" xr:uid="{00000000-0005-0000-0000-0000B6080000}"/>
    <cellStyle name="SAPBEXHLevel1X 2 2" xfId="2165" xr:uid="{00000000-0005-0000-0000-0000B7080000}"/>
    <cellStyle name="SAPBEXHLevel1X 2 2 2" xfId="2513" xr:uid="{00000000-0005-0000-0000-0000B8080000}"/>
    <cellStyle name="SAPBEXHLevel1X 2 3" xfId="2239" xr:uid="{00000000-0005-0000-0000-0000B9080000}"/>
    <cellStyle name="SAPBEXHLevel1X 2 3 2" xfId="2583" xr:uid="{00000000-0005-0000-0000-0000BA080000}"/>
    <cellStyle name="SAPBEXHLevel1X 2 4" xfId="2385" xr:uid="{00000000-0005-0000-0000-0000BB080000}"/>
    <cellStyle name="SAPBEXHLevel1X 3" xfId="2147" xr:uid="{00000000-0005-0000-0000-0000BC080000}"/>
    <cellStyle name="SAPBEXHLevel1X 3 2" xfId="2495" xr:uid="{00000000-0005-0000-0000-0000BD080000}"/>
    <cellStyle name="SAPBEXHLevel1X 4" xfId="1587" xr:uid="{00000000-0005-0000-0000-0000BE080000}"/>
    <cellStyle name="SAPBEXHLevel1X 4 2" xfId="2434" xr:uid="{00000000-0005-0000-0000-0000BF080000}"/>
    <cellStyle name="SAPBEXHLevel1X 5" xfId="2283" xr:uid="{00000000-0005-0000-0000-0000C0080000}"/>
    <cellStyle name="SAPBEXHLevel1X 6" xfId="2324" xr:uid="{00000000-0005-0000-0000-0000C1080000}"/>
    <cellStyle name="SAPBEXHLevel2" xfId="1050" xr:uid="{00000000-0005-0000-0000-0000C2080000}"/>
    <cellStyle name="SAPBEXHLevel2 2" xfId="1755" xr:uid="{00000000-0005-0000-0000-0000C3080000}"/>
    <cellStyle name="SAPBEXHLevel2 2 2" xfId="2201" xr:uid="{00000000-0005-0000-0000-0000C4080000}"/>
    <cellStyle name="SAPBEXHLevel2 2 2 2" xfId="2549" xr:uid="{00000000-0005-0000-0000-0000C5080000}"/>
    <cellStyle name="SAPBEXHLevel2 2 3" xfId="2240" xr:uid="{00000000-0005-0000-0000-0000C6080000}"/>
    <cellStyle name="SAPBEXHLevel2 2 3 2" xfId="2584" xr:uid="{00000000-0005-0000-0000-0000C7080000}"/>
    <cellStyle name="SAPBEXHLevel2 2 4" xfId="2386" xr:uid="{00000000-0005-0000-0000-0000C8080000}"/>
    <cellStyle name="SAPBEXHLevel2 3" xfId="2148" xr:uid="{00000000-0005-0000-0000-0000C9080000}"/>
    <cellStyle name="SAPBEXHLevel2 3 2" xfId="2496" xr:uid="{00000000-0005-0000-0000-0000CA080000}"/>
    <cellStyle name="SAPBEXHLevel2 4" xfId="1586" xr:uid="{00000000-0005-0000-0000-0000CB080000}"/>
    <cellStyle name="SAPBEXHLevel2 4 2" xfId="2435" xr:uid="{00000000-0005-0000-0000-0000CC080000}"/>
    <cellStyle name="SAPBEXHLevel2 5" xfId="2282" xr:uid="{00000000-0005-0000-0000-0000CD080000}"/>
    <cellStyle name="SAPBEXHLevel2 6" xfId="2323" xr:uid="{00000000-0005-0000-0000-0000CE080000}"/>
    <cellStyle name="SAPBEXHLevel2X" xfId="1051" xr:uid="{00000000-0005-0000-0000-0000CF080000}"/>
    <cellStyle name="SAPBEXHLevel2X 2" xfId="2042" xr:uid="{00000000-0005-0000-0000-0000D0080000}"/>
    <cellStyle name="SAPBEXHLevel2X 2 2" xfId="2166" xr:uid="{00000000-0005-0000-0000-0000D1080000}"/>
    <cellStyle name="SAPBEXHLevel2X 2 2 2" xfId="2514" xr:uid="{00000000-0005-0000-0000-0000D2080000}"/>
    <cellStyle name="SAPBEXHLevel2X 2 3" xfId="2241" xr:uid="{00000000-0005-0000-0000-0000D3080000}"/>
    <cellStyle name="SAPBEXHLevel2X 2 3 2" xfId="2585" xr:uid="{00000000-0005-0000-0000-0000D4080000}"/>
    <cellStyle name="SAPBEXHLevel2X 2 4" xfId="2387" xr:uid="{00000000-0005-0000-0000-0000D5080000}"/>
    <cellStyle name="SAPBEXHLevel2X 3" xfId="2149" xr:uid="{00000000-0005-0000-0000-0000D6080000}"/>
    <cellStyle name="SAPBEXHLevel2X 3 2" xfId="2497" xr:uid="{00000000-0005-0000-0000-0000D7080000}"/>
    <cellStyle name="SAPBEXHLevel2X 4" xfId="1585" xr:uid="{00000000-0005-0000-0000-0000D8080000}"/>
    <cellStyle name="SAPBEXHLevel2X 4 2" xfId="2436" xr:uid="{00000000-0005-0000-0000-0000D9080000}"/>
    <cellStyle name="SAPBEXHLevel2X 5" xfId="2281" xr:uid="{00000000-0005-0000-0000-0000DA080000}"/>
    <cellStyle name="SAPBEXHLevel2X 6" xfId="2322" xr:uid="{00000000-0005-0000-0000-0000DB080000}"/>
    <cellStyle name="SAPBEXHLevel3" xfId="1052" xr:uid="{00000000-0005-0000-0000-0000DC080000}"/>
    <cellStyle name="SAPBEXHLevel3 2" xfId="2045" xr:uid="{00000000-0005-0000-0000-0000DD080000}"/>
    <cellStyle name="SAPBEXHLevel3 2 2" xfId="2167" xr:uid="{00000000-0005-0000-0000-0000DE080000}"/>
    <cellStyle name="SAPBEXHLevel3 2 2 2" xfId="2515" xr:uid="{00000000-0005-0000-0000-0000DF080000}"/>
    <cellStyle name="SAPBEXHLevel3 2 3" xfId="2242" xr:uid="{00000000-0005-0000-0000-0000E0080000}"/>
    <cellStyle name="SAPBEXHLevel3 2 3 2" xfId="2586" xr:uid="{00000000-0005-0000-0000-0000E1080000}"/>
    <cellStyle name="SAPBEXHLevel3 2 4" xfId="2388" xr:uid="{00000000-0005-0000-0000-0000E2080000}"/>
    <cellStyle name="SAPBEXHLevel3 3" xfId="2150" xr:uid="{00000000-0005-0000-0000-0000E3080000}"/>
    <cellStyle name="SAPBEXHLevel3 3 2" xfId="2498" xr:uid="{00000000-0005-0000-0000-0000E4080000}"/>
    <cellStyle name="SAPBEXHLevel3 4" xfId="1584" xr:uid="{00000000-0005-0000-0000-0000E5080000}"/>
    <cellStyle name="SAPBEXHLevel3 4 2" xfId="2437" xr:uid="{00000000-0005-0000-0000-0000E6080000}"/>
    <cellStyle name="SAPBEXHLevel3 5" xfId="2280" xr:uid="{00000000-0005-0000-0000-0000E7080000}"/>
    <cellStyle name="SAPBEXHLevel3 6" xfId="2321" xr:uid="{00000000-0005-0000-0000-0000E8080000}"/>
    <cellStyle name="SAPBEXHLevel3X" xfId="1053" xr:uid="{00000000-0005-0000-0000-0000E9080000}"/>
    <cellStyle name="SAPBEXHLevel3X 2" xfId="1782" xr:uid="{00000000-0005-0000-0000-0000EA080000}"/>
    <cellStyle name="SAPBEXHLevel3X 2 2" xfId="2168" xr:uid="{00000000-0005-0000-0000-0000EB080000}"/>
    <cellStyle name="SAPBEXHLevel3X 2 2 2" xfId="2516" xr:uid="{00000000-0005-0000-0000-0000EC080000}"/>
    <cellStyle name="SAPBEXHLevel3X 2 3" xfId="2243" xr:uid="{00000000-0005-0000-0000-0000ED080000}"/>
    <cellStyle name="SAPBEXHLevel3X 2 3 2" xfId="2587" xr:uid="{00000000-0005-0000-0000-0000EE080000}"/>
    <cellStyle name="SAPBEXHLevel3X 2 4" xfId="2389" xr:uid="{00000000-0005-0000-0000-0000EF080000}"/>
    <cellStyle name="SAPBEXHLevel3X 3" xfId="2151" xr:uid="{00000000-0005-0000-0000-0000F0080000}"/>
    <cellStyle name="SAPBEXHLevel3X 3 2" xfId="2499" xr:uid="{00000000-0005-0000-0000-0000F1080000}"/>
    <cellStyle name="SAPBEXHLevel3X 4" xfId="1583" xr:uid="{00000000-0005-0000-0000-0000F2080000}"/>
    <cellStyle name="SAPBEXHLevel3X 4 2" xfId="2438" xr:uid="{00000000-0005-0000-0000-0000F3080000}"/>
    <cellStyle name="SAPBEXHLevel3X 5" xfId="2279" xr:uid="{00000000-0005-0000-0000-0000F4080000}"/>
    <cellStyle name="SAPBEXHLevel3X 6" xfId="2320" xr:uid="{00000000-0005-0000-0000-0000F5080000}"/>
    <cellStyle name="SAPBEXresData" xfId="1054" xr:uid="{00000000-0005-0000-0000-0000F6080000}"/>
    <cellStyle name="SAPBEXresData 2" xfId="2011" xr:uid="{00000000-0005-0000-0000-0000F7080000}"/>
    <cellStyle name="SAPBEXresData 2 2" xfId="2169" xr:uid="{00000000-0005-0000-0000-0000F8080000}"/>
    <cellStyle name="SAPBEXresData 2 2 2" xfId="2517" xr:uid="{00000000-0005-0000-0000-0000F9080000}"/>
    <cellStyle name="SAPBEXresData 2 3" xfId="2244" xr:uid="{00000000-0005-0000-0000-0000FA080000}"/>
    <cellStyle name="SAPBEXresData 2 3 2" xfId="2588" xr:uid="{00000000-0005-0000-0000-0000FB080000}"/>
    <cellStyle name="SAPBEXresData 2 4" xfId="2390" xr:uid="{00000000-0005-0000-0000-0000FC080000}"/>
    <cellStyle name="SAPBEXresData 3" xfId="2152" xr:uid="{00000000-0005-0000-0000-0000FD080000}"/>
    <cellStyle name="SAPBEXresData 3 2" xfId="2500" xr:uid="{00000000-0005-0000-0000-0000FE080000}"/>
    <cellStyle name="SAPBEXresData 4" xfId="1582" xr:uid="{00000000-0005-0000-0000-0000FF080000}"/>
    <cellStyle name="SAPBEXresData 4 2" xfId="2439" xr:uid="{00000000-0005-0000-0000-000000090000}"/>
    <cellStyle name="SAPBEXresData 5" xfId="2278" xr:uid="{00000000-0005-0000-0000-000001090000}"/>
    <cellStyle name="SAPBEXresData 6" xfId="2319" xr:uid="{00000000-0005-0000-0000-000002090000}"/>
    <cellStyle name="SAPBEXresDataEmph" xfId="1055" xr:uid="{00000000-0005-0000-0000-000003090000}"/>
    <cellStyle name="SAPBEXresDataEmph 2" xfId="2012" xr:uid="{00000000-0005-0000-0000-000004090000}"/>
    <cellStyle name="SAPBEXresDataEmph 2 2" xfId="2170" xr:uid="{00000000-0005-0000-0000-000005090000}"/>
    <cellStyle name="SAPBEXresDataEmph 2 2 2" xfId="2518" xr:uid="{00000000-0005-0000-0000-000006090000}"/>
    <cellStyle name="SAPBEXresDataEmph 2 3" xfId="2245" xr:uid="{00000000-0005-0000-0000-000007090000}"/>
    <cellStyle name="SAPBEXresDataEmph 2 3 2" xfId="2589" xr:uid="{00000000-0005-0000-0000-000008090000}"/>
    <cellStyle name="SAPBEXresDataEmph 2 4" xfId="2391" xr:uid="{00000000-0005-0000-0000-000009090000}"/>
    <cellStyle name="SAPBEXresDataEmph 3" xfId="2153" xr:uid="{00000000-0005-0000-0000-00000A090000}"/>
    <cellStyle name="SAPBEXresDataEmph 3 2" xfId="2501" xr:uid="{00000000-0005-0000-0000-00000B090000}"/>
    <cellStyle name="SAPBEXresDataEmph 4" xfId="1581" xr:uid="{00000000-0005-0000-0000-00000C090000}"/>
    <cellStyle name="SAPBEXresDataEmph 4 2" xfId="2440" xr:uid="{00000000-0005-0000-0000-00000D090000}"/>
    <cellStyle name="SAPBEXresDataEmph 5" xfId="2277" xr:uid="{00000000-0005-0000-0000-00000E090000}"/>
    <cellStyle name="SAPBEXresDataEmph 6" xfId="2318" xr:uid="{00000000-0005-0000-0000-00000F090000}"/>
    <cellStyle name="SAPBEXresItem" xfId="1056" xr:uid="{00000000-0005-0000-0000-000010090000}"/>
    <cellStyle name="SAPBEXresItem 2" xfId="2040" xr:uid="{00000000-0005-0000-0000-000011090000}"/>
    <cellStyle name="SAPBEXresItem 2 2" xfId="2171" xr:uid="{00000000-0005-0000-0000-000012090000}"/>
    <cellStyle name="SAPBEXresItem 2 2 2" xfId="2519" xr:uid="{00000000-0005-0000-0000-000013090000}"/>
    <cellStyle name="SAPBEXresItem 2 3" xfId="2246" xr:uid="{00000000-0005-0000-0000-000014090000}"/>
    <cellStyle name="SAPBEXresItem 2 3 2" xfId="2590" xr:uid="{00000000-0005-0000-0000-000015090000}"/>
    <cellStyle name="SAPBEXresItem 2 4" xfId="2392" xr:uid="{00000000-0005-0000-0000-000016090000}"/>
    <cellStyle name="SAPBEXresItem 3" xfId="2154" xr:uid="{00000000-0005-0000-0000-000017090000}"/>
    <cellStyle name="SAPBEXresItem 3 2" xfId="2502" xr:uid="{00000000-0005-0000-0000-000018090000}"/>
    <cellStyle name="SAPBEXresItem 4" xfId="1580" xr:uid="{00000000-0005-0000-0000-000019090000}"/>
    <cellStyle name="SAPBEXresItem 4 2" xfId="2441" xr:uid="{00000000-0005-0000-0000-00001A090000}"/>
    <cellStyle name="SAPBEXresItem 5" xfId="2276" xr:uid="{00000000-0005-0000-0000-00001B090000}"/>
    <cellStyle name="SAPBEXresItem 6" xfId="2317" xr:uid="{00000000-0005-0000-0000-00001C090000}"/>
    <cellStyle name="SAPBEXresItemX" xfId="1057" xr:uid="{00000000-0005-0000-0000-00001D090000}"/>
    <cellStyle name="SAPBEXresItemX 2" xfId="1838" xr:uid="{00000000-0005-0000-0000-00001E090000}"/>
    <cellStyle name="SAPBEXresItemX 2 2" xfId="2172" xr:uid="{00000000-0005-0000-0000-00001F090000}"/>
    <cellStyle name="SAPBEXresItemX 2 2 2" xfId="2520" xr:uid="{00000000-0005-0000-0000-000020090000}"/>
    <cellStyle name="SAPBEXresItemX 2 3" xfId="2247" xr:uid="{00000000-0005-0000-0000-000021090000}"/>
    <cellStyle name="SAPBEXresItemX 2 3 2" xfId="2591" xr:uid="{00000000-0005-0000-0000-000022090000}"/>
    <cellStyle name="SAPBEXresItemX 2 4" xfId="2393" xr:uid="{00000000-0005-0000-0000-000023090000}"/>
    <cellStyle name="SAPBEXresItemX 3" xfId="2155" xr:uid="{00000000-0005-0000-0000-000024090000}"/>
    <cellStyle name="SAPBEXresItemX 3 2" xfId="2503" xr:uid="{00000000-0005-0000-0000-000025090000}"/>
    <cellStyle name="SAPBEXresItemX 4" xfId="1579" xr:uid="{00000000-0005-0000-0000-000026090000}"/>
    <cellStyle name="SAPBEXresItemX 4 2" xfId="2442" xr:uid="{00000000-0005-0000-0000-000027090000}"/>
    <cellStyle name="SAPBEXresItemX 5" xfId="2275" xr:uid="{00000000-0005-0000-0000-000028090000}"/>
    <cellStyle name="SAPBEXresItemX 6" xfId="2316" xr:uid="{00000000-0005-0000-0000-000029090000}"/>
    <cellStyle name="SAPBEXstdData" xfId="1058" xr:uid="{00000000-0005-0000-0000-00002A090000}"/>
    <cellStyle name="SAPBEXstdData 2" xfId="2032" xr:uid="{00000000-0005-0000-0000-00002B090000}"/>
    <cellStyle name="SAPBEXstdData 2 2" xfId="2173" xr:uid="{00000000-0005-0000-0000-00002C090000}"/>
    <cellStyle name="SAPBEXstdData 2 2 2" xfId="2521" xr:uid="{00000000-0005-0000-0000-00002D090000}"/>
    <cellStyle name="SAPBEXstdData 2 3" xfId="2248" xr:uid="{00000000-0005-0000-0000-00002E090000}"/>
    <cellStyle name="SAPBEXstdData 2 3 2" xfId="2592" xr:uid="{00000000-0005-0000-0000-00002F090000}"/>
    <cellStyle name="SAPBEXstdData 2 4" xfId="2394" xr:uid="{00000000-0005-0000-0000-000030090000}"/>
    <cellStyle name="SAPBEXstdData 3" xfId="2156" xr:uid="{00000000-0005-0000-0000-000031090000}"/>
    <cellStyle name="SAPBEXstdData 3 2" xfId="2504" xr:uid="{00000000-0005-0000-0000-000032090000}"/>
    <cellStyle name="SAPBEXstdData 4" xfId="1578" xr:uid="{00000000-0005-0000-0000-000033090000}"/>
    <cellStyle name="SAPBEXstdData 4 2" xfId="2443" xr:uid="{00000000-0005-0000-0000-000034090000}"/>
    <cellStyle name="SAPBEXstdData 5" xfId="2274" xr:uid="{00000000-0005-0000-0000-000035090000}"/>
    <cellStyle name="SAPBEXstdData 6" xfId="2315" xr:uid="{00000000-0005-0000-0000-000036090000}"/>
    <cellStyle name="SAPBEXstdDataEmph" xfId="1059" xr:uid="{00000000-0005-0000-0000-000037090000}"/>
    <cellStyle name="SAPBEXstdDataEmph 2" xfId="2020" xr:uid="{00000000-0005-0000-0000-000038090000}"/>
    <cellStyle name="SAPBEXstdDataEmph 2 2" xfId="2175" xr:uid="{00000000-0005-0000-0000-000039090000}"/>
    <cellStyle name="SAPBEXstdDataEmph 2 2 2" xfId="2523" xr:uid="{00000000-0005-0000-0000-00003A090000}"/>
    <cellStyle name="SAPBEXstdDataEmph 2 3" xfId="2249" xr:uid="{00000000-0005-0000-0000-00003B090000}"/>
    <cellStyle name="SAPBEXstdDataEmph 2 3 2" xfId="2593" xr:uid="{00000000-0005-0000-0000-00003C090000}"/>
    <cellStyle name="SAPBEXstdDataEmph 2 4" xfId="2395" xr:uid="{00000000-0005-0000-0000-00003D090000}"/>
    <cellStyle name="SAPBEXstdDataEmph 3" xfId="2157" xr:uid="{00000000-0005-0000-0000-00003E090000}"/>
    <cellStyle name="SAPBEXstdDataEmph 3 2" xfId="2505" xr:uid="{00000000-0005-0000-0000-00003F090000}"/>
    <cellStyle name="SAPBEXstdDataEmph 4" xfId="1577" xr:uid="{00000000-0005-0000-0000-000040090000}"/>
    <cellStyle name="SAPBEXstdDataEmph 4 2" xfId="2444" xr:uid="{00000000-0005-0000-0000-000041090000}"/>
    <cellStyle name="SAPBEXstdDataEmph 5" xfId="2273" xr:uid="{00000000-0005-0000-0000-000042090000}"/>
    <cellStyle name="SAPBEXstdDataEmph 6" xfId="2314" xr:uid="{00000000-0005-0000-0000-000043090000}"/>
    <cellStyle name="SAPBEXstdItem" xfId="1060" xr:uid="{00000000-0005-0000-0000-000044090000}"/>
    <cellStyle name="SAPBEXstdItem 2" xfId="2019" xr:uid="{00000000-0005-0000-0000-000045090000}"/>
    <cellStyle name="SAPBEXstdItem 2 2" xfId="2177" xr:uid="{00000000-0005-0000-0000-000046090000}"/>
    <cellStyle name="SAPBEXstdItem 2 2 2" xfId="2525" xr:uid="{00000000-0005-0000-0000-000047090000}"/>
    <cellStyle name="SAPBEXstdItem 2 3" xfId="2250" xr:uid="{00000000-0005-0000-0000-000048090000}"/>
    <cellStyle name="SAPBEXstdItem 2 3 2" xfId="2594" xr:uid="{00000000-0005-0000-0000-000049090000}"/>
    <cellStyle name="SAPBEXstdItem 2 4" xfId="2396" xr:uid="{00000000-0005-0000-0000-00004A090000}"/>
    <cellStyle name="SAPBEXstdItem 3" xfId="2158" xr:uid="{00000000-0005-0000-0000-00004B090000}"/>
    <cellStyle name="SAPBEXstdItem 3 2" xfId="2506" xr:uid="{00000000-0005-0000-0000-00004C090000}"/>
    <cellStyle name="SAPBEXstdItem 4" xfId="1576" xr:uid="{00000000-0005-0000-0000-00004D090000}"/>
    <cellStyle name="SAPBEXstdItem 4 2" xfId="2445" xr:uid="{00000000-0005-0000-0000-00004E090000}"/>
    <cellStyle name="SAPBEXstdItem 5" xfId="2272" xr:uid="{00000000-0005-0000-0000-00004F090000}"/>
    <cellStyle name="SAPBEXstdItem 6" xfId="2313" xr:uid="{00000000-0005-0000-0000-000050090000}"/>
    <cellStyle name="SAPBEXstdItemX" xfId="1061" xr:uid="{00000000-0005-0000-0000-000051090000}"/>
    <cellStyle name="SAPBEXstdItemX 2" xfId="1783" xr:uid="{00000000-0005-0000-0000-000052090000}"/>
    <cellStyle name="SAPBEXstdItemX 2 2" xfId="2178" xr:uid="{00000000-0005-0000-0000-000053090000}"/>
    <cellStyle name="SAPBEXstdItemX 2 2 2" xfId="2526" xr:uid="{00000000-0005-0000-0000-000054090000}"/>
    <cellStyle name="SAPBEXstdItemX 2 3" xfId="2251" xr:uid="{00000000-0005-0000-0000-000055090000}"/>
    <cellStyle name="SAPBEXstdItemX 2 3 2" xfId="2595" xr:uid="{00000000-0005-0000-0000-000056090000}"/>
    <cellStyle name="SAPBEXstdItemX 2 4" xfId="2397" xr:uid="{00000000-0005-0000-0000-000057090000}"/>
    <cellStyle name="SAPBEXstdItemX 3" xfId="2159" xr:uid="{00000000-0005-0000-0000-000058090000}"/>
    <cellStyle name="SAPBEXstdItemX 3 2" xfId="2507" xr:uid="{00000000-0005-0000-0000-000059090000}"/>
    <cellStyle name="SAPBEXstdItemX 4" xfId="1575" xr:uid="{00000000-0005-0000-0000-00005A090000}"/>
    <cellStyle name="SAPBEXstdItemX 4 2" xfId="2446" xr:uid="{00000000-0005-0000-0000-00005B090000}"/>
    <cellStyle name="SAPBEXstdItemX 5" xfId="2271" xr:uid="{00000000-0005-0000-0000-00005C090000}"/>
    <cellStyle name="SAPBEXstdItemX 6" xfId="2312" xr:uid="{00000000-0005-0000-0000-00005D090000}"/>
    <cellStyle name="SAPBEXtitle" xfId="1062" xr:uid="{00000000-0005-0000-0000-00005E090000}"/>
    <cellStyle name="SAPBEXundefined" xfId="1063" xr:uid="{00000000-0005-0000-0000-00005F090000}"/>
    <cellStyle name="SAPBEXundefined 2" xfId="1297" xr:uid="{00000000-0005-0000-0000-000060090000}"/>
    <cellStyle name="SAPBEXundefined 2 2" xfId="2055" xr:uid="{00000000-0005-0000-0000-000061090000}"/>
    <cellStyle name="SAPBEXundefined 2 2 2" xfId="1606" xr:uid="{00000000-0005-0000-0000-000062090000}"/>
    <cellStyle name="SAPBEXundefined 2 2 2 2" xfId="2411" xr:uid="{00000000-0005-0000-0000-000063090000}"/>
    <cellStyle name="SAPBEXundefined 2 2 3" xfId="2260" xr:uid="{00000000-0005-0000-0000-000064090000}"/>
    <cellStyle name="SAPBEXundefined 2 2 3 2" xfId="2604" xr:uid="{00000000-0005-0000-0000-000065090000}"/>
    <cellStyle name="SAPBEXundefined 2 2 4" xfId="2406" xr:uid="{00000000-0005-0000-0000-000066090000}"/>
    <cellStyle name="SAPBEXundefined 2 3" xfId="2200" xr:uid="{00000000-0005-0000-0000-000067090000}"/>
    <cellStyle name="SAPBEXundefined 2 3 2" xfId="2548" xr:uid="{00000000-0005-0000-0000-000068090000}"/>
    <cellStyle name="SAPBEXundefined 2 4" xfId="1562" xr:uid="{00000000-0005-0000-0000-000069090000}"/>
    <cellStyle name="SAPBEXundefined 2 4 2" xfId="2461" xr:uid="{00000000-0005-0000-0000-00006A090000}"/>
    <cellStyle name="SAPBEXundefined 2 5" xfId="2356" xr:uid="{00000000-0005-0000-0000-00006B090000}"/>
    <cellStyle name="SAPBEXundefined 2 6" xfId="2357" xr:uid="{00000000-0005-0000-0000-00006C090000}"/>
    <cellStyle name="SAPBEXundefined 3" xfId="2030" xr:uid="{00000000-0005-0000-0000-00006D090000}"/>
    <cellStyle name="SAPBEXundefined 3 2" xfId="2179" xr:uid="{00000000-0005-0000-0000-00006E090000}"/>
    <cellStyle name="SAPBEXundefined 3 2 2" xfId="2527" xr:uid="{00000000-0005-0000-0000-00006F090000}"/>
    <cellStyle name="SAPBEXundefined 3 3" xfId="2252" xr:uid="{00000000-0005-0000-0000-000070090000}"/>
    <cellStyle name="SAPBEXundefined 3 3 2" xfId="2596" xr:uid="{00000000-0005-0000-0000-000071090000}"/>
    <cellStyle name="SAPBEXundefined 3 4" xfId="2398" xr:uid="{00000000-0005-0000-0000-000072090000}"/>
    <cellStyle name="SAPBEXundefined 4" xfId="2161" xr:uid="{00000000-0005-0000-0000-000073090000}"/>
    <cellStyle name="SAPBEXundefined 4 2" xfId="2509" xr:uid="{00000000-0005-0000-0000-000074090000}"/>
    <cellStyle name="SAPBEXundefined 5" xfId="1574" xr:uid="{00000000-0005-0000-0000-000075090000}"/>
    <cellStyle name="SAPBEXundefined 5 2" xfId="2447" xr:uid="{00000000-0005-0000-0000-000076090000}"/>
    <cellStyle name="SAPBEXundefined 6" xfId="2270" xr:uid="{00000000-0005-0000-0000-000077090000}"/>
    <cellStyle name="SAPBEXundefined 7" xfId="2263" xr:uid="{00000000-0005-0000-0000-000078090000}"/>
    <cellStyle name="Satisfaisant" xfId="1064" xr:uid="{00000000-0005-0000-0000-000079090000}"/>
    <cellStyle name="Selection" xfId="1065" xr:uid="{00000000-0005-0000-0000-00007A090000}"/>
    <cellStyle name="Selection 2" xfId="1818" xr:uid="{00000000-0005-0000-0000-00007B090000}"/>
    <cellStyle name="Selection 2 2" xfId="2180" xr:uid="{00000000-0005-0000-0000-00007C090000}"/>
    <cellStyle name="Selection 2 2 2" xfId="2528" xr:uid="{00000000-0005-0000-0000-00007D090000}"/>
    <cellStyle name="Selection 2 3" xfId="2253" xr:uid="{00000000-0005-0000-0000-00007E090000}"/>
    <cellStyle name="Selection 2 3 2" xfId="2597" xr:uid="{00000000-0005-0000-0000-00007F090000}"/>
    <cellStyle name="Selection 2 4" xfId="2399" xr:uid="{00000000-0005-0000-0000-000080090000}"/>
    <cellStyle name="Selection 3" xfId="2163" xr:uid="{00000000-0005-0000-0000-000081090000}"/>
    <cellStyle name="Selection 3 2" xfId="2511" xr:uid="{00000000-0005-0000-0000-000082090000}"/>
    <cellStyle name="Selection 4" xfId="1538" xr:uid="{00000000-0005-0000-0000-000083090000}"/>
    <cellStyle name="Selection 4 2" xfId="2448" xr:uid="{00000000-0005-0000-0000-000084090000}"/>
    <cellStyle name="Selection 5" xfId="2269" xr:uid="{00000000-0005-0000-0000-000085090000}"/>
    <cellStyle name="Selection 6" xfId="2262" xr:uid="{00000000-0005-0000-0000-000086090000}"/>
    <cellStyle name="Sortie" xfId="1066" xr:uid="{00000000-0005-0000-0000-000087090000}"/>
    <cellStyle name="Sortie 2" xfId="1772" xr:uid="{00000000-0005-0000-0000-000088090000}"/>
    <cellStyle name="Sortie 2 2" xfId="2181" xr:uid="{00000000-0005-0000-0000-000089090000}"/>
    <cellStyle name="Sortie 2 2 2" xfId="2529" xr:uid="{00000000-0005-0000-0000-00008A090000}"/>
    <cellStyle name="Sortie 2 3" xfId="2254" xr:uid="{00000000-0005-0000-0000-00008B090000}"/>
    <cellStyle name="Sortie 2 3 2" xfId="2598" xr:uid="{00000000-0005-0000-0000-00008C090000}"/>
    <cellStyle name="Sortie 2 4" xfId="2400" xr:uid="{00000000-0005-0000-0000-00008D090000}"/>
    <cellStyle name="Sortie 3" xfId="2164" xr:uid="{00000000-0005-0000-0000-00008E090000}"/>
    <cellStyle name="Sortie 3 2" xfId="2512" xr:uid="{00000000-0005-0000-0000-00008F090000}"/>
    <cellStyle name="Sortie 4" xfId="1573" xr:uid="{00000000-0005-0000-0000-000090090000}"/>
    <cellStyle name="Sortie 4 2" xfId="2449" xr:uid="{00000000-0005-0000-0000-000091090000}"/>
    <cellStyle name="Sortie 5" xfId="2268" xr:uid="{00000000-0005-0000-0000-000092090000}"/>
    <cellStyle name="Sortie 6" xfId="2311" xr:uid="{00000000-0005-0000-0000-000093090000}"/>
    <cellStyle name="Source Line" xfId="1067" xr:uid="{00000000-0005-0000-0000-000094090000}"/>
    <cellStyle name="Source Line 2" xfId="1298" xr:uid="{00000000-0005-0000-0000-000095090000}"/>
    <cellStyle name="Standard_ " xfId="1068" xr:uid="{00000000-0005-0000-0000-000096090000}"/>
    <cellStyle name="Stella" xfId="1069" xr:uid="{00000000-0005-0000-0000-000097090000}"/>
    <cellStyle name="Style 1" xfId="1070" xr:uid="{00000000-0005-0000-0000-000098090000}"/>
    <cellStyle name="Table Heading" xfId="1071" xr:uid="{00000000-0005-0000-0000-000099090000}"/>
    <cellStyle name="Texte explicatif" xfId="1072" xr:uid="{00000000-0005-0000-0000-00009A090000}"/>
    <cellStyle name="Titre" xfId="1073" xr:uid="{00000000-0005-0000-0000-00009B090000}"/>
    <cellStyle name="Titre 1" xfId="1074" xr:uid="{00000000-0005-0000-0000-00009C090000}"/>
    <cellStyle name="Titre 2" xfId="1075" xr:uid="{00000000-0005-0000-0000-00009D090000}"/>
    <cellStyle name="Titre 3" xfId="1076" xr:uid="{00000000-0005-0000-0000-00009E090000}"/>
    <cellStyle name="Titre 3 2" xfId="1309" xr:uid="{00000000-0005-0000-0000-00009F090000}"/>
    <cellStyle name="Titre 3 2 10" xfId="2057" xr:uid="{00000000-0005-0000-0000-0000A0090000}"/>
    <cellStyle name="Titre 3 2 10 2" xfId="2865" xr:uid="{00000000-0005-0000-0000-0000A1090000}"/>
    <cellStyle name="Titre 3 2 11" xfId="1794" xr:uid="{00000000-0005-0000-0000-0000A2090000}"/>
    <cellStyle name="Titre 3 2 11 2" xfId="2793" xr:uid="{00000000-0005-0000-0000-0000A3090000}"/>
    <cellStyle name="Titre 3 2 12" xfId="1707" xr:uid="{00000000-0005-0000-0000-0000A4090000}"/>
    <cellStyle name="Titre 3 2 12 2" xfId="2762" xr:uid="{00000000-0005-0000-0000-0000A5090000}"/>
    <cellStyle name="Titre 3 2 13" xfId="1665" xr:uid="{00000000-0005-0000-0000-0000A6090000}"/>
    <cellStyle name="Titre 3 2 13 2" xfId="2758" xr:uid="{00000000-0005-0000-0000-0000A7090000}"/>
    <cellStyle name="Titre 3 2 14" xfId="2208" xr:uid="{00000000-0005-0000-0000-0000A8090000}"/>
    <cellStyle name="Titre 3 2 14 2" xfId="2949" xr:uid="{00000000-0005-0000-0000-0000A9090000}"/>
    <cellStyle name="Titre 3 2 15" xfId="1501" xr:uid="{00000000-0005-0000-0000-0000AA090000}"/>
    <cellStyle name="Titre 3 2 15 2" xfId="2745" xr:uid="{00000000-0005-0000-0000-0000AB090000}"/>
    <cellStyle name="Titre 3 2 16" xfId="2611" xr:uid="{00000000-0005-0000-0000-0000AC090000}"/>
    <cellStyle name="Titre 3 2 16 2" xfId="2961" xr:uid="{00000000-0005-0000-0000-0000AD090000}"/>
    <cellStyle name="Titre 3 2 17" xfId="2737" xr:uid="{00000000-0005-0000-0000-0000AE090000}"/>
    <cellStyle name="Titre 3 2 2" xfId="1355" xr:uid="{00000000-0005-0000-0000-0000AF090000}"/>
    <cellStyle name="Titre 3 2 2 10" xfId="1741" xr:uid="{00000000-0005-0000-0000-0000B0090000}"/>
    <cellStyle name="Titre 3 2 2 10 2" xfId="2764" xr:uid="{00000000-0005-0000-0000-0000B1090000}"/>
    <cellStyle name="Titre 3 2 2 11" xfId="1699" xr:uid="{00000000-0005-0000-0000-0000B2090000}"/>
    <cellStyle name="Titre 3 2 2 11 2" xfId="2760" xr:uid="{00000000-0005-0000-0000-0000B3090000}"/>
    <cellStyle name="Titre 3 2 2 12" xfId="2211" xr:uid="{00000000-0005-0000-0000-0000B4090000}"/>
    <cellStyle name="Titre 3 2 2 12 2" xfId="2951" xr:uid="{00000000-0005-0000-0000-0000B5090000}"/>
    <cellStyle name="Titre 3 2 2 13" xfId="1535" xr:uid="{00000000-0005-0000-0000-0000B6090000}"/>
    <cellStyle name="Titre 3 2 2 13 2" xfId="2747" xr:uid="{00000000-0005-0000-0000-0000B7090000}"/>
    <cellStyle name="Titre 3 2 2 14" xfId="2645" xr:uid="{00000000-0005-0000-0000-0000B8090000}"/>
    <cellStyle name="Titre 3 2 2 14 2" xfId="2963" xr:uid="{00000000-0005-0000-0000-0000B9090000}"/>
    <cellStyle name="Titre 3 2 2 15" xfId="2743" xr:uid="{00000000-0005-0000-0000-0000BA090000}"/>
    <cellStyle name="Titre 3 2 2 2" xfId="1396" xr:uid="{00000000-0005-0000-0000-0000BB090000}"/>
    <cellStyle name="Titre 3 2 2 2 2" xfId="2043" xr:uid="{00000000-0005-0000-0000-0000BC090000}"/>
    <cellStyle name="Titre 3 2 2 2 2 2" xfId="2115" xr:uid="{00000000-0005-0000-0000-0000BD090000}"/>
    <cellStyle name="Titre 3 2 2 2 2 2 2" xfId="2922" xr:uid="{00000000-0005-0000-0000-0000BE090000}"/>
    <cellStyle name="Titre 3 2 2 2 2 3" xfId="2134" xr:uid="{00000000-0005-0000-0000-0000BF090000}"/>
    <cellStyle name="Titre 3 2 2 2 2 3 2" xfId="2941" xr:uid="{00000000-0005-0000-0000-0000C0090000}"/>
    <cellStyle name="Titre 3 2 2 2 2 4" xfId="2734" xr:uid="{00000000-0005-0000-0000-0000C1090000}"/>
    <cellStyle name="Titre 3 2 2 2 2 4 2" xfId="2980" xr:uid="{00000000-0005-0000-0000-0000C2090000}"/>
    <cellStyle name="Titre 3 2 2 2 2 5" xfId="2858" xr:uid="{00000000-0005-0000-0000-0000C3090000}"/>
    <cellStyle name="Titre 3 2 2 2 3" xfId="2048" xr:uid="{00000000-0005-0000-0000-0000C4090000}"/>
    <cellStyle name="Titre 3 2 2 2 3 2" xfId="2118" xr:uid="{00000000-0005-0000-0000-0000C5090000}"/>
    <cellStyle name="Titre 3 2 2 2 3 2 2" xfId="2925" xr:uid="{00000000-0005-0000-0000-0000C6090000}"/>
    <cellStyle name="Titre 3 2 2 2 3 3" xfId="2137" xr:uid="{00000000-0005-0000-0000-0000C7090000}"/>
    <cellStyle name="Titre 3 2 2 2 3 3 2" xfId="2944" xr:uid="{00000000-0005-0000-0000-0000C8090000}"/>
    <cellStyle name="Titre 3 2 2 2 3 4" xfId="2861" xr:uid="{00000000-0005-0000-0000-0000C9090000}"/>
    <cellStyle name="Titre 3 2 2 2 4" xfId="2095" xr:uid="{00000000-0005-0000-0000-0000CA090000}"/>
    <cellStyle name="Titre 3 2 2 2 4 2" xfId="2902" xr:uid="{00000000-0005-0000-0000-0000CB090000}"/>
    <cellStyle name="Titre 3 2 2 2 5" xfId="2130" xr:uid="{00000000-0005-0000-0000-0000CC090000}"/>
    <cellStyle name="Titre 3 2 2 2 5 2" xfId="2937" xr:uid="{00000000-0005-0000-0000-0000CD090000}"/>
    <cellStyle name="Titre 3 2 2 2 6" xfId="1994" xr:uid="{00000000-0005-0000-0000-0000CE090000}"/>
    <cellStyle name="Titre 3 2 2 2 6 2" xfId="2836" xr:uid="{00000000-0005-0000-0000-0000CF090000}"/>
    <cellStyle name="Titre 3 2 2 2 7" xfId="2555" xr:uid="{00000000-0005-0000-0000-0000D0090000}"/>
    <cellStyle name="Titre 3 2 2 2 7 2" xfId="2959" xr:uid="{00000000-0005-0000-0000-0000D1090000}"/>
    <cellStyle name="Titre 3 2 2 2 8" xfId="2684" xr:uid="{00000000-0005-0000-0000-0000D2090000}"/>
    <cellStyle name="Titre 3 2 2 2 8 2" xfId="2966" xr:uid="{00000000-0005-0000-0000-0000D3090000}"/>
    <cellStyle name="Titre 3 2 2 2 9" xfId="2752" xr:uid="{00000000-0005-0000-0000-0000D4090000}"/>
    <cellStyle name="Titre 3 2 2 3" xfId="1439" xr:uid="{00000000-0005-0000-0000-0000D5090000}"/>
    <cellStyle name="Titre 3 2 2 3 2" xfId="2033" xr:uid="{00000000-0005-0000-0000-0000D6090000}"/>
    <cellStyle name="Titre 3 2 2 3 2 2" xfId="2110" xr:uid="{00000000-0005-0000-0000-0000D7090000}"/>
    <cellStyle name="Titre 3 2 2 3 2 2 2" xfId="2917" xr:uid="{00000000-0005-0000-0000-0000D8090000}"/>
    <cellStyle name="Titre 3 2 2 3 2 3" xfId="1830" xr:uid="{00000000-0005-0000-0000-0000D9090000}"/>
    <cellStyle name="Titre 3 2 2 3 2 3 2" xfId="2817" xr:uid="{00000000-0005-0000-0000-0000DA090000}"/>
    <cellStyle name="Titre 3 2 2 3 2 4" xfId="2727" xr:uid="{00000000-0005-0000-0000-0000DB090000}"/>
    <cellStyle name="Titre 3 2 2 3 2 4 2" xfId="2973" xr:uid="{00000000-0005-0000-0000-0000DC090000}"/>
    <cellStyle name="Titre 3 2 2 3 2 5" xfId="2852" xr:uid="{00000000-0005-0000-0000-0000DD090000}"/>
    <cellStyle name="Titre 3 2 2 3 3" xfId="1815" xr:uid="{00000000-0005-0000-0000-0000DE090000}"/>
    <cellStyle name="Titre 3 2 2 3 3 2" xfId="2068" xr:uid="{00000000-0005-0000-0000-0000DF090000}"/>
    <cellStyle name="Titre 3 2 2 3 3 2 2" xfId="2876" xr:uid="{00000000-0005-0000-0000-0000E0090000}"/>
    <cellStyle name="Titre 3 2 2 3 3 3" xfId="2121" xr:uid="{00000000-0005-0000-0000-0000E1090000}"/>
    <cellStyle name="Titre 3 2 2 3 3 3 2" xfId="2928" xr:uid="{00000000-0005-0000-0000-0000E2090000}"/>
    <cellStyle name="Titre 3 2 2 3 3 4" xfId="2808" xr:uid="{00000000-0005-0000-0000-0000E3090000}"/>
    <cellStyle name="Titre 3 2 2 3 4" xfId="2089" xr:uid="{00000000-0005-0000-0000-0000E4090000}"/>
    <cellStyle name="Titre 3 2 2 3 4 2" xfId="2897" xr:uid="{00000000-0005-0000-0000-0000E5090000}"/>
    <cellStyle name="Titre 3 2 2 3 5" xfId="2122" xr:uid="{00000000-0005-0000-0000-0000E6090000}"/>
    <cellStyle name="Titre 3 2 2 3 5 2" xfId="2929" xr:uid="{00000000-0005-0000-0000-0000E7090000}"/>
    <cellStyle name="Titre 3 2 2 3 6" xfId="2687" xr:uid="{00000000-0005-0000-0000-0000E8090000}"/>
    <cellStyle name="Titre 3 2 2 3 6 2" xfId="2969" xr:uid="{00000000-0005-0000-0000-0000E9090000}"/>
    <cellStyle name="Titre 3 2 2 3 7" xfId="2756" xr:uid="{00000000-0005-0000-0000-0000EA090000}"/>
    <cellStyle name="Titre 3 2 2 4" xfId="1444" xr:uid="{00000000-0005-0000-0000-0000EB090000}"/>
    <cellStyle name="Titre 3 2 2 4 2" xfId="2022" xr:uid="{00000000-0005-0000-0000-0000EC090000}"/>
    <cellStyle name="Titre 3 2 2 4 2 2" xfId="2105" xr:uid="{00000000-0005-0000-0000-0000ED090000}"/>
    <cellStyle name="Titre 3 2 2 4 2 2 2" xfId="2912" xr:uid="{00000000-0005-0000-0000-0000EE090000}"/>
    <cellStyle name="Titre 3 2 2 4 2 3" xfId="1826" xr:uid="{00000000-0005-0000-0000-0000EF090000}"/>
    <cellStyle name="Titre 3 2 2 4 2 3 2" xfId="2814" xr:uid="{00000000-0005-0000-0000-0000F0090000}"/>
    <cellStyle name="Titre 3 2 2 4 2 4" xfId="2846" xr:uid="{00000000-0005-0000-0000-0000F1090000}"/>
    <cellStyle name="Titre 3 2 2 4 3" xfId="1810" xr:uid="{00000000-0005-0000-0000-0000F2090000}"/>
    <cellStyle name="Titre 3 2 2 4 3 2" xfId="2064" xr:uid="{00000000-0005-0000-0000-0000F3090000}"/>
    <cellStyle name="Titre 3 2 2 4 3 2 2" xfId="2872" xr:uid="{00000000-0005-0000-0000-0000F4090000}"/>
    <cellStyle name="Titre 3 2 2 4 3 3" xfId="1766" xr:uid="{00000000-0005-0000-0000-0000F5090000}"/>
    <cellStyle name="Titre 3 2 2 4 3 3 2" xfId="2779" xr:uid="{00000000-0005-0000-0000-0000F6090000}"/>
    <cellStyle name="Titre 3 2 2 4 3 4" xfId="2804" xr:uid="{00000000-0005-0000-0000-0000F7090000}"/>
    <cellStyle name="Titre 3 2 2 4 4" xfId="2084" xr:uid="{00000000-0005-0000-0000-0000F8090000}"/>
    <cellStyle name="Titre 3 2 2 4 4 2" xfId="2892" xr:uid="{00000000-0005-0000-0000-0000F9090000}"/>
    <cellStyle name="Titre 3 2 2 4 5" xfId="1779" xr:uid="{00000000-0005-0000-0000-0000FA090000}"/>
    <cellStyle name="Titre 3 2 2 4 5 2" xfId="2787" xr:uid="{00000000-0005-0000-0000-0000FB090000}"/>
    <cellStyle name="Titre 3 2 2 4 6" xfId="2830" xr:uid="{00000000-0005-0000-0000-0000FC090000}"/>
    <cellStyle name="Titre 3 2 2 5" xfId="1877" xr:uid="{00000000-0005-0000-0000-0000FD090000}"/>
    <cellStyle name="Titre 3 2 2 5 2" xfId="2080" xr:uid="{00000000-0005-0000-0000-0000FE090000}"/>
    <cellStyle name="Titre 3 2 2 5 2 2" xfId="2888" xr:uid="{00000000-0005-0000-0000-0000FF090000}"/>
    <cellStyle name="Titre 3 2 2 5 3" xfId="1805" xr:uid="{00000000-0005-0000-0000-0000000A0000}"/>
    <cellStyle name="Titre 3 2 2 5 3 2" xfId="2801" xr:uid="{00000000-0005-0000-0000-0000010A0000}"/>
    <cellStyle name="Titre 3 2 2 5 4" xfId="2826" xr:uid="{00000000-0005-0000-0000-0000020A0000}"/>
    <cellStyle name="Titre 3 2 2 6" xfId="2013" xr:uid="{00000000-0005-0000-0000-0000030A0000}"/>
    <cellStyle name="Titre 3 2 2 6 2" xfId="2100" xr:uid="{00000000-0005-0000-0000-0000040A0000}"/>
    <cellStyle name="Titre 3 2 2 6 2 2" xfId="2907" xr:uid="{00000000-0005-0000-0000-0000050A0000}"/>
    <cellStyle name="Titre 3 2 2 6 3" xfId="1800" xr:uid="{00000000-0005-0000-0000-0000060A0000}"/>
    <cellStyle name="Titre 3 2 2 6 3 2" xfId="2797" xr:uid="{00000000-0005-0000-0000-0000070A0000}"/>
    <cellStyle name="Titre 3 2 2 6 4" xfId="2841" xr:uid="{00000000-0005-0000-0000-0000080A0000}"/>
    <cellStyle name="Titre 3 2 2 7" xfId="1840" xr:uid="{00000000-0005-0000-0000-0000090A0000}"/>
    <cellStyle name="Titre 3 2 2 7 2" xfId="2076" xr:uid="{00000000-0005-0000-0000-00000A0A0000}"/>
    <cellStyle name="Titre 3 2 2 7 2 2" xfId="2884" xr:uid="{00000000-0005-0000-0000-00000B0A0000}"/>
    <cellStyle name="Titre 3 2 2 7 3" xfId="2124" xr:uid="{00000000-0005-0000-0000-00000C0A0000}"/>
    <cellStyle name="Titre 3 2 2 7 3 2" xfId="2931" xr:uid="{00000000-0005-0000-0000-00000D0A0000}"/>
    <cellStyle name="Titre 3 2 2 7 4" xfId="2821" xr:uid="{00000000-0005-0000-0000-00000E0A0000}"/>
    <cellStyle name="Titre 3 2 2 8" xfId="2059" xr:uid="{00000000-0005-0000-0000-00000F0A0000}"/>
    <cellStyle name="Titre 3 2 2 8 2" xfId="2867" xr:uid="{00000000-0005-0000-0000-0000100A0000}"/>
    <cellStyle name="Titre 3 2 2 9" xfId="2126" xr:uid="{00000000-0005-0000-0000-0000110A0000}"/>
    <cellStyle name="Titre 3 2 2 9 2" xfId="2933" xr:uid="{00000000-0005-0000-0000-0000120A0000}"/>
    <cellStyle name="Titre 3 2 3" xfId="1356" xr:uid="{00000000-0005-0000-0000-0000130A0000}"/>
    <cellStyle name="Titre 3 2 3 10" xfId="1700" xr:uid="{00000000-0005-0000-0000-0000140A0000}"/>
    <cellStyle name="Titre 3 2 3 10 2" xfId="2761" xr:uid="{00000000-0005-0000-0000-0000150A0000}"/>
    <cellStyle name="Titre 3 2 3 11" xfId="2255" xr:uid="{00000000-0005-0000-0000-0000160A0000}"/>
    <cellStyle name="Titre 3 2 3 11 2" xfId="2952" xr:uid="{00000000-0005-0000-0000-0000170A0000}"/>
    <cellStyle name="Titre 3 2 3 12" xfId="1536" xr:uid="{00000000-0005-0000-0000-0000180A0000}"/>
    <cellStyle name="Titre 3 2 3 12 2" xfId="2748" xr:uid="{00000000-0005-0000-0000-0000190A0000}"/>
    <cellStyle name="Titre 3 2 3 13" xfId="2646" xr:uid="{00000000-0005-0000-0000-00001A0A0000}"/>
    <cellStyle name="Titre 3 2 3 13 2" xfId="2964" xr:uid="{00000000-0005-0000-0000-00001B0A0000}"/>
    <cellStyle name="Titre 3 2 3 14" xfId="2744" xr:uid="{00000000-0005-0000-0000-00001C0A0000}"/>
    <cellStyle name="Titre 3 2 3 2" xfId="1440" xr:uid="{00000000-0005-0000-0000-00001D0A0000}"/>
    <cellStyle name="Titre 3 2 3 2 2" xfId="2044" xr:uid="{00000000-0005-0000-0000-00001E0A0000}"/>
    <cellStyle name="Titre 3 2 3 2 2 2" xfId="2116" xr:uid="{00000000-0005-0000-0000-00001F0A0000}"/>
    <cellStyle name="Titre 3 2 3 2 2 2 2" xfId="2923" xr:uid="{00000000-0005-0000-0000-0000200A0000}"/>
    <cellStyle name="Titre 3 2 3 2 2 3" xfId="2135" xr:uid="{00000000-0005-0000-0000-0000210A0000}"/>
    <cellStyle name="Titre 3 2 3 2 2 3 2" xfId="2942" xr:uid="{00000000-0005-0000-0000-0000220A0000}"/>
    <cellStyle name="Titre 3 2 3 2 2 4" xfId="2730" xr:uid="{00000000-0005-0000-0000-0000230A0000}"/>
    <cellStyle name="Titre 3 2 3 2 2 4 2" xfId="2976" xr:uid="{00000000-0005-0000-0000-0000240A0000}"/>
    <cellStyle name="Titre 3 2 3 2 2 5" xfId="2859" xr:uid="{00000000-0005-0000-0000-0000250A0000}"/>
    <cellStyle name="Titre 3 2 3 2 3" xfId="2049" xr:uid="{00000000-0005-0000-0000-0000260A0000}"/>
    <cellStyle name="Titre 3 2 3 2 3 2" xfId="2119" xr:uid="{00000000-0005-0000-0000-0000270A0000}"/>
    <cellStyle name="Titre 3 2 3 2 3 2 2" xfId="2926" xr:uid="{00000000-0005-0000-0000-0000280A0000}"/>
    <cellStyle name="Titre 3 2 3 2 3 3" xfId="2138" xr:uid="{00000000-0005-0000-0000-0000290A0000}"/>
    <cellStyle name="Titre 3 2 3 2 3 3 2" xfId="2945" xr:uid="{00000000-0005-0000-0000-00002A0A0000}"/>
    <cellStyle name="Titre 3 2 3 2 3 4" xfId="2862" xr:uid="{00000000-0005-0000-0000-00002B0A0000}"/>
    <cellStyle name="Titre 3 2 3 2 4" xfId="2096" xr:uid="{00000000-0005-0000-0000-00002C0A0000}"/>
    <cellStyle name="Titre 3 2 3 2 4 2" xfId="2903" xr:uid="{00000000-0005-0000-0000-00002D0A0000}"/>
    <cellStyle name="Titre 3 2 3 2 5" xfId="1787" xr:uid="{00000000-0005-0000-0000-00002E0A0000}"/>
    <cellStyle name="Titre 3 2 3 2 5 2" xfId="2790" xr:uid="{00000000-0005-0000-0000-00002F0A0000}"/>
    <cellStyle name="Titre 3 2 3 2 6" xfId="1995" xr:uid="{00000000-0005-0000-0000-0000300A0000}"/>
    <cellStyle name="Titre 3 2 3 2 6 2" xfId="2837" xr:uid="{00000000-0005-0000-0000-0000310A0000}"/>
    <cellStyle name="Titre 3 2 3 2 7" xfId="2599" xr:uid="{00000000-0005-0000-0000-0000320A0000}"/>
    <cellStyle name="Titre 3 2 3 2 7 2" xfId="2960" xr:uid="{00000000-0005-0000-0000-0000330A0000}"/>
    <cellStyle name="Titre 3 2 3 2 8" xfId="2688" xr:uid="{00000000-0005-0000-0000-0000340A0000}"/>
    <cellStyle name="Titre 3 2 3 2 8 2" xfId="2970" xr:uid="{00000000-0005-0000-0000-0000350A0000}"/>
    <cellStyle name="Titre 3 2 3 2 9" xfId="2753" xr:uid="{00000000-0005-0000-0000-0000360A0000}"/>
    <cellStyle name="Titre 3 2 3 3" xfId="1445" xr:uid="{00000000-0005-0000-0000-0000370A0000}"/>
    <cellStyle name="Titre 3 2 3 3 2" xfId="2034" xr:uid="{00000000-0005-0000-0000-0000380A0000}"/>
    <cellStyle name="Titre 3 2 3 3 2 2" xfId="2111" xr:uid="{00000000-0005-0000-0000-0000390A0000}"/>
    <cellStyle name="Titre 3 2 3 3 2 2 2" xfId="2918" xr:uid="{00000000-0005-0000-0000-00003A0A0000}"/>
    <cellStyle name="Titre 3 2 3 3 2 3" xfId="1802" xr:uid="{00000000-0005-0000-0000-00003B0A0000}"/>
    <cellStyle name="Titre 3 2 3 3 2 3 2" xfId="2799" xr:uid="{00000000-0005-0000-0000-00003C0A0000}"/>
    <cellStyle name="Titre 3 2 3 3 2 4" xfId="2732" xr:uid="{00000000-0005-0000-0000-00003D0A0000}"/>
    <cellStyle name="Titre 3 2 3 3 2 4 2" xfId="2978" xr:uid="{00000000-0005-0000-0000-00003E0A0000}"/>
    <cellStyle name="Titre 3 2 3 3 2 5" xfId="2853" xr:uid="{00000000-0005-0000-0000-00003F0A0000}"/>
    <cellStyle name="Titre 3 2 3 3 3" xfId="1816" xr:uid="{00000000-0005-0000-0000-0000400A0000}"/>
    <cellStyle name="Titre 3 2 3 3 3 2" xfId="2069" xr:uid="{00000000-0005-0000-0000-0000410A0000}"/>
    <cellStyle name="Titre 3 2 3 3 3 2 2" xfId="2877" xr:uid="{00000000-0005-0000-0000-0000420A0000}"/>
    <cellStyle name="Titre 3 2 3 3 3 3" xfId="1767" xr:uid="{00000000-0005-0000-0000-0000430A0000}"/>
    <cellStyle name="Titre 3 2 3 3 3 3 2" xfId="2780" xr:uid="{00000000-0005-0000-0000-0000440A0000}"/>
    <cellStyle name="Titre 3 2 3 3 3 4" xfId="2809" xr:uid="{00000000-0005-0000-0000-0000450A0000}"/>
    <cellStyle name="Titre 3 2 3 3 4" xfId="2090" xr:uid="{00000000-0005-0000-0000-0000460A0000}"/>
    <cellStyle name="Titre 3 2 3 3 4 2" xfId="2898" xr:uid="{00000000-0005-0000-0000-0000470A0000}"/>
    <cellStyle name="Titre 3 2 3 3 5" xfId="2131" xr:uid="{00000000-0005-0000-0000-0000480A0000}"/>
    <cellStyle name="Titre 3 2 3 3 5 2" xfId="2938" xr:uid="{00000000-0005-0000-0000-0000490A0000}"/>
    <cellStyle name="Titre 3 2 3 3 6" xfId="2728" xr:uid="{00000000-0005-0000-0000-00004A0A0000}"/>
    <cellStyle name="Titre 3 2 3 3 6 2" xfId="2974" xr:uid="{00000000-0005-0000-0000-00004B0A0000}"/>
    <cellStyle name="Titre 3 2 3 3 7" xfId="2757" xr:uid="{00000000-0005-0000-0000-00004C0A0000}"/>
    <cellStyle name="Titre 3 2 3 4" xfId="1917" xr:uid="{00000000-0005-0000-0000-00004D0A0000}"/>
    <cellStyle name="Titre 3 2 3 4 2" xfId="2023" xr:uid="{00000000-0005-0000-0000-00004E0A0000}"/>
    <cellStyle name="Titre 3 2 3 4 2 2" xfId="2106" xr:uid="{00000000-0005-0000-0000-00004F0A0000}"/>
    <cellStyle name="Titre 3 2 3 4 2 2 2" xfId="2913" xr:uid="{00000000-0005-0000-0000-0000500A0000}"/>
    <cellStyle name="Titre 3 2 3 4 2 3" xfId="1745" xr:uid="{00000000-0005-0000-0000-0000510A0000}"/>
    <cellStyle name="Titre 3 2 3 4 2 3 2" xfId="2768" xr:uid="{00000000-0005-0000-0000-0000520A0000}"/>
    <cellStyle name="Titre 3 2 3 4 2 4" xfId="2847" xr:uid="{00000000-0005-0000-0000-0000530A0000}"/>
    <cellStyle name="Titre 3 2 3 4 3" xfId="1811" xr:uid="{00000000-0005-0000-0000-0000540A0000}"/>
    <cellStyle name="Titre 3 2 3 4 3 2" xfId="2065" xr:uid="{00000000-0005-0000-0000-0000550A0000}"/>
    <cellStyle name="Titre 3 2 3 4 3 2 2" xfId="2873" xr:uid="{00000000-0005-0000-0000-0000560A0000}"/>
    <cellStyle name="Titre 3 2 3 4 3 3" xfId="1785" xr:uid="{00000000-0005-0000-0000-0000570A0000}"/>
    <cellStyle name="Titre 3 2 3 4 3 3 2" xfId="2788" xr:uid="{00000000-0005-0000-0000-0000580A0000}"/>
    <cellStyle name="Titre 3 2 3 4 3 4" xfId="2805" xr:uid="{00000000-0005-0000-0000-0000590A0000}"/>
    <cellStyle name="Titre 3 2 3 4 4" xfId="2085" xr:uid="{00000000-0005-0000-0000-00005A0A0000}"/>
    <cellStyle name="Titre 3 2 3 4 4 2" xfId="2893" xr:uid="{00000000-0005-0000-0000-00005B0A0000}"/>
    <cellStyle name="Titre 3 2 3 4 5" xfId="1809" xr:uid="{00000000-0005-0000-0000-00005C0A0000}"/>
    <cellStyle name="Titre 3 2 3 4 5 2" xfId="2803" xr:uid="{00000000-0005-0000-0000-00005D0A0000}"/>
    <cellStyle name="Titre 3 2 3 4 6" xfId="2831" xr:uid="{00000000-0005-0000-0000-00005E0A0000}"/>
    <cellStyle name="Titre 3 2 3 5" xfId="2014" xr:uid="{00000000-0005-0000-0000-00005F0A0000}"/>
    <cellStyle name="Titre 3 2 3 5 2" xfId="2101" xr:uid="{00000000-0005-0000-0000-0000600A0000}"/>
    <cellStyle name="Titre 3 2 3 5 2 2" xfId="2908" xr:uid="{00000000-0005-0000-0000-0000610A0000}"/>
    <cellStyle name="Titre 3 2 3 5 3" xfId="1746" xr:uid="{00000000-0005-0000-0000-0000620A0000}"/>
    <cellStyle name="Titre 3 2 3 5 3 2" xfId="2769" xr:uid="{00000000-0005-0000-0000-0000630A0000}"/>
    <cellStyle name="Titre 3 2 3 5 4" xfId="2842" xr:uid="{00000000-0005-0000-0000-0000640A0000}"/>
    <cellStyle name="Titre 3 2 3 6" xfId="1804" xr:uid="{00000000-0005-0000-0000-0000650A0000}"/>
    <cellStyle name="Titre 3 2 3 6 2" xfId="2062" xr:uid="{00000000-0005-0000-0000-0000660A0000}"/>
    <cellStyle name="Titre 3 2 3 6 2 2" xfId="2870" xr:uid="{00000000-0005-0000-0000-0000670A0000}"/>
    <cellStyle name="Titre 3 2 3 6 3" xfId="2125" xr:uid="{00000000-0005-0000-0000-0000680A0000}"/>
    <cellStyle name="Titre 3 2 3 6 3 2" xfId="2932" xr:uid="{00000000-0005-0000-0000-0000690A0000}"/>
    <cellStyle name="Titre 3 2 3 6 4" xfId="2800" xr:uid="{00000000-0005-0000-0000-00006A0A0000}"/>
    <cellStyle name="Titre 3 2 3 7" xfId="2060" xr:uid="{00000000-0005-0000-0000-00006B0A0000}"/>
    <cellStyle name="Titre 3 2 3 7 2" xfId="2868" xr:uid="{00000000-0005-0000-0000-00006C0A0000}"/>
    <cellStyle name="Titre 3 2 3 8" xfId="2036" xr:uid="{00000000-0005-0000-0000-00006D0A0000}"/>
    <cellStyle name="Titre 3 2 3 8 2" xfId="2855" xr:uid="{00000000-0005-0000-0000-00006E0A0000}"/>
    <cellStyle name="Titre 3 2 3 9" xfId="1742" xr:uid="{00000000-0005-0000-0000-00006F0A0000}"/>
    <cellStyle name="Titre 3 2 3 9 2" xfId="2765" xr:uid="{00000000-0005-0000-0000-0000700A0000}"/>
    <cellStyle name="Titre 3 2 4" xfId="1405" xr:uid="{00000000-0005-0000-0000-0000710A0000}"/>
    <cellStyle name="Titre 3 2 4 10" xfId="2552" xr:uid="{00000000-0005-0000-0000-0000720A0000}"/>
    <cellStyle name="Titre 3 2 4 10 2" xfId="2957" xr:uid="{00000000-0005-0000-0000-0000730A0000}"/>
    <cellStyle name="Titre 3 2 4 11" xfId="2685" xr:uid="{00000000-0005-0000-0000-0000740A0000}"/>
    <cellStyle name="Titre 3 2 4 11 2" xfId="2967" xr:uid="{00000000-0005-0000-0000-0000750A0000}"/>
    <cellStyle name="Titre 3 2 4 12" xfId="2750" xr:uid="{00000000-0005-0000-0000-0000760A0000}"/>
    <cellStyle name="Titre 3 2 4 2" xfId="2000" xr:uid="{00000000-0005-0000-0000-0000770A0000}"/>
    <cellStyle name="Titre 3 2 4 2 2" xfId="2046" xr:uid="{00000000-0005-0000-0000-0000780A0000}"/>
    <cellStyle name="Titre 3 2 4 2 2 2" xfId="2117" xr:uid="{00000000-0005-0000-0000-0000790A0000}"/>
    <cellStyle name="Titre 3 2 4 2 2 2 2" xfId="2924" xr:uid="{00000000-0005-0000-0000-00007A0A0000}"/>
    <cellStyle name="Titre 3 2 4 2 2 3" xfId="2136" xr:uid="{00000000-0005-0000-0000-00007B0A0000}"/>
    <cellStyle name="Titre 3 2 4 2 2 3 2" xfId="2943" xr:uid="{00000000-0005-0000-0000-00007C0A0000}"/>
    <cellStyle name="Titre 3 2 4 2 2 4" xfId="2860" xr:uid="{00000000-0005-0000-0000-00007D0A0000}"/>
    <cellStyle name="Titre 3 2 4 2 3" xfId="2050" xr:uid="{00000000-0005-0000-0000-00007E0A0000}"/>
    <cellStyle name="Titre 3 2 4 2 3 2" xfId="2120" xr:uid="{00000000-0005-0000-0000-00007F0A0000}"/>
    <cellStyle name="Titre 3 2 4 2 3 2 2" xfId="2927" xr:uid="{00000000-0005-0000-0000-0000800A0000}"/>
    <cellStyle name="Titre 3 2 4 2 3 3" xfId="2139" xr:uid="{00000000-0005-0000-0000-0000810A0000}"/>
    <cellStyle name="Titre 3 2 4 2 3 3 2" xfId="2946" xr:uid="{00000000-0005-0000-0000-0000820A0000}"/>
    <cellStyle name="Titre 3 2 4 2 3 4" xfId="2863" xr:uid="{00000000-0005-0000-0000-0000830A0000}"/>
    <cellStyle name="Titre 3 2 4 2 4" xfId="2097" xr:uid="{00000000-0005-0000-0000-0000840A0000}"/>
    <cellStyle name="Titre 3 2 4 2 4 2" xfId="2904" xr:uid="{00000000-0005-0000-0000-0000850A0000}"/>
    <cellStyle name="Titre 3 2 4 2 5" xfId="1778" xr:uid="{00000000-0005-0000-0000-0000860A0000}"/>
    <cellStyle name="Titre 3 2 4 2 5 2" xfId="2786" xr:uid="{00000000-0005-0000-0000-0000870A0000}"/>
    <cellStyle name="Titre 3 2 4 2 6" xfId="2729" xr:uid="{00000000-0005-0000-0000-0000880A0000}"/>
    <cellStyle name="Titre 3 2 4 2 6 2" xfId="2975" xr:uid="{00000000-0005-0000-0000-0000890A0000}"/>
    <cellStyle name="Titre 3 2 4 2 7" xfId="2838" xr:uid="{00000000-0005-0000-0000-00008A0A0000}"/>
    <cellStyle name="Titre 3 2 4 3" xfId="1972" xr:uid="{00000000-0005-0000-0000-00008B0A0000}"/>
    <cellStyle name="Titre 3 2 4 3 2" xfId="2035" xr:uid="{00000000-0005-0000-0000-00008C0A0000}"/>
    <cellStyle name="Titre 3 2 4 3 2 2" xfId="2112" xr:uid="{00000000-0005-0000-0000-00008D0A0000}"/>
    <cellStyle name="Titre 3 2 4 3 2 2 2" xfId="2919" xr:uid="{00000000-0005-0000-0000-00008E0A0000}"/>
    <cellStyle name="Titre 3 2 4 3 2 3" xfId="1796" xr:uid="{00000000-0005-0000-0000-00008F0A0000}"/>
    <cellStyle name="Titre 3 2 4 3 2 3 2" xfId="2795" xr:uid="{00000000-0005-0000-0000-0000900A0000}"/>
    <cellStyle name="Titre 3 2 4 3 2 4" xfId="2854" xr:uid="{00000000-0005-0000-0000-0000910A0000}"/>
    <cellStyle name="Titre 3 2 4 3 3" xfId="1817" xr:uid="{00000000-0005-0000-0000-0000920A0000}"/>
    <cellStyle name="Titre 3 2 4 3 3 2" xfId="2070" xr:uid="{00000000-0005-0000-0000-0000930A0000}"/>
    <cellStyle name="Titre 3 2 4 3 3 2 2" xfId="2878" xr:uid="{00000000-0005-0000-0000-0000940A0000}"/>
    <cellStyle name="Titre 3 2 4 3 3 3" xfId="1756" xr:uid="{00000000-0005-0000-0000-0000950A0000}"/>
    <cellStyle name="Titre 3 2 4 3 3 3 2" xfId="2774" xr:uid="{00000000-0005-0000-0000-0000960A0000}"/>
    <cellStyle name="Titre 3 2 4 3 3 4" xfId="2810" xr:uid="{00000000-0005-0000-0000-0000970A0000}"/>
    <cellStyle name="Titre 3 2 4 3 4" xfId="2091" xr:uid="{00000000-0005-0000-0000-0000980A0000}"/>
    <cellStyle name="Titre 3 2 4 3 4 2" xfId="2899" xr:uid="{00000000-0005-0000-0000-0000990A0000}"/>
    <cellStyle name="Titre 3 2 4 3 5" xfId="1799" xr:uid="{00000000-0005-0000-0000-00009A0A0000}"/>
    <cellStyle name="Titre 3 2 4 3 5 2" xfId="2796" xr:uid="{00000000-0005-0000-0000-00009B0A0000}"/>
    <cellStyle name="Titre 3 2 4 3 6" xfId="2834" xr:uid="{00000000-0005-0000-0000-00009C0A0000}"/>
    <cellStyle name="Titre 3 2 4 4" xfId="1922" xr:uid="{00000000-0005-0000-0000-00009D0A0000}"/>
    <cellStyle name="Titre 3 2 4 4 2" xfId="2024" xr:uid="{00000000-0005-0000-0000-00009E0A0000}"/>
    <cellStyle name="Titre 3 2 4 4 2 2" xfId="2107" xr:uid="{00000000-0005-0000-0000-00009F0A0000}"/>
    <cellStyle name="Titre 3 2 4 4 2 2 2" xfId="2914" xr:uid="{00000000-0005-0000-0000-0000A00A0000}"/>
    <cellStyle name="Titre 3 2 4 4 2 3" xfId="1834" xr:uid="{00000000-0005-0000-0000-0000A10A0000}"/>
    <cellStyle name="Titre 3 2 4 4 2 3 2" xfId="2819" xr:uid="{00000000-0005-0000-0000-0000A20A0000}"/>
    <cellStyle name="Titre 3 2 4 4 2 4" xfId="2848" xr:uid="{00000000-0005-0000-0000-0000A30A0000}"/>
    <cellStyle name="Titre 3 2 4 4 3" xfId="1843" xr:uid="{00000000-0005-0000-0000-0000A40A0000}"/>
    <cellStyle name="Titre 3 2 4 4 3 2" xfId="2078" xr:uid="{00000000-0005-0000-0000-0000A50A0000}"/>
    <cellStyle name="Titre 3 2 4 4 3 2 2" xfId="2886" xr:uid="{00000000-0005-0000-0000-0000A60A0000}"/>
    <cellStyle name="Titre 3 2 4 4 3 3" xfId="1768" xr:uid="{00000000-0005-0000-0000-0000A70A0000}"/>
    <cellStyle name="Titre 3 2 4 4 3 3 2" xfId="2781" xr:uid="{00000000-0005-0000-0000-0000A80A0000}"/>
    <cellStyle name="Titre 3 2 4 4 3 4" xfId="2824" xr:uid="{00000000-0005-0000-0000-0000A90A0000}"/>
    <cellStyle name="Titre 3 2 4 4 4" xfId="2086" xr:uid="{00000000-0005-0000-0000-0000AA0A0000}"/>
    <cellStyle name="Titre 3 2 4 4 4 2" xfId="2894" xr:uid="{00000000-0005-0000-0000-0000AB0A0000}"/>
    <cellStyle name="Titre 3 2 4 4 5" xfId="1759" xr:uid="{00000000-0005-0000-0000-0000AC0A0000}"/>
    <cellStyle name="Titre 3 2 4 4 5 2" xfId="2776" xr:uid="{00000000-0005-0000-0000-0000AD0A0000}"/>
    <cellStyle name="Titre 3 2 4 4 6" xfId="2832" xr:uid="{00000000-0005-0000-0000-0000AE0A0000}"/>
    <cellStyle name="Titre 3 2 4 5" xfId="2015" xr:uid="{00000000-0005-0000-0000-0000AF0A0000}"/>
    <cellStyle name="Titre 3 2 4 5 2" xfId="2102" xr:uid="{00000000-0005-0000-0000-0000B00A0000}"/>
    <cellStyle name="Titre 3 2 4 5 2 2" xfId="2909" xr:uid="{00000000-0005-0000-0000-0000B10A0000}"/>
    <cellStyle name="Titre 3 2 4 5 3" xfId="1777" xr:uid="{00000000-0005-0000-0000-0000B20A0000}"/>
    <cellStyle name="Titre 3 2 4 5 3 2" xfId="2785" xr:uid="{00000000-0005-0000-0000-0000B30A0000}"/>
    <cellStyle name="Titre 3 2 4 5 4" xfId="2843" xr:uid="{00000000-0005-0000-0000-0000B40A0000}"/>
    <cellStyle name="Titre 3 2 4 6" xfId="1841" xr:uid="{00000000-0005-0000-0000-0000B50A0000}"/>
    <cellStyle name="Titre 3 2 4 6 2" xfId="2077" xr:uid="{00000000-0005-0000-0000-0000B60A0000}"/>
    <cellStyle name="Titre 3 2 4 6 2 2" xfId="2885" xr:uid="{00000000-0005-0000-0000-0000B70A0000}"/>
    <cellStyle name="Titre 3 2 4 6 3" xfId="1749" xr:uid="{00000000-0005-0000-0000-0000B80A0000}"/>
    <cellStyle name="Titre 3 2 4 6 3 2" xfId="2771" xr:uid="{00000000-0005-0000-0000-0000B90A0000}"/>
    <cellStyle name="Titre 3 2 4 6 4" xfId="2822" xr:uid="{00000000-0005-0000-0000-0000BA0A0000}"/>
    <cellStyle name="Titre 3 2 4 7" xfId="2081" xr:uid="{00000000-0005-0000-0000-0000BB0A0000}"/>
    <cellStyle name="Titre 3 2 4 7 2" xfId="2889" xr:uid="{00000000-0005-0000-0000-0000BC0A0000}"/>
    <cellStyle name="Titre 3 2 4 8" xfId="2128" xr:uid="{00000000-0005-0000-0000-0000BD0A0000}"/>
    <cellStyle name="Titre 3 2 4 8 2" xfId="2935" xr:uid="{00000000-0005-0000-0000-0000BE0A0000}"/>
    <cellStyle name="Titre 3 2 4 9" xfId="1878" xr:uid="{00000000-0005-0000-0000-0000BF0A0000}"/>
    <cellStyle name="Titre 3 2 4 9 2" xfId="2827" xr:uid="{00000000-0005-0000-0000-0000C00A0000}"/>
    <cellStyle name="Titre 3 2 5" xfId="1442" xr:uid="{00000000-0005-0000-0000-0000C10A0000}"/>
    <cellStyle name="Titre 3 2 5 2" xfId="2038" xr:uid="{00000000-0005-0000-0000-0000C20A0000}"/>
    <cellStyle name="Titre 3 2 5 2 2" xfId="2113" xr:uid="{00000000-0005-0000-0000-0000C30A0000}"/>
    <cellStyle name="Titre 3 2 5 2 2 2" xfId="2920" xr:uid="{00000000-0005-0000-0000-0000C40A0000}"/>
    <cellStyle name="Titre 3 2 5 2 3" xfId="1829" xr:uid="{00000000-0005-0000-0000-0000C50A0000}"/>
    <cellStyle name="Titre 3 2 5 2 3 2" xfId="2816" xr:uid="{00000000-0005-0000-0000-0000C60A0000}"/>
    <cellStyle name="Titre 3 2 5 2 4" xfId="2731" xr:uid="{00000000-0005-0000-0000-0000C70A0000}"/>
    <cellStyle name="Titre 3 2 5 2 4 2" xfId="2977" xr:uid="{00000000-0005-0000-0000-0000C80A0000}"/>
    <cellStyle name="Titre 3 2 5 2 5" xfId="2856" xr:uid="{00000000-0005-0000-0000-0000C90A0000}"/>
    <cellStyle name="Titre 3 2 5 3" xfId="1819" xr:uid="{00000000-0005-0000-0000-0000CA0A0000}"/>
    <cellStyle name="Titre 3 2 5 3 2" xfId="2071" xr:uid="{00000000-0005-0000-0000-0000CB0A0000}"/>
    <cellStyle name="Titre 3 2 5 3 2 2" xfId="2879" xr:uid="{00000000-0005-0000-0000-0000CC0A0000}"/>
    <cellStyle name="Titre 3 2 5 3 3" xfId="1773" xr:uid="{00000000-0005-0000-0000-0000CD0A0000}"/>
    <cellStyle name="Titre 3 2 5 3 3 2" xfId="2782" xr:uid="{00000000-0005-0000-0000-0000CE0A0000}"/>
    <cellStyle name="Titre 3 2 5 3 4" xfId="2811" xr:uid="{00000000-0005-0000-0000-0000CF0A0000}"/>
    <cellStyle name="Titre 3 2 5 4" xfId="2092" xr:uid="{00000000-0005-0000-0000-0000D00A0000}"/>
    <cellStyle name="Titre 3 2 5 4 2" xfId="2900" xr:uid="{00000000-0005-0000-0000-0000D10A0000}"/>
    <cellStyle name="Titre 3 2 5 5" xfId="1752" xr:uid="{00000000-0005-0000-0000-0000D20A0000}"/>
    <cellStyle name="Titre 3 2 5 5 2" xfId="2773" xr:uid="{00000000-0005-0000-0000-0000D30A0000}"/>
    <cellStyle name="Titre 3 2 5 6" xfId="2401" xr:uid="{00000000-0005-0000-0000-0000D40A0000}"/>
    <cellStyle name="Titre 3 2 5 6 2" xfId="2954" xr:uid="{00000000-0005-0000-0000-0000D50A0000}"/>
    <cellStyle name="Titre 3 2 5 7" xfId="2693" xr:uid="{00000000-0005-0000-0000-0000D60A0000}"/>
    <cellStyle name="Titre 3 2 5 7 2" xfId="2971" xr:uid="{00000000-0005-0000-0000-0000D70A0000}"/>
    <cellStyle name="Titre 3 2 5 8" xfId="2754" xr:uid="{00000000-0005-0000-0000-0000D80A0000}"/>
    <cellStyle name="Titre 3 2 6" xfId="1935" xr:uid="{00000000-0005-0000-0000-0000D90A0000}"/>
    <cellStyle name="Titre 3 2 6 2" xfId="2027" xr:uid="{00000000-0005-0000-0000-0000DA0A0000}"/>
    <cellStyle name="Titre 3 2 6 2 2" xfId="2108" xr:uid="{00000000-0005-0000-0000-0000DB0A0000}"/>
    <cellStyle name="Titre 3 2 6 2 2 2" xfId="2915" xr:uid="{00000000-0005-0000-0000-0000DC0A0000}"/>
    <cellStyle name="Titre 3 2 6 2 3" xfId="2026" xr:uid="{00000000-0005-0000-0000-0000DD0A0000}"/>
    <cellStyle name="Titre 3 2 6 2 3 2" xfId="2849" xr:uid="{00000000-0005-0000-0000-0000DE0A0000}"/>
    <cellStyle name="Titre 3 2 6 2 4" xfId="2850" xr:uid="{00000000-0005-0000-0000-0000DF0A0000}"/>
    <cellStyle name="Titre 3 2 6 3" xfId="1812" xr:uid="{00000000-0005-0000-0000-0000E00A0000}"/>
    <cellStyle name="Titre 3 2 6 3 2" xfId="2066" xr:uid="{00000000-0005-0000-0000-0000E10A0000}"/>
    <cellStyle name="Titre 3 2 6 3 2 2" xfId="2874" xr:uid="{00000000-0005-0000-0000-0000E20A0000}"/>
    <cellStyle name="Titre 3 2 6 3 3" xfId="1788" xr:uid="{00000000-0005-0000-0000-0000E30A0000}"/>
    <cellStyle name="Titre 3 2 6 3 3 2" xfId="2791" xr:uid="{00000000-0005-0000-0000-0000E40A0000}"/>
    <cellStyle name="Titre 3 2 6 3 4" xfId="2806" xr:uid="{00000000-0005-0000-0000-0000E50A0000}"/>
    <cellStyle name="Titre 3 2 6 4" xfId="2087" xr:uid="{00000000-0005-0000-0000-0000E60A0000}"/>
    <cellStyle name="Titre 3 2 6 4 2" xfId="2895" xr:uid="{00000000-0005-0000-0000-0000E70A0000}"/>
    <cellStyle name="Titre 3 2 6 5" xfId="1747" xr:uid="{00000000-0005-0000-0000-0000E80A0000}"/>
    <cellStyle name="Titre 3 2 6 5 2" xfId="2770" xr:uid="{00000000-0005-0000-0000-0000E90A0000}"/>
    <cellStyle name="Titre 3 2 6 6" xfId="2833" xr:uid="{00000000-0005-0000-0000-0000EA0A0000}"/>
    <cellStyle name="Titre 3 2 7" xfId="1884" xr:uid="{00000000-0005-0000-0000-0000EB0A0000}"/>
    <cellStyle name="Titre 3 2 7 2" xfId="2016" xr:uid="{00000000-0005-0000-0000-0000EC0A0000}"/>
    <cellStyle name="Titre 3 2 7 2 2" xfId="2103" xr:uid="{00000000-0005-0000-0000-0000ED0A0000}"/>
    <cellStyle name="Titre 3 2 7 2 2 2" xfId="2910" xr:uid="{00000000-0005-0000-0000-0000EE0A0000}"/>
    <cellStyle name="Titre 3 2 7 2 3" xfId="1750" xr:uid="{00000000-0005-0000-0000-0000EF0A0000}"/>
    <cellStyle name="Titre 3 2 7 2 3 2" xfId="2772" xr:uid="{00000000-0005-0000-0000-0000F00A0000}"/>
    <cellStyle name="Titre 3 2 7 2 4" xfId="2844" xr:uid="{00000000-0005-0000-0000-0000F10A0000}"/>
    <cellStyle name="Titre 3 2 7 3" xfId="1807" xr:uid="{00000000-0005-0000-0000-0000F20A0000}"/>
    <cellStyle name="Titre 3 2 7 3 2" xfId="2063" xr:uid="{00000000-0005-0000-0000-0000F30A0000}"/>
    <cellStyle name="Titre 3 2 7 3 2 2" xfId="2871" xr:uid="{00000000-0005-0000-0000-0000F40A0000}"/>
    <cellStyle name="Titre 3 2 7 3 3" xfId="1744" xr:uid="{00000000-0005-0000-0000-0000F50A0000}"/>
    <cellStyle name="Titre 3 2 7 3 3 2" xfId="2767" xr:uid="{00000000-0005-0000-0000-0000F60A0000}"/>
    <cellStyle name="Titre 3 2 7 3 4" xfId="2802" xr:uid="{00000000-0005-0000-0000-0000F70A0000}"/>
    <cellStyle name="Titre 3 2 7 4" xfId="2082" xr:uid="{00000000-0005-0000-0000-0000F80A0000}"/>
    <cellStyle name="Titre 3 2 7 4 2" xfId="2890" xr:uid="{00000000-0005-0000-0000-0000F90A0000}"/>
    <cellStyle name="Titre 3 2 7 5" xfId="2051" xr:uid="{00000000-0005-0000-0000-0000FA0A0000}"/>
    <cellStyle name="Titre 3 2 7 5 2" xfId="2864" xr:uid="{00000000-0005-0000-0000-0000FB0A0000}"/>
    <cellStyle name="Titre 3 2 7 6" xfId="2828" xr:uid="{00000000-0005-0000-0000-0000FC0A0000}"/>
    <cellStyle name="Titre 3 2 8" xfId="2009" xr:uid="{00000000-0005-0000-0000-0000FD0A0000}"/>
    <cellStyle name="Titre 3 2 8 2" xfId="2098" xr:uid="{00000000-0005-0000-0000-0000FE0A0000}"/>
    <cellStyle name="Titre 3 2 8 2 2" xfId="2905" xr:uid="{00000000-0005-0000-0000-0000FF0A0000}"/>
    <cellStyle name="Titre 3 2 8 3" xfId="1842" xr:uid="{00000000-0005-0000-0000-0000000B0000}"/>
    <cellStyle name="Titre 3 2 8 3 2" xfId="2823" xr:uid="{00000000-0005-0000-0000-0000010B0000}"/>
    <cellStyle name="Titre 3 2 8 4" xfId="2839" xr:uid="{00000000-0005-0000-0000-0000020B0000}"/>
    <cellStyle name="Titre 3 2 9" xfId="1839" xr:uid="{00000000-0005-0000-0000-0000030B0000}"/>
    <cellStyle name="Titre 3 2 9 2" xfId="2075" xr:uid="{00000000-0005-0000-0000-0000040B0000}"/>
    <cellStyle name="Titre 3 2 9 2 2" xfId="2883" xr:uid="{00000000-0005-0000-0000-0000050B0000}"/>
    <cellStyle name="Titre 3 2 9 3" xfId="1775" xr:uid="{00000000-0005-0000-0000-0000060B0000}"/>
    <cellStyle name="Titre 3 2 9 3 2" xfId="2784" xr:uid="{00000000-0005-0000-0000-0000070B0000}"/>
    <cellStyle name="Titre 3 2 9 4" xfId="2820" xr:uid="{00000000-0005-0000-0000-0000080B0000}"/>
    <cellStyle name="Titre 3 3" xfId="1326" xr:uid="{00000000-0005-0000-0000-0000090B0000}"/>
    <cellStyle name="Titre 3 3 10" xfId="1720" xr:uid="{00000000-0005-0000-0000-00000A0B0000}"/>
    <cellStyle name="Titre 3 3 10 2" xfId="2763" xr:uid="{00000000-0005-0000-0000-00000B0B0000}"/>
    <cellStyle name="Titre 3 3 11" xfId="1678" xr:uid="{00000000-0005-0000-0000-00000C0B0000}"/>
    <cellStyle name="Titre 3 3 11 2" xfId="2759" xr:uid="{00000000-0005-0000-0000-00000D0B0000}"/>
    <cellStyle name="Titre 3 3 12" xfId="2205" xr:uid="{00000000-0005-0000-0000-00000E0B0000}"/>
    <cellStyle name="Titre 3 3 12 2" xfId="2948" xr:uid="{00000000-0005-0000-0000-00000F0B0000}"/>
    <cellStyle name="Titre 3 3 13" xfId="1514" xr:uid="{00000000-0005-0000-0000-0000100B0000}"/>
    <cellStyle name="Titre 3 3 13 2" xfId="2746" xr:uid="{00000000-0005-0000-0000-0000110B0000}"/>
    <cellStyle name="Titre 3 3 14" xfId="2624" xr:uid="{00000000-0005-0000-0000-0000120B0000}"/>
    <cellStyle name="Titre 3 3 14 2" xfId="2962" xr:uid="{00000000-0005-0000-0000-0000130B0000}"/>
    <cellStyle name="Titre 3 3 15" xfId="2736" xr:uid="{00000000-0005-0000-0000-0000140B0000}"/>
    <cellStyle name="Titre 3 3 2" xfId="1375" xr:uid="{00000000-0005-0000-0000-0000150B0000}"/>
    <cellStyle name="Titre 3 3 2 2" xfId="2041" xr:uid="{00000000-0005-0000-0000-0000160B0000}"/>
    <cellStyle name="Titre 3 3 2 2 2" xfId="2114" xr:uid="{00000000-0005-0000-0000-0000170B0000}"/>
    <cellStyle name="Titre 3 3 2 2 2 2" xfId="2921" xr:uid="{00000000-0005-0000-0000-0000180B0000}"/>
    <cellStyle name="Titre 3 3 2 2 3" xfId="2133" xr:uid="{00000000-0005-0000-0000-0000190B0000}"/>
    <cellStyle name="Titre 3 3 2 2 3 2" xfId="2940" xr:uid="{00000000-0005-0000-0000-00001A0B0000}"/>
    <cellStyle name="Titre 3 3 2 2 4" xfId="2553" xr:uid="{00000000-0005-0000-0000-00001B0B0000}"/>
    <cellStyle name="Titre 3 3 2 2 4 2" xfId="2958" xr:uid="{00000000-0005-0000-0000-00001C0B0000}"/>
    <cellStyle name="Titre 3 3 2 2 5" xfId="2733" xr:uid="{00000000-0005-0000-0000-00001D0B0000}"/>
    <cellStyle name="Titre 3 3 2 2 5 2" xfId="2979" xr:uid="{00000000-0005-0000-0000-00001E0B0000}"/>
    <cellStyle name="Titre 3 3 2 2 6" xfId="2857" xr:uid="{00000000-0005-0000-0000-00001F0B0000}"/>
    <cellStyle name="Titre 3 3 2 3" xfId="1820" xr:uid="{00000000-0005-0000-0000-0000200B0000}"/>
    <cellStyle name="Titre 3 3 2 3 2" xfId="2072" xr:uid="{00000000-0005-0000-0000-0000210B0000}"/>
    <cellStyle name="Titre 3 3 2 3 2 2" xfId="2880" xr:uid="{00000000-0005-0000-0000-0000220B0000}"/>
    <cellStyle name="Titre 3 3 2 3 3" xfId="2129" xr:uid="{00000000-0005-0000-0000-0000230B0000}"/>
    <cellStyle name="Titre 3 3 2 3 3 2" xfId="2936" xr:uid="{00000000-0005-0000-0000-0000240B0000}"/>
    <cellStyle name="Titre 3 3 2 3 4" xfId="2812" xr:uid="{00000000-0005-0000-0000-0000250B0000}"/>
    <cellStyle name="Titre 3 3 2 4" xfId="2093" xr:uid="{00000000-0005-0000-0000-0000260B0000}"/>
    <cellStyle name="Titre 3 3 2 4 2" xfId="2901" xr:uid="{00000000-0005-0000-0000-0000270B0000}"/>
    <cellStyle name="Titre 3 3 2 5" xfId="2132" xr:uid="{00000000-0005-0000-0000-0000280B0000}"/>
    <cellStyle name="Titre 3 3 2 5 2" xfId="2939" xr:uid="{00000000-0005-0000-0000-0000290B0000}"/>
    <cellStyle name="Titre 3 3 2 6" xfId="1993" xr:uid="{00000000-0005-0000-0000-00002A0B0000}"/>
    <cellStyle name="Titre 3 3 2 6 2" xfId="2835" xr:uid="{00000000-0005-0000-0000-00002B0B0000}"/>
    <cellStyle name="Titre 3 3 2 7" xfId="2209" xr:uid="{00000000-0005-0000-0000-00002C0B0000}"/>
    <cellStyle name="Titre 3 3 2 7 2" xfId="2950" xr:uid="{00000000-0005-0000-0000-00002D0B0000}"/>
    <cellStyle name="Titre 3 3 2 8" xfId="2663" xr:uid="{00000000-0005-0000-0000-00002E0B0000}"/>
    <cellStyle name="Titre 3 3 2 8 2" xfId="2965" xr:uid="{00000000-0005-0000-0000-00002F0B0000}"/>
    <cellStyle name="Titre 3 3 2 9" xfId="2751" xr:uid="{00000000-0005-0000-0000-0000300B0000}"/>
    <cellStyle name="Titre 3 3 3" xfId="1418" xr:uid="{00000000-0005-0000-0000-0000310B0000}"/>
    <cellStyle name="Titre 3 3 3 2" xfId="2029" xr:uid="{00000000-0005-0000-0000-0000320B0000}"/>
    <cellStyle name="Titre 3 3 3 2 2" xfId="2109" xr:uid="{00000000-0005-0000-0000-0000330B0000}"/>
    <cellStyle name="Titre 3 3 3 2 2 2" xfId="2916" xr:uid="{00000000-0005-0000-0000-0000340B0000}"/>
    <cellStyle name="Titre 3 3 3 2 3" xfId="1795" xr:uid="{00000000-0005-0000-0000-0000350B0000}"/>
    <cellStyle name="Titre 3 3 3 2 3 2" xfId="2794" xr:uid="{00000000-0005-0000-0000-0000360B0000}"/>
    <cellStyle name="Titre 3 3 3 2 4" xfId="2706" xr:uid="{00000000-0005-0000-0000-0000370B0000}"/>
    <cellStyle name="Titre 3 3 3 2 4 2" xfId="2972" xr:uid="{00000000-0005-0000-0000-0000380B0000}"/>
    <cellStyle name="Titre 3 3 3 2 5" xfId="2851" xr:uid="{00000000-0005-0000-0000-0000390B0000}"/>
    <cellStyle name="Titre 3 3 3 3" xfId="1813" xr:uid="{00000000-0005-0000-0000-00003A0B0000}"/>
    <cellStyle name="Titre 3 3 3 3 2" xfId="2067" xr:uid="{00000000-0005-0000-0000-00003B0B0000}"/>
    <cellStyle name="Titre 3 3 3 3 2 2" xfId="2875" xr:uid="{00000000-0005-0000-0000-00003C0B0000}"/>
    <cellStyle name="Titre 3 3 3 3 3" xfId="2127" xr:uid="{00000000-0005-0000-0000-00003D0B0000}"/>
    <cellStyle name="Titre 3 3 3 3 3 2" xfId="2934" xr:uid="{00000000-0005-0000-0000-00003E0B0000}"/>
    <cellStyle name="Titre 3 3 3 3 4" xfId="2807" xr:uid="{00000000-0005-0000-0000-00003F0B0000}"/>
    <cellStyle name="Titre 3 3 3 4" xfId="2088" xr:uid="{00000000-0005-0000-0000-0000400B0000}"/>
    <cellStyle name="Titre 3 3 3 4 2" xfId="2896" xr:uid="{00000000-0005-0000-0000-0000410B0000}"/>
    <cellStyle name="Titre 3 3 3 5" xfId="1765" xr:uid="{00000000-0005-0000-0000-0000420B0000}"/>
    <cellStyle name="Titre 3 3 3 5 2" xfId="2778" xr:uid="{00000000-0005-0000-0000-0000430B0000}"/>
    <cellStyle name="Titre 3 3 3 6" xfId="2551" xr:uid="{00000000-0005-0000-0000-0000440B0000}"/>
    <cellStyle name="Titre 3 3 3 6 2" xfId="2956" xr:uid="{00000000-0005-0000-0000-0000450B0000}"/>
    <cellStyle name="Titre 3 3 3 7" xfId="2686" xr:uid="{00000000-0005-0000-0000-0000460B0000}"/>
    <cellStyle name="Titre 3 3 3 7 2" xfId="2968" xr:uid="{00000000-0005-0000-0000-0000470B0000}"/>
    <cellStyle name="Titre 3 3 3 8" xfId="2755" xr:uid="{00000000-0005-0000-0000-0000480B0000}"/>
    <cellStyle name="Titre 3 3 4" xfId="1443" xr:uid="{00000000-0005-0000-0000-0000490B0000}"/>
    <cellStyle name="Titre 3 3 4 2" xfId="2018" xr:uid="{00000000-0005-0000-0000-00004A0B0000}"/>
    <cellStyle name="Titre 3 3 4 2 2" xfId="2104" xr:uid="{00000000-0005-0000-0000-00004B0B0000}"/>
    <cellStyle name="Titre 3 3 4 2 2 2" xfId="2911" xr:uid="{00000000-0005-0000-0000-00004C0B0000}"/>
    <cellStyle name="Titre 3 3 4 2 3" xfId="1790" xr:uid="{00000000-0005-0000-0000-00004D0B0000}"/>
    <cellStyle name="Titre 3 3 4 2 3 2" xfId="2792" xr:uid="{00000000-0005-0000-0000-00004E0B0000}"/>
    <cellStyle name="Titre 3 3 4 2 4" xfId="2845" xr:uid="{00000000-0005-0000-0000-00004F0B0000}"/>
    <cellStyle name="Titre 3 3 4 3" xfId="1822" xr:uid="{00000000-0005-0000-0000-0000500B0000}"/>
    <cellStyle name="Titre 3 3 4 3 2" xfId="2073" xr:uid="{00000000-0005-0000-0000-0000510B0000}"/>
    <cellStyle name="Titre 3 3 4 3 2 2" xfId="2881" xr:uid="{00000000-0005-0000-0000-0000520B0000}"/>
    <cellStyle name="Titre 3 3 4 3 3" xfId="1743" xr:uid="{00000000-0005-0000-0000-0000530B0000}"/>
    <cellStyle name="Titre 3 3 4 3 3 2" xfId="2766" xr:uid="{00000000-0005-0000-0000-0000540B0000}"/>
    <cellStyle name="Titre 3 3 4 3 4" xfId="2813" xr:uid="{00000000-0005-0000-0000-0000550B0000}"/>
    <cellStyle name="Titre 3 3 4 4" xfId="2083" xr:uid="{00000000-0005-0000-0000-0000560B0000}"/>
    <cellStyle name="Titre 3 3 4 4 2" xfId="2891" xr:uid="{00000000-0005-0000-0000-0000570B0000}"/>
    <cellStyle name="Titre 3 3 4 5" xfId="1758" xr:uid="{00000000-0005-0000-0000-0000580B0000}"/>
    <cellStyle name="Titre 3 3 4 5 2" xfId="2775" xr:uid="{00000000-0005-0000-0000-0000590B0000}"/>
    <cellStyle name="Titre 3 3 4 6" xfId="2829" xr:uid="{00000000-0005-0000-0000-00005A0B0000}"/>
    <cellStyle name="Titre 3 3 5" xfId="1856" xr:uid="{00000000-0005-0000-0000-00005B0B0000}"/>
    <cellStyle name="Titre 3 3 5 2" xfId="2079" xr:uid="{00000000-0005-0000-0000-00005C0B0000}"/>
    <cellStyle name="Titre 3 3 5 2 2" xfId="2887" xr:uid="{00000000-0005-0000-0000-00005D0B0000}"/>
    <cellStyle name="Titre 3 3 5 3" xfId="1764" xr:uid="{00000000-0005-0000-0000-00005E0B0000}"/>
    <cellStyle name="Titre 3 3 5 3 2" xfId="2777" xr:uid="{00000000-0005-0000-0000-00005F0B0000}"/>
    <cellStyle name="Titre 3 3 5 4" xfId="2825" xr:uid="{00000000-0005-0000-0000-0000600B0000}"/>
    <cellStyle name="Titre 3 3 6" xfId="2010" xr:uid="{00000000-0005-0000-0000-0000610B0000}"/>
    <cellStyle name="Titre 3 3 6 2" xfId="2099" xr:uid="{00000000-0005-0000-0000-0000620B0000}"/>
    <cellStyle name="Titre 3 3 6 2 2" xfId="2906" xr:uid="{00000000-0005-0000-0000-0000630B0000}"/>
    <cellStyle name="Titre 3 3 6 3" xfId="1831" xr:uid="{00000000-0005-0000-0000-0000640B0000}"/>
    <cellStyle name="Titre 3 3 6 3 2" xfId="2818" xr:uid="{00000000-0005-0000-0000-0000650B0000}"/>
    <cellStyle name="Titre 3 3 6 4" xfId="2840" xr:uid="{00000000-0005-0000-0000-0000660B0000}"/>
    <cellStyle name="Titre 3 3 7" xfId="1801" xr:uid="{00000000-0005-0000-0000-0000670B0000}"/>
    <cellStyle name="Titre 3 3 7 2" xfId="2061" xr:uid="{00000000-0005-0000-0000-0000680B0000}"/>
    <cellStyle name="Titre 3 3 7 2 2" xfId="2869" xr:uid="{00000000-0005-0000-0000-0000690B0000}"/>
    <cellStyle name="Titre 3 3 7 3" xfId="1774" xr:uid="{00000000-0005-0000-0000-00006A0B0000}"/>
    <cellStyle name="Titre 3 3 7 3 2" xfId="2783" xr:uid="{00000000-0005-0000-0000-00006B0B0000}"/>
    <cellStyle name="Titre 3 3 7 4" xfId="2798" xr:uid="{00000000-0005-0000-0000-00006C0B0000}"/>
    <cellStyle name="Titre 3 3 8" xfId="2058" xr:uid="{00000000-0005-0000-0000-00006D0B0000}"/>
    <cellStyle name="Titre 3 3 8 2" xfId="2866" xr:uid="{00000000-0005-0000-0000-00006E0B0000}"/>
    <cellStyle name="Titre 3 3 9" xfId="2123" xr:uid="{00000000-0005-0000-0000-00006F0B0000}"/>
    <cellStyle name="Titre 3 3 9 2" xfId="2930" xr:uid="{00000000-0005-0000-0000-0000700B0000}"/>
    <cellStyle name="Titre 3 4" xfId="1828" xr:uid="{00000000-0005-0000-0000-0000710B0000}"/>
    <cellStyle name="Titre 3 4 2" xfId="2074" xr:uid="{00000000-0005-0000-0000-0000720B0000}"/>
    <cellStyle name="Titre 3 4 2 2" xfId="2522" xr:uid="{00000000-0005-0000-0000-0000730B0000}"/>
    <cellStyle name="Titre 3 4 2 2 2" xfId="2955" xr:uid="{00000000-0005-0000-0000-0000740B0000}"/>
    <cellStyle name="Titre 3 4 2 3" xfId="2882" xr:uid="{00000000-0005-0000-0000-0000750B0000}"/>
    <cellStyle name="Titre 3 4 3" xfId="1786" xr:uid="{00000000-0005-0000-0000-0000760B0000}"/>
    <cellStyle name="Titre 3 4 3 2" xfId="2789" xr:uid="{00000000-0005-0000-0000-0000770B0000}"/>
    <cellStyle name="Titre 3 4 4" xfId="2174" xr:uid="{00000000-0005-0000-0000-0000780B0000}"/>
    <cellStyle name="Titre 3 4 4 2" xfId="2947" xr:uid="{00000000-0005-0000-0000-0000790B0000}"/>
    <cellStyle name="Titre 3 4 5" xfId="2815" xr:uid="{00000000-0005-0000-0000-00007A0B0000}"/>
    <cellStyle name="Titre 3 5" xfId="2352" xr:uid="{00000000-0005-0000-0000-00007B0B0000}"/>
    <cellStyle name="Titre 3 5 2" xfId="2953" xr:uid="{00000000-0005-0000-0000-00007C0B0000}"/>
    <cellStyle name="Titre 3 6" xfId="1611" xr:uid="{00000000-0005-0000-0000-00007D0B0000}"/>
    <cellStyle name="Titre 3 6 2" xfId="2749" xr:uid="{00000000-0005-0000-0000-00007E0B0000}"/>
    <cellStyle name="Titre 4" xfId="1077" xr:uid="{00000000-0005-0000-0000-00007F0B0000}"/>
    <cellStyle name="Top Row" xfId="1078" xr:uid="{00000000-0005-0000-0000-0000800B0000}"/>
    <cellStyle name="Top Row 2" xfId="2206" xr:uid="{00000000-0005-0000-0000-0000810B0000}"/>
    <cellStyle name="Top Row 2 2" xfId="2182" xr:uid="{00000000-0005-0000-0000-0000820B0000}"/>
    <cellStyle name="Top Row 2 2 2" xfId="2530" xr:uid="{00000000-0005-0000-0000-0000830B0000}"/>
    <cellStyle name="Top Row 2 3" xfId="2256" xr:uid="{00000000-0005-0000-0000-0000840B0000}"/>
    <cellStyle name="Top Row 2 3 2" xfId="2600" xr:uid="{00000000-0005-0000-0000-0000850B0000}"/>
    <cellStyle name="Top Row 2 4" xfId="2402" xr:uid="{00000000-0005-0000-0000-0000860B0000}"/>
    <cellStyle name="Top Row 3" xfId="2176" xr:uid="{00000000-0005-0000-0000-0000870B0000}"/>
    <cellStyle name="Top Row 3 2" xfId="2524" xr:uid="{00000000-0005-0000-0000-0000880B0000}"/>
    <cellStyle name="Top Row 4" xfId="2190" xr:uid="{00000000-0005-0000-0000-0000890B0000}"/>
    <cellStyle name="Top Row 4 2" xfId="2538" xr:uid="{00000000-0005-0000-0000-00008A0B0000}"/>
    <cellStyle name="Top Row 5" xfId="2267" xr:uid="{00000000-0005-0000-0000-00008B0B0000}"/>
    <cellStyle name="Top Row 6" xfId="2310" xr:uid="{00000000-0005-0000-0000-00008C0B0000}"/>
    <cellStyle name="Valuta (0)_186 logistica nuovo prodotto" xfId="1079" xr:uid="{00000000-0005-0000-0000-00008D0B0000}"/>
    <cellStyle name="Valuta [0]_Printer Category RFP Part 2v2" xfId="1080" xr:uid="{00000000-0005-0000-0000-00008E0B0000}"/>
    <cellStyle name="Valuta_Printer Category RFP Part 2v2" xfId="1081" xr:uid="{00000000-0005-0000-0000-00008F0B0000}"/>
    <cellStyle name="Vérification" xfId="1082" xr:uid="{00000000-0005-0000-0000-0000900B0000}"/>
    <cellStyle name="Währung [0]_ " xfId="1083" xr:uid="{00000000-0005-0000-0000-0000910B0000}"/>
    <cellStyle name="Währung_ " xfId="1084" xr:uid="{00000000-0005-0000-0000-0000920B0000}"/>
    <cellStyle name="Обычный_Лист1" xfId="1085" xr:uid="{00000000-0005-0000-0000-0000930B0000}"/>
    <cellStyle name="ﾐﾔﾏ" xfId="1086" xr:uid="{00000000-0005-0000-0000-0000940B0000}"/>
    <cellStyle name="콤마 [0]_00001" xfId="1087" xr:uid="{00000000-0005-0000-0000-0000950B0000}"/>
    <cellStyle name="통화 [0]_M50" xfId="1088" xr:uid="{00000000-0005-0000-0000-0000960B0000}"/>
    <cellStyle name="표준_00001" xfId="1089" xr:uid="{00000000-0005-0000-0000-0000970B0000}"/>
    <cellStyle name="千位分隔_2004 budget-4th" xfId="1090" xr:uid="{00000000-0005-0000-0000-0000980B0000}"/>
    <cellStyle name="常规_2004 budget-4th" xfId="1091" xr:uid="{00000000-0005-0000-0000-0000990B0000}"/>
    <cellStyle name="普通_Sheet1 (3)" xfId="1092" xr:uid="{00000000-0005-0000-0000-00009A0B0000}"/>
    <cellStyle name="桁区切り [0.00]_Cpcidea200109" xfId="1093" xr:uid="{00000000-0005-0000-0000-00009B0B0000}"/>
    <cellStyle name="桁区切り_20068251354offerPrice(1)" xfId="1094" xr:uid="{00000000-0005-0000-0000-00009C0B0000}"/>
    <cellStyle name="標" xfId="1095" xr:uid="{00000000-0005-0000-0000-00009D0B0000}"/>
    <cellStyle name="標_~6728952" xfId="1096" xr:uid="{00000000-0005-0000-0000-00009E0B0000}"/>
    <cellStyle name="標_Voestalpine  Pricing -RCN 090318 Helen's Amendment 2" xfId="1097" xr:uid="{00000000-0005-0000-0000-00009F0B0000}"/>
    <cellStyle name="標準_(RE)B-C3 CPP (with Cost) revised 0206_Katana CPP" xfId="1098" xr:uid="{00000000-0005-0000-0000-0000A00B0000}"/>
    <cellStyle name="湪" xfId="1099" xr:uid="{00000000-0005-0000-0000-0000A10B0000}"/>
    <cellStyle name="湪 2" xfId="1299" xr:uid="{00000000-0005-0000-0000-0000A20B0000}"/>
    <cellStyle name="通貨 [0.00]_~6508815" xfId="1100" xr:uid="{00000000-0005-0000-0000-0000A30B0000}"/>
    <cellStyle name="通貨_new UPP-MTP2002-2" xfId="1101" xr:uid="{00000000-0005-0000-0000-0000A40B0000}"/>
  </cellStyles>
  <dxfs count="7">
    <dxf>
      <numFmt numFmtId="200" formatCode="[$¥-411]#,##0"/>
    </dxf>
    <dxf>
      <numFmt numFmtId="201" formatCode="&quot;$&quot;#,##0.0000"/>
    </dxf>
    <dxf>
      <numFmt numFmtId="202" formatCode="[$€-2]\ #,##0.0000"/>
    </dxf>
    <dxf>
      <numFmt numFmtId="203" formatCode="[$¥-411]#,##0.00"/>
    </dxf>
    <dxf>
      <numFmt numFmtId="195" formatCode="&quot;$&quot;#,##0.00"/>
    </dxf>
    <dxf>
      <numFmt numFmtId="204" formatCode="[$€-2]\ #,##0.00"/>
    </dxf>
    <dxf>
      <numFmt numFmtId="204" formatCode="[$€-2]\ #,##0.00"/>
    </dxf>
  </dxfs>
  <tableStyles count="0" defaultTableStyle="TableStyleMedium9" defaultPivotStyle="PivotStyleLight16"/>
  <colors>
    <mruColors>
      <color rgb="FF0000FF"/>
      <color rgb="FF969696"/>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externalLink" Target="externalLinks/externalLink14.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externalLink" Target="externalLinks/externalLink2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externalLink" Target="externalLinks/externalLink25.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calcChain" Target="calcChain.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externalLink" Target="externalLinks/externalLink24.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cid:image004.png@01D73A7C.C64A9010" TargetMode="External"/><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gif"/><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8" Type="http://schemas.openxmlformats.org/officeDocument/2006/relationships/image" Target="../media/image20.jpeg"/><Relationship Id="rId13" Type="http://schemas.openxmlformats.org/officeDocument/2006/relationships/image" Target="../media/image25.jpeg"/><Relationship Id="rId3" Type="http://schemas.openxmlformats.org/officeDocument/2006/relationships/image" Target="../media/image15.jpeg"/><Relationship Id="rId7" Type="http://schemas.openxmlformats.org/officeDocument/2006/relationships/image" Target="../media/image19.jpeg"/><Relationship Id="rId12" Type="http://schemas.openxmlformats.org/officeDocument/2006/relationships/image" Target="../media/image24.jpeg"/><Relationship Id="rId2" Type="http://schemas.openxmlformats.org/officeDocument/2006/relationships/image" Target="../media/image14.jpeg"/><Relationship Id="rId1" Type="http://schemas.openxmlformats.org/officeDocument/2006/relationships/image" Target="../media/image3.jpeg"/><Relationship Id="rId6" Type="http://schemas.openxmlformats.org/officeDocument/2006/relationships/image" Target="../media/image18.jpeg"/><Relationship Id="rId11" Type="http://schemas.openxmlformats.org/officeDocument/2006/relationships/image" Target="../media/image23.jpeg"/><Relationship Id="rId5" Type="http://schemas.openxmlformats.org/officeDocument/2006/relationships/image" Target="../media/image17.jpeg"/><Relationship Id="rId10" Type="http://schemas.openxmlformats.org/officeDocument/2006/relationships/image" Target="../media/image22.jpeg"/><Relationship Id="rId4" Type="http://schemas.openxmlformats.org/officeDocument/2006/relationships/image" Target="../media/image16.jpeg"/><Relationship Id="rId9" Type="http://schemas.openxmlformats.org/officeDocument/2006/relationships/image" Target="../media/image21.jpeg"/><Relationship Id="rId14" Type="http://schemas.openxmlformats.org/officeDocument/2006/relationships/image" Target="../media/image26.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5</xdr:col>
          <xdr:colOff>1704975</xdr:colOff>
          <xdr:row>12</xdr:row>
          <xdr:rowOff>219075</xdr:rowOff>
        </xdr:from>
        <xdr:to>
          <xdr:col>5</xdr:col>
          <xdr:colOff>2152650</xdr:colOff>
          <xdr:row>13</xdr:row>
          <xdr:rowOff>219075</xdr:rowOff>
        </xdr:to>
        <xdr:sp macro="" textlink="">
          <xdr:nvSpPr>
            <xdr:cNvPr id="33829" name="Check Box 37" hidden="1">
              <a:extLst>
                <a:ext uri="{63B3BB69-23CF-44E3-9099-C40C66FF867C}">
                  <a14:compatExt spid="_x0000_s33829"/>
                </a:ext>
                <a:ext uri="{FF2B5EF4-FFF2-40B4-BE49-F238E27FC236}">
                  <a16:creationId xmlns:a16="http://schemas.microsoft.com/office/drawing/2014/main" id="{00000000-0008-0000-0000-00002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D" sz="800" b="0" i="0" u="none" strike="noStrike" baseline="0">
                  <a:solidFill>
                    <a:srgbClr val="000000"/>
                  </a:solidFill>
                  <a:latin typeface="Tahoma"/>
                  <a:ea typeface="Tahoma"/>
                  <a:cs typeface="Tahoma"/>
                </a:rPr>
                <a:t>B/W </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171450</xdr:colOff>
          <xdr:row>13</xdr:row>
          <xdr:rowOff>219075</xdr:rowOff>
        </xdr:from>
        <xdr:to>
          <xdr:col>5</xdr:col>
          <xdr:colOff>657225</xdr:colOff>
          <xdr:row>14</xdr:row>
          <xdr:rowOff>219075</xdr:rowOff>
        </xdr:to>
        <xdr:sp macro="" textlink="">
          <xdr:nvSpPr>
            <xdr:cNvPr id="33831" name="Check Box 39" hidden="1">
              <a:extLst>
                <a:ext uri="{63B3BB69-23CF-44E3-9099-C40C66FF867C}">
                  <a14:compatExt spid="_x0000_s33831"/>
                </a:ext>
                <a:ext uri="{FF2B5EF4-FFF2-40B4-BE49-F238E27FC236}">
                  <a16:creationId xmlns:a16="http://schemas.microsoft.com/office/drawing/2014/main" id="{00000000-0008-0000-0000-00002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D" sz="800" b="0" i="0" u="none" strike="noStrike" baseline="0">
                  <a:solidFill>
                    <a:srgbClr val="000000"/>
                  </a:solidFill>
                  <a:latin typeface="Tahoma"/>
                  <a:ea typeface="Tahoma"/>
                  <a:cs typeface="Tahoma"/>
                </a:rPr>
                <a:t>Print </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876300</xdr:colOff>
          <xdr:row>14</xdr:row>
          <xdr:rowOff>0</xdr:rowOff>
        </xdr:from>
        <xdr:to>
          <xdr:col>5</xdr:col>
          <xdr:colOff>1343025</xdr:colOff>
          <xdr:row>15</xdr:row>
          <xdr:rowOff>0</xdr:rowOff>
        </xdr:to>
        <xdr:sp macro="" textlink="">
          <xdr:nvSpPr>
            <xdr:cNvPr id="33832" name="Check Box 40" hidden="1">
              <a:extLst>
                <a:ext uri="{63B3BB69-23CF-44E3-9099-C40C66FF867C}">
                  <a14:compatExt spid="_x0000_s33832"/>
                </a:ext>
                <a:ext uri="{FF2B5EF4-FFF2-40B4-BE49-F238E27FC236}">
                  <a16:creationId xmlns:a16="http://schemas.microsoft.com/office/drawing/2014/main" id="{00000000-0008-0000-0000-00002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D" sz="800" b="0" i="0" u="none" strike="noStrike" baseline="0">
                  <a:solidFill>
                    <a:srgbClr val="000000"/>
                  </a:solidFill>
                  <a:latin typeface="Tahoma"/>
                  <a:ea typeface="Tahoma"/>
                  <a:cs typeface="Tahoma"/>
                </a:rPr>
                <a:t>Copy</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1628775</xdr:colOff>
          <xdr:row>13</xdr:row>
          <xdr:rowOff>219075</xdr:rowOff>
        </xdr:from>
        <xdr:to>
          <xdr:col>5</xdr:col>
          <xdr:colOff>2047875</xdr:colOff>
          <xdr:row>14</xdr:row>
          <xdr:rowOff>219075</xdr:rowOff>
        </xdr:to>
        <xdr:sp macro="" textlink="">
          <xdr:nvSpPr>
            <xdr:cNvPr id="33833" name="Check Box 41" hidden="1">
              <a:extLst>
                <a:ext uri="{63B3BB69-23CF-44E3-9099-C40C66FF867C}">
                  <a14:compatExt spid="_x0000_s33833"/>
                </a:ext>
                <a:ext uri="{FF2B5EF4-FFF2-40B4-BE49-F238E27FC236}">
                  <a16:creationId xmlns:a16="http://schemas.microsoft.com/office/drawing/2014/main" id="{00000000-0008-0000-0000-00002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D" sz="800" b="0" i="0" u="none" strike="noStrike" baseline="0">
                  <a:solidFill>
                    <a:srgbClr val="000000"/>
                  </a:solidFill>
                  <a:latin typeface="Tahoma"/>
                  <a:ea typeface="Tahoma"/>
                  <a:cs typeface="Tahoma"/>
                </a:rPr>
                <a:t>Fax</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200025</xdr:colOff>
          <xdr:row>14</xdr:row>
          <xdr:rowOff>0</xdr:rowOff>
        </xdr:from>
        <xdr:to>
          <xdr:col>6</xdr:col>
          <xdr:colOff>1371600</xdr:colOff>
          <xdr:row>15</xdr:row>
          <xdr:rowOff>0</xdr:rowOff>
        </xdr:to>
        <xdr:sp macro="" textlink="">
          <xdr:nvSpPr>
            <xdr:cNvPr id="33834" name="Check Box 42" hidden="1">
              <a:extLst>
                <a:ext uri="{63B3BB69-23CF-44E3-9099-C40C66FF867C}">
                  <a14:compatExt spid="_x0000_s33834"/>
                </a:ext>
                <a:ext uri="{FF2B5EF4-FFF2-40B4-BE49-F238E27FC236}">
                  <a16:creationId xmlns:a16="http://schemas.microsoft.com/office/drawing/2014/main" id="{00000000-0008-0000-0000-00002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D" sz="800" b="0" i="0" u="none" strike="noStrike" baseline="0">
                  <a:solidFill>
                    <a:srgbClr val="000000"/>
                  </a:solidFill>
                  <a:latin typeface="Tahoma"/>
                  <a:ea typeface="Tahoma"/>
                  <a:cs typeface="Tahoma"/>
                </a:rPr>
                <a:t>A3 / 11 x 17 printing</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1600200</xdr:colOff>
          <xdr:row>13</xdr:row>
          <xdr:rowOff>219075</xdr:rowOff>
        </xdr:from>
        <xdr:to>
          <xdr:col>6</xdr:col>
          <xdr:colOff>2524125</xdr:colOff>
          <xdr:row>15</xdr:row>
          <xdr:rowOff>9525</xdr:rowOff>
        </xdr:to>
        <xdr:sp macro="" textlink="">
          <xdr:nvSpPr>
            <xdr:cNvPr id="33837" name="Check Box 45" hidden="1">
              <a:extLst>
                <a:ext uri="{63B3BB69-23CF-44E3-9099-C40C66FF867C}">
                  <a14:compatExt spid="_x0000_s33837"/>
                </a:ext>
                <a:ext uri="{FF2B5EF4-FFF2-40B4-BE49-F238E27FC236}">
                  <a16:creationId xmlns:a16="http://schemas.microsoft.com/office/drawing/2014/main" id="{00000000-0008-0000-0000-00002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D" sz="800" b="0" i="0" u="none" strike="noStrike" baseline="0">
                  <a:solidFill>
                    <a:srgbClr val="000000"/>
                  </a:solidFill>
                  <a:latin typeface="Tahoma"/>
                  <a:ea typeface="Tahoma"/>
                  <a:cs typeface="Tahoma"/>
                </a:rPr>
                <a:t>Specialty/Other</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2266950</xdr:colOff>
          <xdr:row>13</xdr:row>
          <xdr:rowOff>209550</xdr:rowOff>
        </xdr:from>
        <xdr:to>
          <xdr:col>6</xdr:col>
          <xdr:colOff>95250</xdr:colOff>
          <xdr:row>15</xdr:row>
          <xdr:rowOff>19050</xdr:rowOff>
        </xdr:to>
        <xdr:sp macro="" textlink="">
          <xdr:nvSpPr>
            <xdr:cNvPr id="33841" name="Check Box 49" hidden="1">
              <a:extLst>
                <a:ext uri="{63B3BB69-23CF-44E3-9099-C40C66FF867C}">
                  <a14:compatExt spid="_x0000_s33841"/>
                </a:ext>
                <a:ext uri="{FF2B5EF4-FFF2-40B4-BE49-F238E27FC236}">
                  <a16:creationId xmlns:a16="http://schemas.microsoft.com/office/drawing/2014/main" id="{00000000-0008-0000-0000-00003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D" sz="800" b="0" i="0" u="none" strike="noStrike" baseline="0">
                  <a:solidFill>
                    <a:srgbClr val="000000"/>
                  </a:solidFill>
                  <a:latin typeface="Tahoma"/>
                  <a:ea typeface="Tahoma"/>
                  <a:cs typeface="Tahoma"/>
                </a:rPr>
                <a:t>Legal / 8.5x14</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2600325</xdr:colOff>
          <xdr:row>13</xdr:row>
          <xdr:rowOff>0</xdr:rowOff>
        </xdr:from>
        <xdr:to>
          <xdr:col>6</xdr:col>
          <xdr:colOff>0</xdr:colOff>
          <xdr:row>14</xdr:row>
          <xdr:rowOff>0</xdr:rowOff>
        </xdr:to>
        <xdr:sp macro="" textlink="">
          <xdr:nvSpPr>
            <xdr:cNvPr id="33901" name="Check Box 109" hidden="1">
              <a:extLst>
                <a:ext uri="{63B3BB69-23CF-44E3-9099-C40C66FF867C}">
                  <a14:compatExt spid="_x0000_s33901"/>
                </a:ext>
                <a:ext uri="{FF2B5EF4-FFF2-40B4-BE49-F238E27FC236}">
                  <a16:creationId xmlns:a16="http://schemas.microsoft.com/office/drawing/2014/main" id="{00000000-0008-0000-0000-00006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D" sz="800" b="0" i="0" u="none" strike="noStrike" baseline="0">
                  <a:solidFill>
                    <a:srgbClr val="000000"/>
                  </a:solidFill>
                  <a:latin typeface="Tahoma"/>
                  <a:ea typeface="Tahoma"/>
                  <a:cs typeface="Tahoma"/>
                </a:rPr>
                <a:t>Color</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257175</xdr:colOff>
          <xdr:row>23</xdr:row>
          <xdr:rowOff>57150</xdr:rowOff>
        </xdr:from>
        <xdr:to>
          <xdr:col>6</xdr:col>
          <xdr:colOff>885825</xdr:colOff>
          <xdr:row>23</xdr:row>
          <xdr:rowOff>257175</xdr:rowOff>
        </xdr:to>
        <xdr:sp macro="" textlink="">
          <xdr:nvSpPr>
            <xdr:cNvPr id="33932" name="Check Box 140" hidden="1">
              <a:extLst>
                <a:ext uri="{63B3BB69-23CF-44E3-9099-C40C66FF867C}">
                  <a14:compatExt spid="_x0000_s33932"/>
                </a:ext>
                <a:ext uri="{FF2B5EF4-FFF2-40B4-BE49-F238E27FC236}">
                  <a16:creationId xmlns:a16="http://schemas.microsoft.com/office/drawing/2014/main" id="{00000000-0008-0000-0000-00008C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D"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1419225</xdr:colOff>
          <xdr:row>23</xdr:row>
          <xdr:rowOff>47625</xdr:rowOff>
        </xdr:from>
        <xdr:to>
          <xdr:col>6</xdr:col>
          <xdr:colOff>2047875</xdr:colOff>
          <xdr:row>23</xdr:row>
          <xdr:rowOff>257175</xdr:rowOff>
        </xdr:to>
        <xdr:sp macro="" textlink="">
          <xdr:nvSpPr>
            <xdr:cNvPr id="33933" name="Check Box 141" hidden="1">
              <a:extLst>
                <a:ext uri="{63B3BB69-23CF-44E3-9099-C40C66FF867C}">
                  <a14:compatExt spid="_x0000_s33933"/>
                </a:ext>
                <a:ext uri="{FF2B5EF4-FFF2-40B4-BE49-F238E27FC236}">
                  <a16:creationId xmlns:a16="http://schemas.microsoft.com/office/drawing/2014/main" id="{00000000-0008-0000-0000-00008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ID" sz="800" b="0" i="0" u="none" strike="noStrike" baseline="0">
                  <a:solidFill>
                    <a:srgbClr val="000000"/>
                  </a:solidFill>
                  <a:latin typeface="Tahoma"/>
                  <a:ea typeface="Tahoma"/>
                  <a:cs typeface="Tahoma"/>
                </a:rPr>
                <a:t>   No</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4</xdr:col>
      <xdr:colOff>352425</xdr:colOff>
      <xdr:row>93</xdr:row>
      <xdr:rowOff>123826</xdr:rowOff>
    </xdr:from>
    <xdr:to>
      <xdr:col>4</xdr:col>
      <xdr:colOff>1033258</xdr:colOff>
      <xdr:row>102</xdr:row>
      <xdr:rowOff>28576</xdr:rowOff>
    </xdr:to>
    <xdr:pic>
      <xdr:nvPicPr>
        <xdr:cNvPr id="15" name="Picture 14">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1" cstate="print">
          <a:alphaModFix/>
          <a:extLst>
            <a:ext uri="{28A0092B-C50C-407E-A947-70E740481C1C}">
              <a14:useLocalDpi xmlns:a14="http://schemas.microsoft.com/office/drawing/2010/main" val="0"/>
            </a:ext>
          </a:extLst>
        </a:blip>
        <a:srcRect/>
        <a:stretch>
          <a:fillRect/>
        </a:stretch>
      </xdr:blipFill>
      <xdr:spPr bwMode="auto">
        <a:xfrm>
          <a:off x="6972300" y="17868901"/>
          <a:ext cx="680833" cy="1619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57150</xdr:rowOff>
    </xdr:from>
    <xdr:to>
      <xdr:col>2</xdr:col>
      <xdr:colOff>802606</xdr:colOff>
      <xdr:row>2</xdr:row>
      <xdr:rowOff>115303</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57150"/>
          <a:ext cx="1907506" cy="382003"/>
        </a:xfrm>
        <a:prstGeom prst="rect">
          <a:avLst/>
        </a:prstGeom>
      </xdr:spPr>
    </xdr:pic>
    <xdr:clientData/>
  </xdr:twoCellAnchor>
  <xdr:twoCellAnchor editAs="oneCell">
    <xdr:from>
      <xdr:col>4</xdr:col>
      <xdr:colOff>142875</xdr:colOff>
      <xdr:row>5</xdr:row>
      <xdr:rowOff>66675</xdr:rowOff>
    </xdr:from>
    <xdr:to>
      <xdr:col>4</xdr:col>
      <xdr:colOff>1295399</xdr:colOff>
      <xdr:row>10</xdr:row>
      <xdr:rowOff>104155</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62750" y="952500"/>
          <a:ext cx="1152524" cy="989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266701</xdr:colOff>
      <xdr:row>22</xdr:row>
      <xdr:rowOff>9525</xdr:rowOff>
    </xdr:from>
    <xdr:to>
      <xdr:col>4</xdr:col>
      <xdr:colOff>1176817</xdr:colOff>
      <xdr:row>26</xdr:row>
      <xdr:rowOff>161924</xdr:rowOff>
    </xdr:to>
    <xdr:pic>
      <xdr:nvPicPr>
        <xdr:cNvPr id="5" name="Picture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19926" y="4133850"/>
          <a:ext cx="910116" cy="914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361768</xdr:colOff>
      <xdr:row>28</xdr:row>
      <xdr:rowOff>57151</xdr:rowOff>
    </xdr:from>
    <xdr:to>
      <xdr:col>4</xdr:col>
      <xdr:colOff>1162050</xdr:colOff>
      <xdr:row>34</xdr:row>
      <xdr:rowOff>151848</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981643" y="4943476"/>
          <a:ext cx="800282" cy="12376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112083</xdr:colOff>
      <xdr:row>86</xdr:row>
      <xdr:rowOff>123826</xdr:rowOff>
    </xdr:from>
    <xdr:to>
      <xdr:col>4</xdr:col>
      <xdr:colOff>1162050</xdr:colOff>
      <xdr:row>94</xdr:row>
      <xdr:rowOff>8888</xdr:rowOff>
    </xdr:to>
    <xdr:pic>
      <xdr:nvPicPr>
        <xdr:cNvPr id="13" name="Picture 12">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731958" y="14439901"/>
          <a:ext cx="1049967" cy="14090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161149</xdr:colOff>
      <xdr:row>66</xdr:row>
      <xdr:rowOff>123825</xdr:rowOff>
    </xdr:from>
    <xdr:to>
      <xdr:col>4</xdr:col>
      <xdr:colOff>1152525</xdr:colOff>
      <xdr:row>73</xdr:row>
      <xdr:rowOff>84261</xdr:rowOff>
    </xdr:to>
    <xdr:pic>
      <xdr:nvPicPr>
        <xdr:cNvPr id="14" name="Pictur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7"/>
        <a:stretch>
          <a:fillRect/>
        </a:stretch>
      </xdr:blipFill>
      <xdr:spPr>
        <a:xfrm>
          <a:off x="6781024" y="12153900"/>
          <a:ext cx="991376" cy="1293936"/>
        </a:xfrm>
        <a:prstGeom prst="rect">
          <a:avLst/>
        </a:prstGeom>
      </xdr:spPr>
    </xdr:pic>
    <xdr:clientData/>
  </xdr:twoCellAnchor>
  <xdr:twoCellAnchor editAs="oneCell">
    <xdr:from>
      <xdr:col>4</xdr:col>
      <xdr:colOff>142875</xdr:colOff>
      <xdr:row>76</xdr:row>
      <xdr:rowOff>149757</xdr:rowOff>
    </xdr:from>
    <xdr:to>
      <xdr:col>4</xdr:col>
      <xdr:colOff>1143000</xdr:colOff>
      <xdr:row>84</xdr:row>
      <xdr:rowOff>9524</xdr:rowOff>
    </xdr:to>
    <xdr:pic>
      <xdr:nvPicPr>
        <xdr:cNvPr id="16" name="Picture 15">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762750" y="13894332"/>
          <a:ext cx="1000125" cy="13837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359881</xdr:colOff>
      <xdr:row>12</xdr:row>
      <xdr:rowOff>57152</xdr:rowOff>
    </xdr:from>
    <xdr:to>
      <xdr:col>4</xdr:col>
      <xdr:colOff>1028699</xdr:colOff>
      <xdr:row>20</xdr:row>
      <xdr:rowOff>123826</xdr:rowOff>
    </xdr:to>
    <xdr:pic>
      <xdr:nvPicPr>
        <xdr:cNvPr id="17" name="Picture 16">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979756" y="2085977"/>
          <a:ext cx="668818" cy="15906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80098</xdr:colOff>
      <xdr:row>37</xdr:row>
      <xdr:rowOff>66677</xdr:rowOff>
    </xdr:from>
    <xdr:to>
      <xdr:col>4</xdr:col>
      <xdr:colOff>1200150</xdr:colOff>
      <xdr:row>44</xdr:row>
      <xdr:rowOff>66675</xdr:rowOff>
    </xdr:to>
    <xdr:pic>
      <xdr:nvPicPr>
        <xdr:cNvPr id="18" name="Picture 17">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699973" y="6477002"/>
          <a:ext cx="1120052" cy="13334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76200</xdr:colOff>
      <xdr:row>47</xdr:row>
      <xdr:rowOff>38100</xdr:rowOff>
    </xdr:from>
    <xdr:to>
      <xdr:col>4</xdr:col>
      <xdr:colOff>1196252</xdr:colOff>
      <xdr:row>54</xdr:row>
      <xdr:rowOff>38098</xdr:rowOff>
    </xdr:to>
    <xdr:pic>
      <xdr:nvPicPr>
        <xdr:cNvPr id="19" name="Picture 18">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696075" y="8353425"/>
          <a:ext cx="1120052" cy="13334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123825</xdr:colOff>
      <xdr:row>57</xdr:row>
      <xdr:rowOff>47625</xdr:rowOff>
    </xdr:from>
    <xdr:to>
      <xdr:col>4</xdr:col>
      <xdr:colOff>1243877</xdr:colOff>
      <xdr:row>64</xdr:row>
      <xdr:rowOff>47623</xdr:rowOff>
    </xdr:to>
    <xdr:pic>
      <xdr:nvPicPr>
        <xdr:cNvPr id="20" name="Picture 19">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743700" y="10267950"/>
          <a:ext cx="1120052" cy="13334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171450</xdr:colOff>
      <xdr:row>103</xdr:row>
      <xdr:rowOff>180975</xdr:rowOff>
    </xdr:from>
    <xdr:to>
      <xdr:col>4</xdr:col>
      <xdr:colOff>1139887</xdr:colOff>
      <xdr:row>108</xdr:row>
      <xdr:rowOff>133200</xdr:rowOff>
    </xdr:to>
    <xdr:pic>
      <xdr:nvPicPr>
        <xdr:cNvPr id="21" name="Picture 20">
          <a:extLst>
            <a:ext uri="{FF2B5EF4-FFF2-40B4-BE49-F238E27FC236}">
              <a16:creationId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791325" y="18973800"/>
          <a:ext cx="968437" cy="819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10</xdr:row>
      <xdr:rowOff>0</xdr:rowOff>
    </xdr:from>
    <xdr:to>
      <xdr:col>2</xdr:col>
      <xdr:colOff>28575</xdr:colOff>
      <xdr:row>10</xdr:row>
      <xdr:rowOff>28575</xdr:rowOff>
    </xdr:to>
    <xdr:pic>
      <xdr:nvPicPr>
        <xdr:cNvPr id="22" name="Picture 2">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12" r:link="rId13" cstate="print">
          <a:extLst>
            <a:ext uri="{28A0092B-C50C-407E-A947-70E740481C1C}">
              <a14:useLocalDpi xmlns:a14="http://schemas.microsoft.com/office/drawing/2010/main" val="0"/>
            </a:ext>
          </a:extLst>
        </a:blip>
        <a:srcRect/>
        <a:stretch>
          <a:fillRect/>
        </a:stretch>
      </xdr:blipFill>
      <xdr:spPr bwMode="auto">
        <a:xfrm>
          <a:off x="1104900" y="1838325"/>
          <a:ext cx="28575" cy="2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361950</xdr:colOff>
      <xdr:row>1</xdr:row>
      <xdr:rowOff>0</xdr:rowOff>
    </xdr:from>
    <xdr:to>
      <xdr:col>0</xdr:col>
      <xdr:colOff>2500833</xdr:colOff>
      <xdr:row>1</xdr:row>
      <xdr:rowOff>438150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1950" y="333375"/>
          <a:ext cx="2138883" cy="4381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390525</xdr:colOff>
      <xdr:row>2</xdr:row>
      <xdr:rowOff>704850</xdr:rowOff>
    </xdr:from>
    <xdr:to>
      <xdr:col>0</xdr:col>
      <xdr:colOff>1181101</xdr:colOff>
      <xdr:row>2</xdr:row>
      <xdr:rowOff>1581151</xdr:rowOff>
    </xdr:to>
    <xdr:pic>
      <xdr:nvPicPr>
        <xdr:cNvPr id="16" name="Picture 15">
          <a:extLst>
            <a:ext uri="{FF2B5EF4-FFF2-40B4-BE49-F238E27FC236}">
              <a16:creationId xmlns:a16="http://schemas.microsoft.com/office/drawing/2014/main" id="{00000000-0008-0000-0500-000010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4057" t="1" r="17309" b="-3448"/>
        <a:stretch/>
      </xdr:blipFill>
      <xdr:spPr bwMode="auto">
        <a:xfrm>
          <a:off x="390525" y="1028700"/>
          <a:ext cx="790576" cy="8763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447675</xdr:colOff>
      <xdr:row>3</xdr:row>
      <xdr:rowOff>123825</xdr:rowOff>
    </xdr:from>
    <xdr:to>
      <xdr:col>0</xdr:col>
      <xdr:colOff>1152525</xdr:colOff>
      <xdr:row>3</xdr:row>
      <xdr:rowOff>1541780</xdr:rowOff>
    </xdr:to>
    <xdr:pic>
      <xdr:nvPicPr>
        <xdr:cNvPr id="17" name="Picture 16">
          <a:extLst>
            <a:ext uri="{FF2B5EF4-FFF2-40B4-BE49-F238E27FC236}">
              <a16:creationId xmlns:a16="http://schemas.microsoft.com/office/drawing/2014/main" id="{00000000-0008-0000-0500-000011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7675" y="2066925"/>
          <a:ext cx="704850" cy="1417955"/>
        </a:xfrm>
        <a:prstGeom prst="rect">
          <a:avLst/>
        </a:prstGeom>
        <a:noFill/>
      </xdr:spPr>
    </xdr:pic>
    <xdr:clientData/>
  </xdr:twoCellAnchor>
  <xdr:twoCellAnchor editAs="absolute">
    <xdr:from>
      <xdr:col>0</xdr:col>
      <xdr:colOff>314325</xdr:colOff>
      <xdr:row>4</xdr:row>
      <xdr:rowOff>133350</xdr:rowOff>
    </xdr:from>
    <xdr:to>
      <xdr:col>0</xdr:col>
      <xdr:colOff>1183005</xdr:colOff>
      <xdr:row>4</xdr:row>
      <xdr:rowOff>1572895</xdr:rowOff>
    </xdr:to>
    <xdr:pic>
      <xdr:nvPicPr>
        <xdr:cNvPr id="18" name="Picture 17">
          <a:extLst>
            <a:ext uri="{FF2B5EF4-FFF2-40B4-BE49-F238E27FC236}">
              <a16:creationId xmlns:a16="http://schemas.microsoft.com/office/drawing/2014/main" id="{00000000-0008-0000-0500-000012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14325" y="3695700"/>
          <a:ext cx="868680" cy="1439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171450</xdr:colOff>
      <xdr:row>5</xdr:row>
      <xdr:rowOff>95250</xdr:rowOff>
    </xdr:from>
    <xdr:to>
      <xdr:col>0</xdr:col>
      <xdr:colOff>1264285</xdr:colOff>
      <xdr:row>5</xdr:row>
      <xdr:rowOff>1544320</xdr:rowOff>
    </xdr:to>
    <xdr:pic>
      <xdr:nvPicPr>
        <xdr:cNvPr id="19" name="Picture 18">
          <a:extLst>
            <a:ext uri="{FF2B5EF4-FFF2-40B4-BE49-F238E27FC236}">
              <a16:creationId xmlns:a16="http://schemas.microsoft.com/office/drawing/2014/main" id="{00000000-0008-0000-0500-000013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1450" y="5276850"/>
          <a:ext cx="1092835" cy="1449070"/>
        </a:xfrm>
        <a:prstGeom prst="rect">
          <a:avLst/>
        </a:prstGeom>
        <a:noFill/>
      </xdr:spPr>
    </xdr:pic>
    <xdr:clientData/>
  </xdr:twoCellAnchor>
  <xdr:twoCellAnchor editAs="absolute">
    <xdr:from>
      <xdr:col>0</xdr:col>
      <xdr:colOff>352425</xdr:colOff>
      <xdr:row>6</xdr:row>
      <xdr:rowOff>742950</xdr:rowOff>
    </xdr:from>
    <xdr:to>
      <xdr:col>0</xdr:col>
      <xdr:colOff>1190625</xdr:colOff>
      <xdr:row>6</xdr:row>
      <xdr:rowOff>1581150</xdr:rowOff>
    </xdr:to>
    <xdr:pic>
      <xdr:nvPicPr>
        <xdr:cNvPr id="20" name="Picture 19" descr="Ricoh Maintenance Kit for SP 6430dn #407512">
          <a:extLst>
            <a:ext uri="{FF2B5EF4-FFF2-40B4-BE49-F238E27FC236}">
              <a16:creationId xmlns:a16="http://schemas.microsoft.com/office/drawing/2014/main" id="{00000000-0008-0000-0500-000014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2425" y="7543800"/>
          <a:ext cx="838200"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371475</xdr:colOff>
      <xdr:row>7</xdr:row>
      <xdr:rowOff>647700</xdr:rowOff>
    </xdr:from>
    <xdr:to>
      <xdr:col>0</xdr:col>
      <xdr:colOff>1209675</xdr:colOff>
      <xdr:row>7</xdr:row>
      <xdr:rowOff>1543049</xdr:rowOff>
    </xdr:to>
    <xdr:pic>
      <xdr:nvPicPr>
        <xdr:cNvPr id="21" name="Picture 20">
          <a:extLst>
            <a:ext uri="{FF2B5EF4-FFF2-40B4-BE49-F238E27FC236}">
              <a16:creationId xmlns:a16="http://schemas.microsoft.com/office/drawing/2014/main" id="{00000000-0008-0000-0500-000015000000}"/>
            </a:ext>
          </a:extLst>
        </xdr:cNvPr>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7657" t="-1" r="9063" b="9934"/>
        <a:stretch/>
      </xdr:blipFill>
      <xdr:spPr bwMode="auto">
        <a:xfrm>
          <a:off x="371475" y="9067800"/>
          <a:ext cx="838200" cy="895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381000</xdr:colOff>
      <xdr:row>8</xdr:row>
      <xdr:rowOff>438150</xdr:rowOff>
    </xdr:from>
    <xdr:to>
      <xdr:col>0</xdr:col>
      <xdr:colOff>1218565</xdr:colOff>
      <xdr:row>8</xdr:row>
      <xdr:rowOff>1551940</xdr:rowOff>
    </xdr:to>
    <xdr:pic>
      <xdr:nvPicPr>
        <xdr:cNvPr id="23" name="Picture 22">
          <a:extLst>
            <a:ext uri="{FF2B5EF4-FFF2-40B4-BE49-F238E27FC236}">
              <a16:creationId xmlns:a16="http://schemas.microsoft.com/office/drawing/2014/main" id="{00000000-0008-0000-0500-00001700000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81000" y="10477500"/>
          <a:ext cx="837565" cy="11137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104775</xdr:colOff>
      <xdr:row>9</xdr:row>
      <xdr:rowOff>133350</xdr:rowOff>
    </xdr:from>
    <xdr:to>
      <xdr:col>0</xdr:col>
      <xdr:colOff>1336675</xdr:colOff>
      <xdr:row>9</xdr:row>
      <xdr:rowOff>1570990</xdr:rowOff>
    </xdr:to>
    <xdr:pic>
      <xdr:nvPicPr>
        <xdr:cNvPr id="24" name="Picture 23">
          <a:extLst>
            <a:ext uri="{FF2B5EF4-FFF2-40B4-BE49-F238E27FC236}">
              <a16:creationId xmlns:a16="http://schemas.microsoft.com/office/drawing/2014/main" id="{00000000-0008-0000-0500-00001800000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4775" y="11791950"/>
          <a:ext cx="1231900" cy="1437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104775</xdr:colOff>
      <xdr:row>10</xdr:row>
      <xdr:rowOff>123825</xdr:rowOff>
    </xdr:from>
    <xdr:to>
      <xdr:col>0</xdr:col>
      <xdr:colOff>1323974</xdr:colOff>
      <xdr:row>10</xdr:row>
      <xdr:rowOff>1581150</xdr:rowOff>
    </xdr:to>
    <xdr:pic>
      <xdr:nvPicPr>
        <xdr:cNvPr id="25" name="Picture 24">
          <a:extLst>
            <a:ext uri="{FF2B5EF4-FFF2-40B4-BE49-F238E27FC236}">
              <a16:creationId xmlns:a16="http://schemas.microsoft.com/office/drawing/2014/main" id="{00000000-0008-0000-0500-000019000000}"/>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4775" y="13401675"/>
          <a:ext cx="1219199" cy="1457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114300</xdr:colOff>
      <xdr:row>11</xdr:row>
      <xdr:rowOff>152400</xdr:rowOff>
    </xdr:from>
    <xdr:to>
      <xdr:col>0</xdr:col>
      <xdr:colOff>1322070</xdr:colOff>
      <xdr:row>11</xdr:row>
      <xdr:rowOff>1561465</xdr:rowOff>
    </xdr:to>
    <xdr:pic>
      <xdr:nvPicPr>
        <xdr:cNvPr id="26" name="Picture 25">
          <a:extLst>
            <a:ext uri="{FF2B5EF4-FFF2-40B4-BE49-F238E27FC236}">
              <a16:creationId xmlns:a16="http://schemas.microsoft.com/office/drawing/2014/main" id="{00000000-0008-0000-0500-00001A00000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14300" y="15049500"/>
          <a:ext cx="1207770" cy="14090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133350</xdr:colOff>
      <xdr:row>12</xdr:row>
      <xdr:rowOff>180975</xdr:rowOff>
    </xdr:from>
    <xdr:to>
      <xdr:col>0</xdr:col>
      <xdr:colOff>1306830</xdr:colOff>
      <xdr:row>12</xdr:row>
      <xdr:rowOff>1565275</xdr:rowOff>
    </xdr:to>
    <xdr:pic>
      <xdr:nvPicPr>
        <xdr:cNvPr id="27" name="Picture 26">
          <a:extLst>
            <a:ext uri="{FF2B5EF4-FFF2-40B4-BE49-F238E27FC236}">
              <a16:creationId xmlns:a16="http://schemas.microsoft.com/office/drawing/2014/main" id="{00000000-0008-0000-0500-00001B000000}"/>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33350" y="16697325"/>
          <a:ext cx="1173480" cy="1384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390525</xdr:colOff>
      <xdr:row>13</xdr:row>
      <xdr:rowOff>47625</xdr:rowOff>
    </xdr:from>
    <xdr:to>
      <xdr:col>0</xdr:col>
      <xdr:colOff>1143000</xdr:colOff>
      <xdr:row>13</xdr:row>
      <xdr:rowOff>1579245</xdr:rowOff>
    </xdr:to>
    <xdr:pic>
      <xdr:nvPicPr>
        <xdr:cNvPr id="28" name="Picture 27">
          <a:extLst>
            <a:ext uri="{FF2B5EF4-FFF2-40B4-BE49-F238E27FC236}">
              <a16:creationId xmlns:a16="http://schemas.microsoft.com/office/drawing/2014/main" id="{00000000-0008-0000-0500-00001C000000}"/>
            </a:ext>
          </a:extLst>
        </xdr:cNvPr>
        <xdr:cNvPicPr/>
      </xdr:nvPicPr>
      <xdr:blipFill rotWithShape="1">
        <a:blip xmlns:r="http://schemas.openxmlformats.org/officeDocument/2006/relationships" r:embed="rId12" cstate="print">
          <a:alphaModFix/>
          <a:extLst>
            <a:ext uri="{28A0092B-C50C-407E-A947-70E740481C1C}">
              <a14:useLocalDpi xmlns:a14="http://schemas.microsoft.com/office/drawing/2010/main" val="0"/>
            </a:ext>
          </a:extLst>
        </a:blip>
        <a:srcRect t="17875" r="3580"/>
        <a:stretch/>
      </xdr:blipFill>
      <xdr:spPr bwMode="auto">
        <a:xfrm>
          <a:off x="390525" y="18183225"/>
          <a:ext cx="752475" cy="1531620"/>
        </a:xfrm>
        <a:prstGeom prst="rect">
          <a:avLst/>
        </a:prstGeom>
        <a:noFill/>
      </xdr:spPr>
    </xdr:pic>
    <xdr:clientData/>
  </xdr:twoCellAnchor>
  <xdr:twoCellAnchor editAs="absolute">
    <xdr:from>
      <xdr:col>0</xdr:col>
      <xdr:colOff>352425</xdr:colOff>
      <xdr:row>14</xdr:row>
      <xdr:rowOff>723900</xdr:rowOff>
    </xdr:from>
    <xdr:to>
      <xdr:col>0</xdr:col>
      <xdr:colOff>1171575</xdr:colOff>
      <xdr:row>14</xdr:row>
      <xdr:rowOff>1580514</xdr:rowOff>
    </xdr:to>
    <xdr:pic>
      <xdr:nvPicPr>
        <xdr:cNvPr id="29" name="Picture 28">
          <a:extLst>
            <a:ext uri="{FF2B5EF4-FFF2-40B4-BE49-F238E27FC236}">
              <a16:creationId xmlns:a16="http://schemas.microsoft.com/office/drawing/2014/main" id="{00000000-0008-0000-0500-00001D000000}"/>
            </a:ext>
          </a:extLst>
        </xdr:cNvPr>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2821" t="5267" r="13676"/>
        <a:stretch/>
      </xdr:blipFill>
      <xdr:spPr bwMode="auto">
        <a:xfrm>
          <a:off x="352425" y="20478750"/>
          <a:ext cx="819150" cy="8566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3</xdr:col>
          <xdr:colOff>590550</xdr:colOff>
          <xdr:row>7</xdr:row>
          <xdr:rowOff>923925</xdr:rowOff>
        </xdr:from>
        <xdr:to>
          <xdr:col>4</xdr:col>
          <xdr:colOff>800100</xdr:colOff>
          <xdr:row>8</xdr:row>
          <xdr:rowOff>933450</xdr:rowOff>
        </xdr:to>
        <xdr:pic>
          <xdr:nvPicPr>
            <xdr:cNvPr id="31" name="Picture 30">
              <a:extLst>
                <a:ext uri="{FF2B5EF4-FFF2-40B4-BE49-F238E27FC236}">
                  <a16:creationId xmlns:a16="http://schemas.microsoft.com/office/drawing/2014/main" id="{00000000-0008-0000-0500-00001F000000}"/>
                </a:ext>
              </a:extLst>
            </xdr:cNvPr>
            <xdr:cNvPicPr>
              <a:picLocks noChangeAspect="1" noChangeArrowheads="1"/>
              <a:extLst>
                <a:ext uri="{84589F7E-364E-4C9E-8A38-B11213B215E9}">
                  <a14:cameraTool cellRange="$A$4" spid="_x0000_s37036"/>
                </a:ext>
              </a:extLst>
            </xdr:cNvPicPr>
          </xdr:nvPicPr>
          <xdr:blipFill>
            <a:blip xmlns:r="http://schemas.openxmlformats.org/officeDocument/2006/relationships" r:embed="rId14"/>
            <a:srcRect/>
            <a:stretch>
              <a:fillRect/>
            </a:stretch>
          </xdr:blipFill>
          <xdr:spPr bwMode="auto">
            <a:xfrm>
              <a:off x="4514850" y="9344025"/>
              <a:ext cx="1485900" cy="162877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KLON01RFP001\Departments\DOCUME~1\HamishP\LOCALS~1\Temp\C.Notes.Data\~833045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KLON01RFP001\Departments\The%20OST\Customer%20Support\CSC%20Templates\Contact%20List\Contact%20List%20Templat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KLON01RFP001\Departments\PRICE%20MANAGEMENT\01%20Deals\De%20Lage%20Landen%20(Rabobank%20Group)\04%20Misc\03_RGSE_Pricing%20Template_New%20TenderDL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KLON01RFP001\Departments\DOCUME~1\HamishP\LOCALS~1\Temp\C.Notes.Data\~360030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KLON01RFP001\Departments\DOCUME~1\LAVAUDf\LOCALS~1\Temp\C.Lotus.Notes.Data\10523%20Townhall%20of%20Paris%2003-08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UKLON01RFP001\Departments\PRICE%20MANAGEMENT\01%20Deals\CSM\CSM%20OA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UKLON01RFP001\Departments\Busdev\PRICE%20MANAGEMENT\01%20Deals\Santander\05%20Misc\01_RGSE_Pricing%20Template_New%20Tender_Sept0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UKLON01RFP001\Departments\WINNT\Profiles\rgelderblom\Personal\prices\pric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KLON01RFP001\Departments\PRICE%20MANAGEMENT\01%20Deals\De%20Lage%20Landen%20(Rabobank%20Group)\01%20Internal%20Pricing\A01%20De%20Lage%20Landen%20(Rabobank%20Group)%20Internal%20Pricing%2007-01-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UKLON01RFP001\Departments\Busdev\PRICE%20MANAGEMENT\02%20Tools%20&amp;%20Templates\04%20Development\06%20Standard%20Price%20list\05%20Sep%202008\01%20Calculation%20File\Standard_Price_List_Calculation_File_18-09-0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KLON01RFP001\Departments\temp\notesFFF692\MICHELIN%20V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KLON01RFP001\Departments\PRICE%20MANAGEMENT\01%20Deals\Oerlikon\01%20Internal%20Pricing\A01%20Oerlikon%20Internal%20pricing%2016-05-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KLON01RFP001\Departments\98ACTISU\MTP\MTPUPP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UKLON01RFP001\Departments\WINNT\Profiles\rgelderblom\Personal\prices\00-2\upp-mtp.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UKLON01RFP001\Departments\WINNT\Profiles\rgelderblom\Personal\prices\00-1\upp-mtp\rau.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UKLON01RFP001\Departments\Documents%20and%20Settings\&#24029;&#23798;&#27888;&#27491;\My%20Documents\RICOH\GPRICE\&#38283;&#30330;\20060317%20Excel&#35336;&#31639;&#2433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agcompany-my.sharepoint.com/Users/crbrooks/AppData/Local/Temp/notesC7A056/Equipment%20Relocation%20Request_10_24_2016.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UKLON01RFP001\Departments\Busdev\PRICE%20MANAGEMENT\Suez%20-%20GDF\01%20Internal%20Pricing\A01%20GDF-Suez%20Internal%20Pricing%2023-1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KLON01RFP001\Departments\PRICE%20MANAGEMENT\01%20Deals\Continental\01%20Internal%20Pricing\A03%20Continental%20-%20Internal%20Pricing%2025-08-06%20AM%20&amp;%20APAC.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KLON01RFP001\Departments\SHEETS\Oracle%20Folder\_PriceTemplateNew%20TEST%20ONLY%20-%20DO%20NOT%20USE-07-01-200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KLON01RFP001\Departments\WINNT\Profiles\rgelderblom\Personal\prices\00-I\upp-mtp\RSC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KLON01RFP001\Departments\PRICE%20MANAGEMENT\01%20Deals\De%20Lage%20Landen%20(Rabobank%20Group)\04%20Misc\OAA%20De%20Lage%20Landen%20(Rabobank%20Grou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KLON01RFP001\Departments\MTP_UPP_List\Price-change_01-10-2003\Calculation%20Files\price%20check.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GK-Kalkulation1"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COD%20DNCS\MICHELIN%202009\1-%20Avant-Projet\1.2%20Etude\0.1%20Archives\P&amp;L%20DGA%20BEFORE%20support%20V6.5%20Michelin%20New%20Print%20Polic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Recap"/>
      <sheetName val="US Price List"/>
      <sheetName val="Canada Price List"/>
      <sheetName val="Latin America Price List"/>
      <sheetName val="Europe Price List"/>
      <sheetName val="Asia Pacific Price List"/>
      <sheetName val="Reference Data"/>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L RFG raw"/>
      <sheetName val="Internal Contact list RFG"/>
      <sheetName val="CLC RFG raw"/>
      <sheetName val="Contact List For Customers"/>
      <sheetName val="Customer Contact list &amp; Sites "/>
      <sheetName val="Customer Contact list &amp; Sit (2)"/>
    </sheetNames>
    <sheetDataSet>
      <sheetData sheetId="0">
        <row r="3">
          <cell r="A3" t="str">
            <v>Algeria</v>
          </cell>
        </row>
        <row r="4">
          <cell r="A4" t="str">
            <v>Algeria</v>
          </cell>
        </row>
        <row r="5">
          <cell r="A5" t="str">
            <v>Angola</v>
          </cell>
        </row>
        <row r="6">
          <cell r="A6" t="str">
            <v>Angola</v>
          </cell>
        </row>
        <row r="7">
          <cell r="A7" t="str">
            <v xml:space="preserve">Any </v>
          </cell>
        </row>
        <row r="8">
          <cell r="A8" t="str">
            <v>Austria</v>
          </cell>
        </row>
        <row r="9">
          <cell r="A9" t="str">
            <v>Azerbaijan</v>
          </cell>
        </row>
        <row r="10">
          <cell r="A10" t="str">
            <v>Azerbaijan</v>
          </cell>
        </row>
        <row r="11">
          <cell r="A11" t="str">
            <v>Belarus</v>
          </cell>
        </row>
        <row r="12">
          <cell r="A12" t="str">
            <v>Belarus</v>
          </cell>
        </row>
        <row r="13">
          <cell r="A13" t="str">
            <v>Belgium</v>
          </cell>
        </row>
        <row r="14">
          <cell r="A14" t="str">
            <v>Belgium</v>
          </cell>
        </row>
        <row r="15">
          <cell r="A15" t="str">
            <v>Benin</v>
          </cell>
        </row>
        <row r="16">
          <cell r="A16" t="str">
            <v>Benin</v>
          </cell>
        </row>
        <row r="17">
          <cell r="A17" t="str">
            <v>Bosnia And Herzegowina</v>
          </cell>
        </row>
        <row r="18">
          <cell r="A18" t="str">
            <v>Bosnia And Herzegowina</v>
          </cell>
        </row>
        <row r="19">
          <cell r="A19" t="str">
            <v>Botswana</v>
          </cell>
        </row>
        <row r="20">
          <cell r="A20" t="str">
            <v>Botswana</v>
          </cell>
        </row>
        <row r="21">
          <cell r="A21" t="str">
            <v>Bulgaria</v>
          </cell>
        </row>
        <row r="22">
          <cell r="A22" t="str">
            <v>Bulgaria</v>
          </cell>
        </row>
        <row r="23">
          <cell r="A23" t="str">
            <v>Bulgaria</v>
          </cell>
        </row>
        <row r="24">
          <cell r="A24" t="str">
            <v>Burkinafaso</v>
          </cell>
        </row>
        <row r="25">
          <cell r="A25" t="str">
            <v>Burkinafaso</v>
          </cell>
        </row>
        <row r="26">
          <cell r="A26" t="str">
            <v>Cameroon</v>
          </cell>
        </row>
        <row r="27">
          <cell r="A27" t="str">
            <v>Cameroun</v>
          </cell>
        </row>
        <row r="28">
          <cell r="A28" t="str">
            <v>Central African Republic</v>
          </cell>
        </row>
        <row r="29">
          <cell r="A29" t="str">
            <v>Central African Republic</v>
          </cell>
        </row>
        <row r="30">
          <cell r="A30" t="str">
            <v>Cote D'ivoire</v>
          </cell>
        </row>
        <row r="31">
          <cell r="A31" t="str">
            <v>Cote D'ivoire</v>
          </cell>
        </row>
        <row r="32">
          <cell r="A32" t="str">
            <v>Croatia</v>
          </cell>
        </row>
        <row r="33">
          <cell r="A33" t="str">
            <v>Croatia</v>
          </cell>
        </row>
        <row r="34">
          <cell r="A34" t="str">
            <v>Cyprus</v>
          </cell>
        </row>
        <row r="35">
          <cell r="A35" t="str">
            <v>Cyprus</v>
          </cell>
        </row>
        <row r="36">
          <cell r="A36" t="str">
            <v>Cyprus</v>
          </cell>
        </row>
        <row r="37">
          <cell r="A37" t="str">
            <v>Czech Republic</v>
          </cell>
        </row>
        <row r="38">
          <cell r="A38" t="str">
            <v>Czech Republic</v>
          </cell>
        </row>
        <row r="39">
          <cell r="A39" t="str">
            <v>Denmark</v>
          </cell>
        </row>
        <row r="40">
          <cell r="A40" t="str">
            <v>Djibouti</v>
          </cell>
        </row>
        <row r="41">
          <cell r="A41" t="str">
            <v>Djibouti</v>
          </cell>
        </row>
        <row r="42">
          <cell r="A42" t="str">
            <v>Egypt</v>
          </cell>
        </row>
        <row r="43">
          <cell r="A43" t="str">
            <v>Egypt</v>
          </cell>
        </row>
        <row r="44">
          <cell r="A44" t="str">
            <v>Estonia</v>
          </cell>
        </row>
        <row r="45">
          <cell r="A45" t="str">
            <v>Estonia</v>
          </cell>
        </row>
        <row r="46">
          <cell r="A46" t="str">
            <v>Ethiopia</v>
          </cell>
        </row>
        <row r="47">
          <cell r="A47" t="str">
            <v>Ethiopia</v>
          </cell>
        </row>
        <row r="48">
          <cell r="A48" t="str">
            <v>Finland</v>
          </cell>
        </row>
        <row r="49">
          <cell r="A49" t="str">
            <v>Finland</v>
          </cell>
        </row>
        <row r="50">
          <cell r="A50" t="str">
            <v>Finland</v>
          </cell>
        </row>
        <row r="51">
          <cell r="A51" t="str">
            <v>France</v>
          </cell>
        </row>
        <row r="52">
          <cell r="A52" t="str">
            <v>France</v>
          </cell>
        </row>
        <row r="53">
          <cell r="A53" t="str">
            <v>Gabon</v>
          </cell>
        </row>
        <row r="54">
          <cell r="A54" t="str">
            <v>Gabon</v>
          </cell>
        </row>
        <row r="55">
          <cell r="A55" t="str">
            <v>Germany</v>
          </cell>
        </row>
        <row r="56">
          <cell r="A56" t="str">
            <v>Germany</v>
          </cell>
        </row>
        <row r="57">
          <cell r="A57" t="str">
            <v>Gibraltar</v>
          </cell>
        </row>
        <row r="58">
          <cell r="A58" t="str">
            <v>Gibraltar</v>
          </cell>
        </row>
        <row r="59">
          <cell r="A59" t="str">
            <v>Greece</v>
          </cell>
        </row>
        <row r="60">
          <cell r="A60" t="str">
            <v>Greece</v>
          </cell>
        </row>
        <row r="61">
          <cell r="A61" t="str">
            <v>Hungary</v>
          </cell>
        </row>
        <row r="62">
          <cell r="A62" t="str">
            <v>Hungary</v>
          </cell>
        </row>
        <row r="63">
          <cell r="A63" t="str">
            <v>Hungary</v>
          </cell>
        </row>
        <row r="64">
          <cell r="A64" t="str">
            <v>Iceland</v>
          </cell>
        </row>
        <row r="65">
          <cell r="A65" t="str">
            <v>Iceland</v>
          </cell>
        </row>
        <row r="66">
          <cell r="A66" t="str">
            <v>Ireland</v>
          </cell>
        </row>
        <row r="67">
          <cell r="A67" t="str">
            <v xml:space="preserve">Ireland </v>
          </cell>
        </row>
        <row r="68">
          <cell r="A68" t="str">
            <v xml:space="preserve">Ireland </v>
          </cell>
        </row>
        <row r="69">
          <cell r="A69" t="str">
            <v>Israel</v>
          </cell>
        </row>
        <row r="70">
          <cell r="A70" t="str">
            <v>Israel</v>
          </cell>
        </row>
        <row r="71">
          <cell r="A71" t="str">
            <v>Israel</v>
          </cell>
        </row>
        <row r="72">
          <cell r="A72" t="str">
            <v>Italy</v>
          </cell>
        </row>
        <row r="73">
          <cell r="A73" t="str">
            <v>Italy</v>
          </cell>
        </row>
        <row r="74">
          <cell r="A74" t="str">
            <v>Italy</v>
          </cell>
        </row>
        <row r="75">
          <cell r="A75" t="str">
            <v>Kazakhstan</v>
          </cell>
        </row>
        <row r="76">
          <cell r="A76" t="str">
            <v>Kazakhstan</v>
          </cell>
        </row>
        <row r="77">
          <cell r="A77" t="str">
            <v>Kenya</v>
          </cell>
        </row>
        <row r="78">
          <cell r="A78" t="str">
            <v>Kenya</v>
          </cell>
        </row>
        <row r="79">
          <cell r="A79" t="str">
            <v>Kuwait</v>
          </cell>
        </row>
        <row r="80">
          <cell r="A80" t="str">
            <v>Kuwait</v>
          </cell>
        </row>
        <row r="81">
          <cell r="A81" t="str">
            <v>Latvia</v>
          </cell>
        </row>
        <row r="82">
          <cell r="A82" t="str">
            <v>Latvia</v>
          </cell>
        </row>
        <row r="83">
          <cell r="A83" t="str">
            <v>Lebanon</v>
          </cell>
        </row>
        <row r="84">
          <cell r="A84" t="str">
            <v>Lebanon</v>
          </cell>
        </row>
        <row r="85">
          <cell r="A85" t="str">
            <v>Lithuania</v>
          </cell>
        </row>
        <row r="86">
          <cell r="A86" t="str">
            <v>Lithuania</v>
          </cell>
        </row>
        <row r="87">
          <cell r="A87" t="str">
            <v>Luxembourg</v>
          </cell>
        </row>
        <row r="88">
          <cell r="A88" t="str">
            <v>Madagascar</v>
          </cell>
        </row>
        <row r="89">
          <cell r="A89" t="str">
            <v>Madagascar</v>
          </cell>
        </row>
        <row r="90">
          <cell r="A90" t="str">
            <v>Mali</v>
          </cell>
        </row>
        <row r="91">
          <cell r="A91" t="str">
            <v>Mali</v>
          </cell>
        </row>
        <row r="92">
          <cell r="A92" t="str">
            <v xml:space="preserve">Malta </v>
          </cell>
        </row>
        <row r="93">
          <cell r="A93" t="str">
            <v xml:space="preserve">Malta </v>
          </cell>
        </row>
        <row r="94">
          <cell r="A94" t="str">
            <v>Marocco</v>
          </cell>
        </row>
        <row r="95">
          <cell r="A95" t="str">
            <v>Marocco</v>
          </cell>
        </row>
        <row r="96">
          <cell r="A96" t="str">
            <v>Namibia</v>
          </cell>
        </row>
        <row r="97">
          <cell r="A97" t="str">
            <v>Namibia</v>
          </cell>
        </row>
        <row r="98">
          <cell r="A98" t="str">
            <v>Netherlands</v>
          </cell>
        </row>
        <row r="99">
          <cell r="A99" t="str">
            <v>Netherlands</v>
          </cell>
        </row>
        <row r="100">
          <cell r="A100" t="str">
            <v>Nigeria</v>
          </cell>
        </row>
        <row r="101">
          <cell r="A101" t="str">
            <v>Nigeria</v>
          </cell>
        </row>
        <row r="102">
          <cell r="A102" t="str">
            <v>Norway</v>
          </cell>
        </row>
        <row r="103">
          <cell r="A103" t="str">
            <v>Norway</v>
          </cell>
        </row>
        <row r="104">
          <cell r="A104" t="str">
            <v>Norway</v>
          </cell>
        </row>
        <row r="105">
          <cell r="A105" t="str">
            <v>Pakistan</v>
          </cell>
        </row>
        <row r="106">
          <cell r="A106" t="str">
            <v>Pakistan</v>
          </cell>
        </row>
        <row r="107">
          <cell r="A107" t="str">
            <v>Poland</v>
          </cell>
        </row>
        <row r="108">
          <cell r="A108" t="str">
            <v>Poland</v>
          </cell>
        </row>
        <row r="109">
          <cell r="A109" t="str">
            <v>Poland</v>
          </cell>
        </row>
        <row r="110">
          <cell r="A110" t="str">
            <v>Portugal</v>
          </cell>
        </row>
        <row r="111">
          <cell r="A111" t="str">
            <v>Portugal</v>
          </cell>
        </row>
        <row r="112">
          <cell r="A112" t="str">
            <v>Portugal</v>
          </cell>
        </row>
        <row r="113">
          <cell r="A113" t="str">
            <v>Qatar</v>
          </cell>
        </row>
        <row r="114">
          <cell r="A114" t="str">
            <v>Qatar</v>
          </cell>
        </row>
        <row r="115">
          <cell r="A115" t="str">
            <v>Reunion</v>
          </cell>
        </row>
        <row r="116">
          <cell r="A116" t="str">
            <v>Reunion</v>
          </cell>
        </row>
        <row r="117">
          <cell r="A117" t="str">
            <v>Romania</v>
          </cell>
        </row>
        <row r="118">
          <cell r="A118" t="str">
            <v>Romania</v>
          </cell>
        </row>
        <row r="119">
          <cell r="A119" t="str">
            <v>Russian Federation</v>
          </cell>
        </row>
        <row r="120">
          <cell r="A120" t="str">
            <v>Russian Federation</v>
          </cell>
        </row>
        <row r="121">
          <cell r="A121" t="str">
            <v xml:space="preserve">Saudi Arabia </v>
          </cell>
        </row>
        <row r="122">
          <cell r="A122" t="str">
            <v xml:space="preserve">Saudi Arabia </v>
          </cell>
        </row>
        <row r="123">
          <cell r="A123" t="str">
            <v>Senegal</v>
          </cell>
        </row>
        <row r="124">
          <cell r="A124" t="str">
            <v>Senegal</v>
          </cell>
        </row>
        <row r="125">
          <cell r="A125" t="str">
            <v>Servie &amp; Montenegro</v>
          </cell>
        </row>
        <row r="126">
          <cell r="A126" t="str">
            <v>Servie &amp; Montenegro</v>
          </cell>
        </row>
        <row r="127">
          <cell r="A127" t="str">
            <v>Slovakia</v>
          </cell>
        </row>
        <row r="128">
          <cell r="A128" t="str">
            <v>Slovakia</v>
          </cell>
        </row>
        <row r="129">
          <cell r="A129" t="str">
            <v>Slovenia</v>
          </cell>
        </row>
        <row r="130">
          <cell r="A130" t="str">
            <v>Slovenia</v>
          </cell>
        </row>
        <row r="131">
          <cell r="A131" t="str">
            <v>South Africa</v>
          </cell>
        </row>
        <row r="132">
          <cell r="A132" t="str">
            <v>South Africa</v>
          </cell>
        </row>
        <row r="133">
          <cell r="A133" t="str">
            <v>South Africa</v>
          </cell>
        </row>
        <row r="134">
          <cell r="A134" t="str">
            <v>Spain</v>
          </cell>
        </row>
        <row r="135">
          <cell r="A135" t="str">
            <v>Spain</v>
          </cell>
        </row>
        <row r="136">
          <cell r="A136" t="str">
            <v>Sweden</v>
          </cell>
        </row>
        <row r="137">
          <cell r="A137" t="str">
            <v>Sweden</v>
          </cell>
        </row>
        <row r="138">
          <cell r="A138" t="str">
            <v>Switzerland</v>
          </cell>
        </row>
        <row r="139">
          <cell r="A139" t="str">
            <v>Switzerland</v>
          </cell>
        </row>
        <row r="140">
          <cell r="A140" t="str">
            <v>Switzerland</v>
          </cell>
        </row>
        <row r="141">
          <cell r="A141" t="str">
            <v>The Former Yugoslav Republic Of Macedonia</v>
          </cell>
        </row>
        <row r="142">
          <cell r="A142" t="str">
            <v>The Former Yugoslav Republic Of Macedonia</v>
          </cell>
        </row>
        <row r="143">
          <cell r="A143" t="str">
            <v>Tunisia</v>
          </cell>
        </row>
        <row r="144">
          <cell r="A144" t="str">
            <v>Tunisia</v>
          </cell>
        </row>
        <row r="145">
          <cell r="A145" t="str">
            <v>Turkey</v>
          </cell>
        </row>
        <row r="146">
          <cell r="A146" t="str">
            <v>Turkey</v>
          </cell>
        </row>
        <row r="147">
          <cell r="A147" t="str">
            <v>Ukraine</v>
          </cell>
        </row>
        <row r="148">
          <cell r="A148" t="str">
            <v>Ukraine</v>
          </cell>
        </row>
        <row r="149">
          <cell r="A149" t="str">
            <v>United Arab Emirates</v>
          </cell>
        </row>
        <row r="150">
          <cell r="A150" t="str">
            <v>United Arab Emirates</v>
          </cell>
        </row>
        <row r="151">
          <cell r="A151" t="str">
            <v>United Kingdom</v>
          </cell>
        </row>
        <row r="152">
          <cell r="A152" t="str">
            <v>United Kingdom</v>
          </cell>
        </row>
        <row r="153">
          <cell r="A153" t="str">
            <v>United Kingdom</v>
          </cell>
        </row>
        <row r="154">
          <cell r="A154" t="str">
            <v>Yugoslavia</v>
          </cell>
        </row>
        <row r="155">
          <cell r="A155" t="str">
            <v>Yugoslavia</v>
          </cell>
        </row>
      </sheetData>
      <sheetData sheetId="1" refreshError="1"/>
      <sheetData sheetId="2"/>
      <sheetData sheetId="3" refreshError="1"/>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1. Strategy &amp; Structure"/>
      <sheetName val="2. Potential"/>
      <sheetName val="3. Benchmark Prices"/>
    </sheetNames>
    <sheetDataSet>
      <sheetData sheetId="0"/>
      <sheetData sheetId="1"/>
      <sheetData sheetId="2"/>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rofit &amp; Loss"/>
      <sheetName val="Machine &amp; Service Detail"/>
    </sheetNames>
    <sheetDataSet>
      <sheetData sheetId="0">
        <row r="2">
          <cell r="A2" t="str">
            <v>EUR</v>
          </cell>
        </row>
        <row r="3">
          <cell r="A3" t="str">
            <v>DKK</v>
          </cell>
        </row>
        <row r="4">
          <cell r="A4" t="str">
            <v>GBP</v>
          </cell>
        </row>
        <row r="5">
          <cell r="A5" t="str">
            <v>SEK</v>
          </cell>
        </row>
        <row r="6">
          <cell r="A6" t="str">
            <v>ZAR</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ims Control Sheet"/>
      <sheetName val="Win Report"/>
      <sheetName val="Data"/>
      <sheetName val="DataSupp"/>
      <sheetName val="IMSF Sheet A (Sign Offs)"/>
      <sheetName val="EVIDENCE"/>
    </sheetNames>
    <sheetDataSet>
      <sheetData sheetId="0" refreshError="1"/>
      <sheetData sheetId="1" refreshError="1"/>
      <sheetData sheetId="2" refreshError="1">
        <row r="2">
          <cell r="A2">
            <v>10523</v>
          </cell>
          <cell r="O2" t="str">
            <v>03/083</v>
          </cell>
        </row>
      </sheetData>
      <sheetData sheetId="3" refreshError="1"/>
      <sheetData sheetId="4" refreshError="1"/>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Instructions"/>
      <sheetName val="1. Deal Overview Template"/>
      <sheetName val="2. MIF Potentials"/>
      <sheetName val="3. Commercial &amp; Tech Assessment"/>
      <sheetName val="4. Legal Assessment "/>
      <sheetName val="5. Approval Form"/>
      <sheetName val="REF"/>
    </sheetNames>
    <sheetDataSet>
      <sheetData sheetId="0"/>
      <sheetData sheetId="1"/>
      <sheetData sheetId="2"/>
      <sheetData sheetId="3"/>
      <sheetData sheetId="4"/>
      <sheetData sheetId="5"/>
      <sheetData sheetId="6"/>
      <sheetData sheetId="7">
        <row r="9">
          <cell r="Y9" t="str">
            <v>EMEA</v>
          </cell>
        </row>
        <row r="10">
          <cell r="Y10" t="str">
            <v>APAC</v>
          </cell>
        </row>
        <row r="11">
          <cell r="Y11" t="str">
            <v>Americas</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ccount Info"/>
      <sheetName val="A. Model Selection"/>
      <sheetName val="B. Potential Information"/>
      <sheetName val="C. Pricing - Hardware"/>
      <sheetName val="D. Pricing - Service "/>
      <sheetName val="E. Pricing - Hardware &amp; Service"/>
      <sheetName val="F. Value Added Services &amp; Other"/>
    </sheetNames>
    <sheetDataSet>
      <sheetData sheetId="0"/>
      <sheetData sheetId="1" refreshError="1"/>
      <sheetData sheetId="2"/>
      <sheetData sheetId="3"/>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sheetName val="rate"/>
      <sheetName val="client"/>
      <sheetName val="items"/>
      <sheetName val="worksheet"/>
    </sheetNames>
    <sheetDataSet>
      <sheetData sheetId="0"/>
      <sheetData sheetId="1"/>
      <sheetData sheetId="2"/>
      <sheetData sheetId="3"/>
      <sheetData sheetId="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Deal Overview Template"/>
      <sheetName val="2. MIF Potentials"/>
      <sheetName val="3. Benchmark Prices"/>
      <sheetName val="4. Transfer Prices - RGSE"/>
      <sheetName val="5. Hardware Pricing"/>
      <sheetName val="6. Service Pricing"/>
      <sheetName val="Support Schedule-Direct"/>
    </sheetNames>
    <sheetDataSet>
      <sheetData sheetId="0"/>
      <sheetData sheetId="1"/>
      <sheetData sheetId="2"/>
      <sheetData sheetId="3"/>
      <sheetData sheetId="4"/>
      <sheetData sheetId="5"/>
      <sheetData sheetId="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lification Criteria"/>
      <sheetName val="Costs-Notes"/>
      <sheetName val="Support Schedule-Direct"/>
      <sheetName val="Products"/>
      <sheetName val="Price List 1 - Unsupported"/>
      <sheetName val="Price List 2 - Level 1 Support"/>
      <sheetName val="Price List 3 - Level 2 Support "/>
      <sheetName val="Cover Sheet"/>
      <sheetName val="Service Pricing"/>
    </sheetNames>
    <sheetDataSet>
      <sheetData sheetId="0" refreshError="1"/>
      <sheetData sheetId="1" refreshError="1">
        <row r="7">
          <cell r="C7">
            <v>0.9</v>
          </cell>
        </row>
        <row r="8">
          <cell r="C8">
            <v>0.85</v>
          </cell>
        </row>
        <row r="9">
          <cell r="C9">
            <v>0.8</v>
          </cell>
        </row>
        <row r="13">
          <cell r="C13">
            <v>0.92999999999999994</v>
          </cell>
        </row>
        <row r="14">
          <cell r="C14">
            <v>0.88</v>
          </cell>
        </row>
        <row r="15">
          <cell r="C15">
            <v>0.85</v>
          </cell>
        </row>
        <row r="19">
          <cell r="C19">
            <v>0.95</v>
          </cell>
        </row>
        <row r="20">
          <cell r="C20">
            <v>0.9</v>
          </cell>
        </row>
        <row r="21">
          <cell r="C21">
            <v>0.85</v>
          </cell>
        </row>
        <row r="31">
          <cell r="B31">
            <v>0.03</v>
          </cell>
        </row>
      </sheetData>
      <sheetData sheetId="2"/>
      <sheetData sheetId="3" refreshError="1"/>
      <sheetData sheetId="4" refreshError="1"/>
      <sheetData sheetId="5" refreshError="1"/>
      <sheetData sheetId="6" refreshError="1"/>
      <sheetData sheetId="7"/>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 AdN"/>
      <sheetName val="templat Asie"/>
      <sheetName val="templat Europe"/>
      <sheetName val="SYNTHESE"/>
      <sheetName val="Copies"/>
      <sheetName val="Matériels"/>
      <sheetName val="Solutions"/>
      <sheetName val="CONSTANTES"/>
      <sheetName val="CIBLE"/>
      <sheetName val="CATALOGUE RICOH"/>
      <sheetName val="TUNNING"/>
      <sheetName val="TDB"/>
      <sheetName val="SYNTHESE DES VENTES"/>
      <sheetName val="SYNTHESE DES COUTS"/>
      <sheetName val="Volume pages"/>
      <sheetName val="PA Copy"/>
      <sheetName val="MIF"/>
      <sheetName val="COSTS MC"/>
      <sheetName val="PV MC"/>
      <sheetName val="INTER &amp; CONSOS"/>
      <sheetName val="TDV"/>
      <sheetName val="COSTS COPY"/>
      <sheetName val="PV COPY"/>
      <sheetName val="PENALITES &amp; CONSOS"/>
    </sheetNames>
    <sheetDataSet>
      <sheetData sheetId="0" refreshError="1"/>
      <sheetData sheetId="1" refreshError="1"/>
      <sheetData sheetId="2" refreshError="1"/>
      <sheetData sheetId="3">
        <row r="5">
          <cell r="B5">
            <v>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Deal Overview Template"/>
      <sheetName val="2. Unit Potentials"/>
      <sheetName val="3.Unit Potential by country"/>
      <sheetName val="OMR"/>
      <sheetName val="4. Channel Selection"/>
      <sheetName val="5.Benchmark Prices"/>
      <sheetName val="6.Transfer Prices"/>
      <sheetName val="7a. Hardware Pricing"/>
      <sheetName val="USA MFP"/>
      <sheetName val="7b. Pricing China"/>
      <sheetName val="7c. Pricing Japan"/>
      <sheetName val="7d. Pricing India"/>
      <sheetName val="7e. Pricing Korea"/>
      <sheetName val="8a. EMEA Service Pricing"/>
      <sheetName val="8b. USA-APAC Service Pricing"/>
      <sheetName val="APAC Availability"/>
      <sheetName val="AP Purchase &amp; Lease Price"/>
      <sheetName val="AP MPC1500"/>
      <sheetName val="Toner Price"/>
      <sheetName val="AP Purchase _ Lease Pri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1"/>
    </sheetNames>
    <sheetDataSet>
      <sheetData sheetId="0" refreshError="1">
        <row r="4">
          <cell r="B4">
            <v>207866</v>
          </cell>
          <cell r="C4" t="str">
            <v>STAPLE TYPE B</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t="e">
            <v>#DIV/0!</v>
          </cell>
          <cell r="BJ4">
            <v>0</v>
          </cell>
          <cell r="BK4">
            <v>0</v>
          </cell>
          <cell r="BL4">
            <v>0</v>
          </cell>
          <cell r="BM4" t="e">
            <v>#DIV/0!</v>
          </cell>
          <cell r="BN4" t="e">
            <v>#DIV/0!</v>
          </cell>
          <cell r="BO4">
            <v>90</v>
          </cell>
          <cell r="BP4">
            <v>100</v>
          </cell>
          <cell r="BQ4" t="e">
            <v>#DIV/0!</v>
          </cell>
          <cell r="BR4" t="e">
            <v>#DIV/0!</v>
          </cell>
          <cell r="BS4">
            <v>146.51253449999999</v>
          </cell>
          <cell r="BT4">
            <v>-0.1</v>
          </cell>
          <cell r="BU4">
            <v>0.6700623590673056</v>
          </cell>
          <cell r="BV4">
            <v>0.27</v>
          </cell>
          <cell r="BW4">
            <v>66.219178082191789</v>
          </cell>
          <cell r="BX4">
            <v>-0.59322756597339033</v>
          </cell>
          <cell r="BY4">
            <v>146.51253449999999</v>
          </cell>
          <cell r="BZ4">
            <v>-0.1</v>
          </cell>
          <cell r="CA4">
            <v>146.51253449999999</v>
          </cell>
          <cell r="CB4">
            <v>-0.1</v>
          </cell>
          <cell r="CE4">
            <v>162.79170499999998</v>
          </cell>
          <cell r="CF4">
            <v>162.79170499999998</v>
          </cell>
          <cell r="CG4">
            <v>162.79170499999998</v>
          </cell>
        </row>
        <row r="5">
          <cell r="B5">
            <v>208046</v>
          </cell>
          <cell r="C5" t="str">
            <v>CART. LR1 RED</v>
          </cell>
          <cell r="D5">
            <v>100.86754173655743</v>
          </cell>
          <cell r="E5">
            <v>83.89112016818585</v>
          </cell>
          <cell r="F5">
            <v>0</v>
          </cell>
          <cell r="G5">
            <v>0</v>
          </cell>
          <cell r="H5">
            <v>101.48182014857088</v>
          </cell>
          <cell r="I5">
            <v>95.618253488442534</v>
          </cell>
          <cell r="J5">
            <v>0</v>
          </cell>
          <cell r="K5">
            <v>0</v>
          </cell>
          <cell r="L5">
            <v>0</v>
          </cell>
          <cell r="M5">
            <v>0</v>
          </cell>
          <cell r="N5">
            <v>0</v>
          </cell>
          <cell r="O5">
            <v>0</v>
          </cell>
          <cell r="P5">
            <v>0</v>
          </cell>
          <cell r="Q5">
            <v>0</v>
          </cell>
          <cell r="R5">
            <v>0</v>
          </cell>
          <cell r="S5">
            <v>0</v>
          </cell>
          <cell r="T5">
            <v>0</v>
          </cell>
          <cell r="U5">
            <v>0</v>
          </cell>
          <cell r="V5">
            <v>0</v>
          </cell>
          <cell r="W5">
            <v>96.443022774856189</v>
          </cell>
          <cell r="X5">
            <v>82.914987096702887</v>
          </cell>
          <cell r="Y5">
            <v>99.903683064616345</v>
          </cell>
          <cell r="Z5">
            <v>99.903683064616345</v>
          </cell>
          <cell r="AA5">
            <v>0</v>
          </cell>
          <cell r="AB5">
            <v>99.903683064616345</v>
          </cell>
          <cell r="AC5">
            <v>0</v>
          </cell>
          <cell r="AD5">
            <v>0</v>
          </cell>
          <cell r="AE5">
            <v>0</v>
          </cell>
          <cell r="AF5">
            <v>0</v>
          </cell>
          <cell r="AG5">
            <v>111.39810747913647</v>
          </cell>
          <cell r="AH5">
            <v>0</v>
          </cell>
          <cell r="AI5">
            <v>114.52027034800025</v>
          </cell>
          <cell r="AJ5">
            <v>0</v>
          </cell>
          <cell r="AK5">
            <v>113.15382756569855</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114.52027034800025</v>
          </cell>
          <cell r="BN5">
            <v>82.914987096702887</v>
          </cell>
          <cell r="BO5">
            <v>90</v>
          </cell>
          <cell r="BP5">
            <v>100</v>
          </cell>
          <cell r="BQ5">
            <v>775.39254022540638</v>
          </cell>
          <cell r="BR5">
            <v>561.39984888528431</v>
          </cell>
          <cell r="BS5">
            <v>609.37097343749997</v>
          </cell>
          <cell r="BT5">
            <v>0.23476394751460194</v>
          </cell>
          <cell r="BU5">
            <v>-7.9375337308318583E-2</v>
          </cell>
          <cell r="BV5">
            <v>0.27</v>
          </cell>
          <cell r="BW5">
            <v>901.01369863013701</v>
          </cell>
          <cell r="BX5">
            <v>0.82571746896537612</v>
          </cell>
          <cell r="BY5">
            <v>901.01369863013701</v>
          </cell>
          <cell r="BZ5">
            <v>0.82571746896537612</v>
          </cell>
          <cell r="CA5">
            <v>901.01369863013701</v>
          </cell>
          <cell r="CB5">
            <v>0.82571746896537612</v>
          </cell>
          <cell r="CD5">
            <v>0</v>
          </cell>
          <cell r="CE5">
            <v>833.08920000000001</v>
          </cell>
          <cell r="CF5">
            <v>493.51212000000004</v>
          </cell>
          <cell r="CG5">
            <v>677.07885937499998</v>
          </cell>
        </row>
        <row r="6">
          <cell r="B6">
            <v>208047</v>
          </cell>
          <cell r="C6" t="str">
            <v>CART. LR1 BLUE</v>
          </cell>
          <cell r="D6">
            <v>100.6163184497872</v>
          </cell>
          <cell r="E6">
            <v>86.342150795299062</v>
          </cell>
          <cell r="F6">
            <v>0</v>
          </cell>
          <cell r="G6">
            <v>0</v>
          </cell>
          <cell r="H6">
            <v>101.25982600798135</v>
          </cell>
          <cell r="I6">
            <v>95.117253861582753</v>
          </cell>
          <cell r="J6">
            <v>0</v>
          </cell>
          <cell r="K6">
            <v>0</v>
          </cell>
          <cell r="L6">
            <v>0</v>
          </cell>
          <cell r="M6">
            <v>0</v>
          </cell>
          <cell r="N6">
            <v>0</v>
          </cell>
          <cell r="O6">
            <v>0</v>
          </cell>
          <cell r="P6">
            <v>0</v>
          </cell>
          <cell r="Q6">
            <v>0</v>
          </cell>
          <cell r="R6">
            <v>0</v>
          </cell>
          <cell r="S6">
            <v>0</v>
          </cell>
          <cell r="T6">
            <v>0</v>
          </cell>
          <cell r="U6">
            <v>0</v>
          </cell>
          <cell r="V6">
            <v>0</v>
          </cell>
          <cell r="W6">
            <v>95.981268059695182</v>
          </cell>
          <cell r="X6">
            <v>81.809529258265414</v>
          </cell>
          <cell r="Y6">
            <v>99.606596590293506</v>
          </cell>
          <cell r="Z6">
            <v>99.606596590293506</v>
          </cell>
          <cell r="AA6">
            <v>0</v>
          </cell>
          <cell r="AB6">
            <v>99.606596590293506</v>
          </cell>
          <cell r="AC6">
            <v>0</v>
          </cell>
          <cell r="AD6">
            <v>0</v>
          </cell>
          <cell r="AE6">
            <v>0</v>
          </cell>
          <cell r="AF6">
            <v>0</v>
          </cell>
          <cell r="AG6">
            <v>111.64795901354765</v>
          </cell>
          <cell r="AH6">
            <v>0</v>
          </cell>
          <cell r="AI6">
            <v>114.91868343546167</v>
          </cell>
          <cell r="AJ6">
            <v>0</v>
          </cell>
          <cell r="AK6">
            <v>113.4872213474993</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114.91868343546167</v>
          </cell>
          <cell r="BN6">
            <v>81.809529258265414</v>
          </cell>
          <cell r="BO6">
            <v>90</v>
          </cell>
          <cell r="BP6">
            <v>100</v>
          </cell>
          <cell r="BQ6">
            <v>781.53767151665477</v>
          </cell>
          <cell r="BR6">
            <v>556.3693134396683</v>
          </cell>
          <cell r="BS6">
            <v>612.07097343750002</v>
          </cell>
          <cell r="BT6">
            <v>0.24023493777113303</v>
          </cell>
          <cell r="BU6">
            <v>-7.4613939468513912E-2</v>
          </cell>
          <cell r="BV6">
            <v>0.27</v>
          </cell>
          <cell r="BW6">
            <v>901.01369863013701</v>
          </cell>
          <cell r="BX6">
            <v>0.82571746896537612</v>
          </cell>
          <cell r="BY6">
            <v>901.01369863013701</v>
          </cell>
          <cell r="BZ6">
            <v>0.82571746896537612</v>
          </cell>
          <cell r="CA6">
            <v>901.01369863013701</v>
          </cell>
          <cell r="CB6">
            <v>0.82571746896537612</v>
          </cell>
          <cell r="CD6">
            <v>0</v>
          </cell>
          <cell r="CE6">
            <v>833.08920000000001</v>
          </cell>
          <cell r="CF6">
            <v>493.51212000000004</v>
          </cell>
          <cell r="CG6">
            <v>680.07885937499998</v>
          </cell>
        </row>
        <row r="7">
          <cell r="B7">
            <v>208048</v>
          </cell>
          <cell r="C7" t="str">
            <v>CART. LR1 GREEN</v>
          </cell>
          <cell r="D7">
            <v>100.86754173655743</v>
          </cell>
          <cell r="E7">
            <v>83.89112016818585</v>
          </cell>
          <cell r="F7">
            <v>0</v>
          </cell>
          <cell r="G7">
            <v>0</v>
          </cell>
          <cell r="H7">
            <v>101.48182014857088</v>
          </cell>
          <cell r="I7">
            <v>95.618253488442534</v>
          </cell>
          <cell r="J7">
            <v>0</v>
          </cell>
          <cell r="K7">
            <v>0</v>
          </cell>
          <cell r="L7">
            <v>0</v>
          </cell>
          <cell r="M7">
            <v>0</v>
          </cell>
          <cell r="N7">
            <v>0</v>
          </cell>
          <cell r="O7">
            <v>0</v>
          </cell>
          <cell r="P7">
            <v>0</v>
          </cell>
          <cell r="Q7">
            <v>0</v>
          </cell>
          <cell r="R7">
            <v>0</v>
          </cell>
          <cell r="S7">
            <v>0</v>
          </cell>
          <cell r="T7">
            <v>0</v>
          </cell>
          <cell r="U7">
            <v>0</v>
          </cell>
          <cell r="V7">
            <v>0</v>
          </cell>
          <cell r="W7">
            <v>96.443022774856189</v>
          </cell>
          <cell r="X7">
            <v>82.914987096702887</v>
          </cell>
          <cell r="Y7">
            <v>99.903683064616345</v>
          </cell>
          <cell r="Z7">
            <v>99.903683064616345</v>
          </cell>
          <cell r="AA7">
            <v>0</v>
          </cell>
          <cell r="AB7">
            <v>99.903683064616345</v>
          </cell>
          <cell r="AC7">
            <v>0</v>
          </cell>
          <cell r="AD7">
            <v>0</v>
          </cell>
          <cell r="AE7">
            <v>0</v>
          </cell>
          <cell r="AF7">
            <v>0</v>
          </cell>
          <cell r="AG7">
            <v>111.39810747913647</v>
          </cell>
          <cell r="AH7">
            <v>0</v>
          </cell>
          <cell r="AI7">
            <v>114.52027034800025</v>
          </cell>
          <cell r="AJ7">
            <v>0</v>
          </cell>
          <cell r="AK7">
            <v>113.15382756569855</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114.52027034800025</v>
          </cell>
          <cell r="BN7">
            <v>82.914987096702887</v>
          </cell>
          <cell r="BO7">
            <v>90</v>
          </cell>
          <cell r="BP7">
            <v>100</v>
          </cell>
          <cell r="BQ7">
            <v>775.39254022540638</v>
          </cell>
          <cell r="BR7">
            <v>561.39984888528431</v>
          </cell>
          <cell r="BS7">
            <v>609.37097343749997</v>
          </cell>
          <cell r="BT7">
            <v>0.23476394751460194</v>
          </cell>
          <cell r="BU7">
            <v>-7.9375337308318583E-2</v>
          </cell>
          <cell r="BV7">
            <v>0.27</v>
          </cell>
          <cell r="BW7">
            <v>901.01369863013701</v>
          </cell>
          <cell r="BX7">
            <v>0.82571746896537612</v>
          </cell>
          <cell r="BY7">
            <v>901.01369863013701</v>
          </cell>
          <cell r="BZ7">
            <v>0.82571746896537612</v>
          </cell>
          <cell r="CA7">
            <v>901.01369863013701</v>
          </cell>
          <cell r="CB7">
            <v>0.82571746896537612</v>
          </cell>
          <cell r="CD7">
            <v>0</v>
          </cell>
          <cell r="CE7">
            <v>833.08920000000001</v>
          </cell>
          <cell r="CF7">
            <v>493.51212000000004</v>
          </cell>
          <cell r="CG7">
            <v>677.07885937499998</v>
          </cell>
        </row>
        <row r="8">
          <cell r="B8">
            <v>208050</v>
          </cell>
          <cell r="C8" t="str">
            <v>CART. LR1 BLACK</v>
          </cell>
          <cell r="D8">
            <v>94.846692958506111</v>
          </cell>
          <cell r="E8">
            <v>83.2918517304348</v>
          </cell>
          <cell r="F8">
            <v>0</v>
          </cell>
          <cell r="G8">
            <v>0</v>
          </cell>
          <cell r="H8">
            <v>95.264795766100804</v>
          </cell>
          <cell r="I8">
            <v>91.273814420878807</v>
          </cell>
          <cell r="J8">
            <v>0</v>
          </cell>
          <cell r="K8">
            <v>0</v>
          </cell>
          <cell r="L8">
            <v>0</v>
          </cell>
          <cell r="M8">
            <v>0</v>
          </cell>
          <cell r="N8">
            <v>0</v>
          </cell>
          <cell r="O8">
            <v>0</v>
          </cell>
          <cell r="P8">
            <v>0</v>
          </cell>
          <cell r="Q8">
            <v>62.168707795652359</v>
          </cell>
          <cell r="R8">
            <v>0</v>
          </cell>
          <cell r="S8">
            <v>0</v>
          </cell>
          <cell r="T8">
            <v>0</v>
          </cell>
          <cell r="U8">
            <v>0</v>
          </cell>
          <cell r="V8">
            <v>0</v>
          </cell>
          <cell r="W8">
            <v>91.906563608023376</v>
          </cell>
          <cell r="X8">
            <v>82.627455961689932</v>
          </cell>
          <cell r="Y8">
            <v>94.190651644043925</v>
          </cell>
          <cell r="Z8">
            <v>94.190651644043925</v>
          </cell>
          <cell r="AA8">
            <v>0</v>
          </cell>
          <cell r="AB8">
            <v>94.190651644043925</v>
          </cell>
          <cell r="AC8">
            <v>0</v>
          </cell>
          <cell r="AD8">
            <v>0</v>
          </cell>
          <cell r="AE8">
            <v>0</v>
          </cell>
          <cell r="AF8">
            <v>0</v>
          </cell>
          <cell r="AG8">
            <v>102.01422321258308</v>
          </cell>
          <cell r="AH8">
            <v>0</v>
          </cell>
          <cell r="AI8">
            <v>104.13929392272102</v>
          </cell>
          <cell r="AJ8">
            <v>0</v>
          </cell>
          <cell r="AK8">
            <v>103.2092375304978</v>
          </cell>
          <cell r="AL8">
            <v>0</v>
          </cell>
          <cell r="AM8">
            <v>104.57494374496353</v>
          </cell>
          <cell r="AN8">
            <v>104.57494374496353</v>
          </cell>
          <cell r="AO8">
            <v>107.37392994965847</v>
          </cell>
          <cell r="AP8">
            <v>107.37392994965847</v>
          </cell>
          <cell r="AQ8">
            <v>107.37728604822526</v>
          </cell>
          <cell r="AR8">
            <v>107.37728604822526</v>
          </cell>
          <cell r="AS8">
            <v>107.80760696013824</v>
          </cell>
          <cell r="AT8">
            <v>0</v>
          </cell>
          <cell r="AU8">
            <v>107.80760696013824</v>
          </cell>
          <cell r="AV8">
            <v>107.80760696013824</v>
          </cell>
          <cell r="AW8">
            <v>107.94577980222265</v>
          </cell>
          <cell r="AX8">
            <v>0</v>
          </cell>
          <cell r="AY8">
            <v>107.94577980222265</v>
          </cell>
          <cell r="AZ8">
            <v>107.80760696013824</v>
          </cell>
          <cell r="BA8">
            <v>107.80760696013824</v>
          </cell>
          <cell r="BB8">
            <v>99.724495698200542</v>
          </cell>
          <cell r="BC8">
            <v>0</v>
          </cell>
          <cell r="BD8">
            <v>0</v>
          </cell>
          <cell r="BE8">
            <v>105.64993326582947</v>
          </cell>
          <cell r="BF8">
            <v>0</v>
          </cell>
          <cell r="BG8">
            <v>99.333896960267637</v>
          </cell>
          <cell r="BH8">
            <v>99.333896960267637</v>
          </cell>
          <cell r="BI8">
            <v>0</v>
          </cell>
          <cell r="BJ8">
            <v>104.53063569269194</v>
          </cell>
          <cell r="BK8">
            <v>104.53063569269194</v>
          </cell>
          <cell r="BL8">
            <v>0</v>
          </cell>
          <cell r="BM8">
            <v>107.94577980222265</v>
          </cell>
          <cell r="BN8">
            <v>62.168707795652359</v>
          </cell>
          <cell r="BO8">
            <v>90</v>
          </cell>
          <cell r="BP8">
            <v>100</v>
          </cell>
          <cell r="BQ8">
            <v>828.75156366132489</v>
          </cell>
          <cell r="BR8">
            <v>477.29900965882894</v>
          </cell>
          <cell r="BS8">
            <v>690.97319845368747</v>
          </cell>
          <cell r="BT8">
            <v>3.051234321217283</v>
          </cell>
          <cell r="BU8">
            <v>4.8096219257214634E-2</v>
          </cell>
          <cell r="BV8">
            <v>0.27</v>
          </cell>
          <cell r="BW8">
            <v>901.01369863013701</v>
          </cell>
          <cell r="BX8">
            <v>4.2827195438926893</v>
          </cell>
          <cell r="BY8">
            <v>901.01369863013701</v>
          </cell>
          <cell r="BZ8">
            <v>4.2827195438926893</v>
          </cell>
          <cell r="CA8">
            <v>822.18</v>
          </cell>
          <cell r="CB8">
            <v>3.8205108992250958</v>
          </cell>
          <cell r="CD8">
            <v>0</v>
          </cell>
          <cell r="CE8">
            <v>893.17683</v>
          </cell>
          <cell r="CF8">
            <v>170.55868500000003</v>
          </cell>
          <cell r="CG8">
            <v>767.74799828187497</v>
          </cell>
        </row>
        <row r="9">
          <cell r="B9">
            <v>208171</v>
          </cell>
          <cell r="C9" t="str">
            <v>STAPLE TYPE C</v>
          </cell>
          <cell r="D9">
            <v>0</v>
          </cell>
          <cell r="E9">
            <v>0</v>
          </cell>
          <cell r="F9">
            <v>0</v>
          </cell>
          <cell r="G9">
            <v>0</v>
          </cell>
          <cell r="H9">
            <v>0</v>
          </cell>
          <cell r="I9">
            <v>0</v>
          </cell>
          <cell r="J9">
            <v>0</v>
          </cell>
          <cell r="K9">
            <v>0</v>
          </cell>
          <cell r="L9">
            <v>0</v>
          </cell>
          <cell r="M9">
            <v>101.66651281077462</v>
          </cell>
          <cell r="N9">
            <v>101.66651281077462</v>
          </cell>
          <cell r="O9">
            <v>106.5939265248975</v>
          </cell>
          <cell r="P9">
            <v>0</v>
          </cell>
          <cell r="Q9">
            <v>0</v>
          </cell>
          <cell r="R9">
            <v>0</v>
          </cell>
          <cell r="S9">
            <v>0</v>
          </cell>
          <cell r="T9">
            <v>0</v>
          </cell>
          <cell r="U9">
            <v>0</v>
          </cell>
          <cell r="V9">
            <v>0</v>
          </cell>
          <cell r="W9">
            <v>89.631470078163318</v>
          </cell>
          <cell r="X9">
            <v>105.00732619938528</v>
          </cell>
          <cell r="Y9">
            <v>105.00732619938528</v>
          </cell>
          <cell r="Z9">
            <v>99.342537102092976</v>
          </cell>
          <cell r="AA9">
            <v>105.00732619938528</v>
          </cell>
          <cell r="AB9">
            <v>105.00732619938528</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96.63647373248547</v>
          </cell>
          <cell r="AT9">
            <v>96.63647373248547</v>
          </cell>
          <cell r="AU9">
            <v>83.986545356282562</v>
          </cell>
          <cell r="AV9">
            <v>74.783037094958473</v>
          </cell>
          <cell r="AW9">
            <v>0</v>
          </cell>
          <cell r="AX9">
            <v>0</v>
          </cell>
          <cell r="AY9">
            <v>0</v>
          </cell>
          <cell r="AZ9">
            <v>0</v>
          </cell>
          <cell r="BA9">
            <v>0</v>
          </cell>
          <cell r="BB9">
            <v>0</v>
          </cell>
          <cell r="BC9">
            <v>0</v>
          </cell>
          <cell r="BD9">
            <v>0</v>
          </cell>
          <cell r="BE9">
            <v>112.47220757945557</v>
          </cell>
          <cell r="BF9">
            <v>0</v>
          </cell>
          <cell r="BG9">
            <v>0</v>
          </cell>
          <cell r="BH9">
            <v>104.08279080063272</v>
          </cell>
          <cell r="BI9">
            <v>0</v>
          </cell>
          <cell r="BJ9">
            <v>0</v>
          </cell>
          <cell r="BK9">
            <v>112.47220757945557</v>
          </cell>
          <cell r="BL9">
            <v>0</v>
          </cell>
          <cell r="BM9">
            <v>112.47220757945557</v>
          </cell>
          <cell r="BN9">
            <v>74.783037094958473</v>
          </cell>
          <cell r="BO9">
            <v>90</v>
          </cell>
          <cell r="BP9">
            <v>100</v>
          </cell>
          <cell r="BQ9">
            <v>91.005690642077411</v>
          </cell>
          <cell r="BR9">
            <v>60.509899161807972</v>
          </cell>
          <cell r="BS9">
            <v>72.822542866875011</v>
          </cell>
          <cell r="BT9">
            <v>0.58987508207536332</v>
          </cell>
          <cell r="BU9">
            <v>0.47928212189293418</v>
          </cell>
          <cell r="BV9">
            <v>0.27</v>
          </cell>
          <cell r="BW9">
            <v>51.945205479452056</v>
          </cell>
          <cell r="BX9">
            <v>0.13407723177202779</v>
          </cell>
          <cell r="BY9">
            <v>72.822542866875011</v>
          </cell>
          <cell r="BZ9">
            <v>0.58987508207536332</v>
          </cell>
          <cell r="CA9">
            <v>72.822542866875011</v>
          </cell>
          <cell r="CB9">
            <v>0.58987508207536332</v>
          </cell>
          <cell r="CD9">
            <v>0</v>
          </cell>
          <cell r="CE9">
            <v>98.279198399999999</v>
          </cell>
          <cell r="CF9">
            <v>45.803939999999997</v>
          </cell>
          <cell r="CG9">
            <v>80.913936518750006</v>
          </cell>
        </row>
        <row r="10">
          <cell r="B10">
            <v>208532</v>
          </cell>
          <cell r="C10" t="str">
            <v>STAPLE TYPE D</v>
          </cell>
          <cell r="D10">
            <v>0</v>
          </cell>
          <cell r="E10">
            <v>0</v>
          </cell>
          <cell r="F10">
            <v>0</v>
          </cell>
          <cell r="G10">
            <v>0</v>
          </cell>
          <cell r="H10">
            <v>0</v>
          </cell>
          <cell r="I10">
            <v>0</v>
          </cell>
          <cell r="J10">
            <v>0</v>
          </cell>
          <cell r="K10">
            <v>0</v>
          </cell>
          <cell r="L10">
            <v>117.93648447918221</v>
          </cell>
          <cell r="M10">
            <v>95.805179687603214</v>
          </cell>
          <cell r="N10">
            <v>88.227613373095167</v>
          </cell>
          <cell r="O10">
            <v>106.38971676183662</v>
          </cell>
          <cell r="P10">
            <v>0</v>
          </cell>
          <cell r="Q10">
            <v>0</v>
          </cell>
          <cell r="R10">
            <v>0</v>
          </cell>
          <cell r="S10">
            <v>0</v>
          </cell>
          <cell r="T10">
            <v>0</v>
          </cell>
          <cell r="U10">
            <v>0</v>
          </cell>
          <cell r="V10">
            <v>0</v>
          </cell>
          <cell r="W10">
            <v>78.408096870381542</v>
          </cell>
          <cell r="X10">
            <v>98.557215120830577</v>
          </cell>
          <cell r="Y10">
            <v>98.557215120830577</v>
          </cell>
          <cell r="Z10">
            <v>86.467744170561161</v>
          </cell>
          <cell r="AA10">
            <v>0</v>
          </cell>
          <cell r="AB10">
            <v>98.557215120830577</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103.90903830987186</v>
          </cell>
          <cell r="AT10">
            <v>0</v>
          </cell>
          <cell r="AU10">
            <v>0</v>
          </cell>
          <cell r="AV10">
            <v>104.10406133106922</v>
          </cell>
          <cell r="AW10">
            <v>0</v>
          </cell>
          <cell r="AX10">
            <v>0</v>
          </cell>
          <cell r="AY10">
            <v>0</v>
          </cell>
          <cell r="AZ10">
            <v>0</v>
          </cell>
          <cell r="BA10">
            <v>0</v>
          </cell>
          <cell r="BB10">
            <v>0</v>
          </cell>
          <cell r="BC10">
            <v>0</v>
          </cell>
          <cell r="BD10">
            <v>0</v>
          </cell>
          <cell r="BE10">
            <v>108.76372259080011</v>
          </cell>
          <cell r="BF10">
            <v>0</v>
          </cell>
          <cell r="BG10">
            <v>0</v>
          </cell>
          <cell r="BH10">
            <v>92.437272293765432</v>
          </cell>
          <cell r="BI10">
            <v>107.29314158978045</v>
          </cell>
          <cell r="BJ10">
            <v>0</v>
          </cell>
          <cell r="BK10">
            <v>107.29314158978045</v>
          </cell>
          <cell r="BL10">
            <v>107.29314158978045</v>
          </cell>
          <cell r="BM10">
            <v>117.93648447918221</v>
          </cell>
          <cell r="BN10">
            <v>78.408096870381542</v>
          </cell>
          <cell r="BO10">
            <v>90</v>
          </cell>
          <cell r="BP10">
            <v>100</v>
          </cell>
          <cell r="BQ10">
            <v>87.325959356099744</v>
          </cell>
          <cell r="BR10">
            <v>58.057201812732444</v>
          </cell>
          <cell r="BS10">
            <v>66.640415616562507</v>
          </cell>
          <cell r="BT10">
            <v>7.5353604470540292E-2</v>
          </cell>
          <cell r="BU10">
            <v>0.54457066752661509</v>
          </cell>
          <cell r="BV10">
            <v>0.27</v>
          </cell>
          <cell r="BW10">
            <v>41.57534246575343</v>
          </cell>
          <cell r="BX10">
            <v>-0.32911291197689507</v>
          </cell>
          <cell r="BY10">
            <v>66.640415616562507</v>
          </cell>
          <cell r="BZ10">
            <v>7.5353604470540292E-2</v>
          </cell>
          <cell r="CA10">
            <v>66.640415616562507</v>
          </cell>
          <cell r="CB10">
            <v>7.5353604470540292E-2</v>
          </cell>
          <cell r="CD10">
            <v>0</v>
          </cell>
          <cell r="CE10">
            <v>84.075000000000003</v>
          </cell>
          <cell r="CF10">
            <v>61.970700000000001</v>
          </cell>
          <cell r="CG10">
            <v>74.044906240625011</v>
          </cell>
        </row>
        <row r="11">
          <cell r="B11">
            <v>209307</v>
          </cell>
          <cell r="C11" t="str">
            <v>STAPLE TYPE F</v>
          </cell>
          <cell r="D11">
            <v>0</v>
          </cell>
          <cell r="E11">
            <v>0</v>
          </cell>
          <cell r="F11">
            <v>0</v>
          </cell>
          <cell r="G11">
            <v>0</v>
          </cell>
          <cell r="H11">
            <v>0</v>
          </cell>
          <cell r="I11">
            <v>0</v>
          </cell>
          <cell r="J11">
            <v>0</v>
          </cell>
          <cell r="K11">
            <v>0</v>
          </cell>
          <cell r="L11">
            <v>119.67392940050851</v>
          </cell>
          <cell r="M11">
            <v>107.47435913646504</v>
          </cell>
          <cell r="N11">
            <v>107.47435913646504</v>
          </cell>
          <cell r="O11">
            <v>112.284915234274</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92.826238991699185</v>
          </cell>
          <cell r="AT11">
            <v>0</v>
          </cell>
          <cell r="AU11">
            <v>82.748700146389865</v>
          </cell>
          <cell r="AV11">
            <v>96.008619679691606</v>
          </cell>
          <cell r="AW11">
            <v>0</v>
          </cell>
          <cell r="AX11">
            <v>0</v>
          </cell>
          <cell r="AY11">
            <v>0</v>
          </cell>
          <cell r="AZ11">
            <v>0</v>
          </cell>
          <cell r="BA11">
            <v>92.826238991699185</v>
          </cell>
          <cell r="BB11">
            <v>96.008619679691606</v>
          </cell>
          <cell r="BC11">
            <v>0</v>
          </cell>
          <cell r="BD11">
            <v>0</v>
          </cell>
          <cell r="BE11">
            <v>97.558006534371955</v>
          </cell>
          <cell r="BF11">
            <v>0</v>
          </cell>
          <cell r="BG11">
            <v>0</v>
          </cell>
          <cell r="BH11">
            <v>0</v>
          </cell>
          <cell r="BI11">
            <v>97.558006534371955</v>
          </cell>
          <cell r="BJ11">
            <v>0</v>
          </cell>
          <cell r="BK11">
            <v>97.558006534371955</v>
          </cell>
          <cell r="BL11">
            <v>0</v>
          </cell>
          <cell r="BM11">
            <v>119.67392940050851</v>
          </cell>
          <cell r="BN11">
            <v>82.748700146389865</v>
          </cell>
          <cell r="BO11">
            <v>90</v>
          </cell>
          <cell r="BP11">
            <v>100</v>
          </cell>
          <cell r="BQ11">
            <v>106.23282499605529</v>
          </cell>
          <cell r="BR11">
            <v>73.454830348915877</v>
          </cell>
          <cell r="BS11">
            <v>79.891704881250007</v>
          </cell>
          <cell r="BT11">
            <v>0.36291783206605643</v>
          </cell>
          <cell r="BU11">
            <v>0.37578000026252889</v>
          </cell>
          <cell r="BV11">
            <v>0.27</v>
          </cell>
          <cell r="BW11">
            <v>68.31506849315069</v>
          </cell>
          <cell r="BX11">
            <v>0.16542543667735421</v>
          </cell>
          <cell r="BY11">
            <v>79.891704881250007</v>
          </cell>
          <cell r="BZ11">
            <v>0.36291783206605643</v>
          </cell>
          <cell r="CA11">
            <v>79.891704881250007</v>
          </cell>
          <cell r="CB11">
            <v>0.36291783206605643</v>
          </cell>
          <cell r="CD11">
            <v>0</v>
          </cell>
          <cell r="CE11">
            <v>123.15306</v>
          </cell>
          <cell r="CF11">
            <v>58.618137500000003</v>
          </cell>
          <cell r="CG11">
            <v>88.768560979166679</v>
          </cell>
        </row>
        <row r="12">
          <cell r="B12">
            <v>209890</v>
          </cell>
          <cell r="C12" t="str">
            <v>PHOTO CONDUCTOR 251 (AF250)</v>
          </cell>
          <cell r="D12">
            <v>0</v>
          </cell>
          <cell r="E12">
            <v>95.284617675574992</v>
          </cell>
          <cell r="F12">
            <v>96.865047005877813</v>
          </cell>
          <cell r="G12">
            <v>0</v>
          </cell>
          <cell r="H12">
            <v>0</v>
          </cell>
          <cell r="I12">
            <v>114.33861034120811</v>
          </cell>
          <cell r="J12">
            <v>0</v>
          </cell>
          <cell r="K12">
            <v>0</v>
          </cell>
          <cell r="L12">
            <v>0</v>
          </cell>
          <cell r="M12">
            <v>99.736892835400567</v>
          </cell>
          <cell r="N12">
            <v>99.736892835400567</v>
          </cell>
          <cell r="O12">
            <v>80.985063762659451</v>
          </cell>
          <cell r="P12">
            <v>0</v>
          </cell>
          <cell r="Q12">
            <v>95.935936215516222</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112.19591288377832</v>
          </cell>
          <cell r="AI12">
            <v>120.763621343886</v>
          </cell>
          <cell r="AJ12">
            <v>120.763621343886</v>
          </cell>
          <cell r="AK12">
            <v>0</v>
          </cell>
          <cell r="AL12">
            <v>0</v>
          </cell>
          <cell r="AM12">
            <v>95.550941058949917</v>
          </cell>
          <cell r="AN12">
            <v>95.550941058949917</v>
          </cell>
          <cell r="AO12">
            <v>106.3885130897465</v>
          </cell>
          <cell r="AP12">
            <v>106.3885130897465</v>
          </cell>
          <cell r="AQ12">
            <v>106.3885130897465</v>
          </cell>
          <cell r="AR12">
            <v>96.479875804446777</v>
          </cell>
          <cell r="AS12">
            <v>99.382874327499536</v>
          </cell>
          <cell r="AT12">
            <v>94.283558307533994</v>
          </cell>
          <cell r="AU12">
            <v>76.435952237654689</v>
          </cell>
          <cell r="AV12">
            <v>94.283558307533994</v>
          </cell>
          <cell r="AW12">
            <v>0</v>
          </cell>
          <cell r="AX12">
            <v>0</v>
          </cell>
          <cell r="AY12">
            <v>0</v>
          </cell>
          <cell r="AZ12">
            <v>0</v>
          </cell>
          <cell r="BA12">
            <v>107.0318483574478</v>
          </cell>
          <cell r="BB12">
            <v>106.40718214500203</v>
          </cell>
          <cell r="BC12">
            <v>0</v>
          </cell>
          <cell r="BD12">
            <v>90.478857052060391</v>
          </cell>
          <cell r="BE12">
            <v>0</v>
          </cell>
          <cell r="BF12">
            <v>0</v>
          </cell>
          <cell r="BG12">
            <v>0</v>
          </cell>
          <cell r="BH12">
            <v>90.478857052060391</v>
          </cell>
          <cell r="BI12">
            <v>101.35518135031077</v>
          </cell>
          <cell r="BJ12">
            <v>98.836205809373993</v>
          </cell>
          <cell r="BK12">
            <v>98.836205809373993</v>
          </cell>
          <cell r="BL12">
            <v>98.836205809373993</v>
          </cell>
          <cell r="BM12">
            <v>120.763621343886</v>
          </cell>
          <cell r="BN12">
            <v>76.435952237654689</v>
          </cell>
          <cell r="BO12">
            <v>90</v>
          </cell>
          <cell r="BP12">
            <v>100</v>
          </cell>
          <cell r="BQ12">
            <v>418.04645369385912</v>
          </cell>
          <cell r="BR12">
            <v>264.59771918128632</v>
          </cell>
          <cell r="BS12">
            <v>311.55227388642857</v>
          </cell>
          <cell r="BT12">
            <v>0.26968170115496615</v>
          </cell>
          <cell r="BU12">
            <v>0.35972221447269148</v>
          </cell>
          <cell r="BV12">
            <v>0.27</v>
          </cell>
          <cell r="BW12">
            <v>273.26027397260276</v>
          </cell>
          <cell r="BX12">
            <v>0.11362875060280508</v>
          </cell>
          <cell r="BY12">
            <v>311.55227388642857</v>
          </cell>
          <cell r="BZ12">
            <v>0.26968170115496615</v>
          </cell>
          <cell r="CA12">
            <v>320.27999999999997</v>
          </cell>
          <cell r="CB12">
            <v>0.30525015970241842</v>
          </cell>
          <cell r="CD12">
            <v>0</v>
          </cell>
          <cell r="CE12">
            <v>434.98181999999997</v>
          </cell>
          <cell r="CF12">
            <v>245.37825000000001</v>
          </cell>
          <cell r="CG12">
            <v>346.16919320714288</v>
          </cell>
        </row>
        <row r="13">
          <cell r="B13">
            <v>209911</v>
          </cell>
          <cell r="C13" t="str">
            <v>PHOTO CONDUCTOR 250 (AF200)</v>
          </cell>
          <cell r="D13">
            <v>0</v>
          </cell>
          <cell r="E13">
            <v>94.32689118365208</v>
          </cell>
          <cell r="F13">
            <v>95.61094841228541</v>
          </cell>
          <cell r="G13">
            <v>0</v>
          </cell>
          <cell r="H13">
            <v>0</v>
          </cell>
          <cell r="I13">
            <v>109.80775865903901</v>
          </cell>
          <cell r="J13">
            <v>114.45201890165508</v>
          </cell>
          <cell r="K13">
            <v>0</v>
          </cell>
          <cell r="L13">
            <v>0</v>
          </cell>
          <cell r="M13">
            <v>97.944247552091014</v>
          </cell>
          <cell r="N13">
            <v>97.944247552091014</v>
          </cell>
          <cell r="O13">
            <v>82.708880041962558</v>
          </cell>
          <cell r="P13">
            <v>0</v>
          </cell>
          <cell r="Q13">
            <v>82.900935873811505</v>
          </cell>
          <cell r="R13">
            <v>108.63641620187428</v>
          </cell>
          <cell r="S13">
            <v>108.66683639138736</v>
          </cell>
          <cell r="T13">
            <v>108.64706326820385</v>
          </cell>
          <cell r="U13">
            <v>82.900935873811505</v>
          </cell>
          <cell r="V13">
            <v>0</v>
          </cell>
          <cell r="W13">
            <v>0</v>
          </cell>
          <cell r="X13">
            <v>0</v>
          </cell>
          <cell r="Y13">
            <v>0</v>
          </cell>
          <cell r="Z13">
            <v>0</v>
          </cell>
          <cell r="AA13">
            <v>0</v>
          </cell>
          <cell r="AB13">
            <v>0</v>
          </cell>
          <cell r="AC13">
            <v>0</v>
          </cell>
          <cell r="AD13">
            <v>0</v>
          </cell>
          <cell r="AE13">
            <v>0</v>
          </cell>
          <cell r="AF13">
            <v>0</v>
          </cell>
          <cell r="AG13">
            <v>110.95829815442946</v>
          </cell>
          <cell r="AH13">
            <v>116.71412504600333</v>
          </cell>
          <cell r="AI13">
            <v>120.92966023419828</v>
          </cell>
          <cell r="AJ13">
            <v>120.92966023419828</v>
          </cell>
          <cell r="AK13">
            <v>110.13140471366815</v>
          </cell>
          <cell r="AL13">
            <v>110.13140471366815</v>
          </cell>
          <cell r="AM13">
            <v>94.543271922113263</v>
          </cell>
          <cell r="AN13">
            <v>94.543271922113263</v>
          </cell>
          <cell r="AO13">
            <v>99.801259283960178</v>
          </cell>
          <cell r="AP13">
            <v>103.3485139156368</v>
          </cell>
          <cell r="AQ13">
            <v>103.3485139156368</v>
          </cell>
          <cell r="AR13">
            <v>95.298006950129576</v>
          </cell>
          <cell r="AS13">
            <v>93.513556798382325</v>
          </cell>
          <cell r="AT13">
            <v>0</v>
          </cell>
          <cell r="AU13">
            <v>93.513556798382325</v>
          </cell>
          <cell r="AV13">
            <v>93.513556798382325</v>
          </cell>
          <cell r="AW13">
            <v>0</v>
          </cell>
          <cell r="AX13">
            <v>0</v>
          </cell>
          <cell r="AY13">
            <v>0</v>
          </cell>
          <cell r="AZ13">
            <v>0</v>
          </cell>
          <cell r="BA13">
            <v>0</v>
          </cell>
          <cell r="BB13">
            <v>93.513556798382325</v>
          </cell>
          <cell r="BC13">
            <v>0</v>
          </cell>
          <cell r="BD13">
            <v>90.42233718089706</v>
          </cell>
          <cell r="BE13">
            <v>98.576863931947159</v>
          </cell>
          <cell r="BF13">
            <v>92.449811384832884</v>
          </cell>
          <cell r="BG13">
            <v>0</v>
          </cell>
          <cell r="BH13">
            <v>90.42233718089706</v>
          </cell>
          <cell r="BI13">
            <v>97.21246305256895</v>
          </cell>
          <cell r="BJ13">
            <v>97.21246305256895</v>
          </cell>
          <cell r="BK13">
            <v>97.21246305256895</v>
          </cell>
          <cell r="BL13">
            <v>97.21246305256895</v>
          </cell>
          <cell r="BM13">
            <v>120.92966023419828</v>
          </cell>
          <cell r="BN13">
            <v>82.708880041962558</v>
          </cell>
          <cell r="BO13">
            <v>90</v>
          </cell>
          <cell r="BP13">
            <v>100</v>
          </cell>
          <cell r="BQ13">
            <v>430.34807435254612</v>
          </cell>
          <cell r="BR13">
            <v>294.33314530928146</v>
          </cell>
          <cell r="BS13">
            <v>320.27979419375004</v>
          </cell>
          <cell r="BT13">
            <v>0.20935028416143941</v>
          </cell>
          <cell r="BU13">
            <v>0.36592940397248785</v>
          </cell>
          <cell r="BV13">
            <v>0.27</v>
          </cell>
          <cell r="BW13">
            <v>278.19178082191786</v>
          </cell>
          <cell r="BX13">
            <v>5.0429391074363394E-2</v>
          </cell>
          <cell r="BY13">
            <v>320.27979419375004</v>
          </cell>
          <cell r="BZ13">
            <v>0.20935028416143941</v>
          </cell>
          <cell r="CA13">
            <v>320.27979419375004</v>
          </cell>
          <cell r="CB13">
            <v>0.20935028416143941</v>
          </cell>
          <cell r="CD13">
            <v>0</v>
          </cell>
          <cell r="CE13">
            <v>466.05194999999998</v>
          </cell>
          <cell r="CF13">
            <v>264.83625000000001</v>
          </cell>
          <cell r="CG13">
            <v>355.86643799305563</v>
          </cell>
        </row>
        <row r="14">
          <cell r="B14">
            <v>317927</v>
          </cell>
          <cell r="C14" t="str">
            <v>STAPLE TYPE E</v>
          </cell>
          <cell r="D14">
            <v>0</v>
          </cell>
          <cell r="E14">
            <v>0</v>
          </cell>
          <cell r="F14">
            <v>0</v>
          </cell>
          <cell r="G14">
            <v>0</v>
          </cell>
          <cell r="H14">
            <v>0</v>
          </cell>
          <cell r="I14">
            <v>0</v>
          </cell>
          <cell r="J14">
            <v>0</v>
          </cell>
          <cell r="K14">
            <v>0</v>
          </cell>
          <cell r="L14">
            <v>113.61363018685822</v>
          </cell>
          <cell r="M14">
            <v>97.737168274990154</v>
          </cell>
          <cell r="N14">
            <v>97.737168274990154</v>
          </cell>
          <cell r="O14">
            <v>105.12259763232153</v>
          </cell>
          <cell r="P14">
            <v>0</v>
          </cell>
          <cell r="Q14">
            <v>0</v>
          </cell>
          <cell r="R14">
            <v>0</v>
          </cell>
          <cell r="S14">
            <v>0</v>
          </cell>
          <cell r="T14">
            <v>0</v>
          </cell>
          <cell r="U14">
            <v>0</v>
          </cell>
          <cell r="V14">
            <v>0</v>
          </cell>
          <cell r="W14">
            <v>76.119736012831083</v>
          </cell>
          <cell r="X14">
            <v>89.454908320617989</v>
          </cell>
          <cell r="Y14">
            <v>89.454908320617989</v>
          </cell>
          <cell r="Z14">
            <v>89.454908320617989</v>
          </cell>
          <cell r="AA14">
            <v>89.454908320617989</v>
          </cell>
          <cell r="AB14">
            <v>89.454908320617989</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101.18008829968602</v>
          </cell>
          <cell r="AT14">
            <v>101.18008829968602</v>
          </cell>
          <cell r="AU14">
            <v>0</v>
          </cell>
          <cell r="AV14">
            <v>101.18008829968602</v>
          </cell>
          <cell r="AW14">
            <v>0</v>
          </cell>
          <cell r="AX14">
            <v>0</v>
          </cell>
          <cell r="AY14">
            <v>0</v>
          </cell>
          <cell r="AZ14">
            <v>0</v>
          </cell>
          <cell r="BA14">
            <v>101.18008829968602</v>
          </cell>
          <cell r="BB14">
            <v>101.18008829968602</v>
          </cell>
          <cell r="BC14">
            <v>0</v>
          </cell>
          <cell r="BD14">
            <v>0</v>
          </cell>
          <cell r="BE14">
            <v>111.7772250515774</v>
          </cell>
          <cell r="BF14">
            <v>0</v>
          </cell>
          <cell r="BG14">
            <v>0</v>
          </cell>
          <cell r="BH14">
            <v>99.771404516719087</v>
          </cell>
          <cell r="BI14">
            <v>111.7772250515774</v>
          </cell>
          <cell r="BJ14">
            <v>110.69581842251847</v>
          </cell>
          <cell r="BK14">
            <v>110.69581842251847</v>
          </cell>
          <cell r="BL14">
            <v>111.7772250515774</v>
          </cell>
          <cell r="BM14">
            <v>113.61363018685822</v>
          </cell>
          <cell r="BN14">
            <v>76.119736012831083</v>
          </cell>
          <cell r="BO14">
            <v>90</v>
          </cell>
          <cell r="BP14">
            <v>100</v>
          </cell>
          <cell r="BQ14">
            <v>79.517791441804277</v>
          </cell>
          <cell r="BR14">
            <v>53.275943061747547</v>
          </cell>
          <cell r="BS14">
            <v>62.99069238428573</v>
          </cell>
          <cell r="BT14">
            <v>0.2153317339574834</v>
          </cell>
          <cell r="BU14">
            <v>0.4807169319485024</v>
          </cell>
          <cell r="BV14">
            <v>0.27</v>
          </cell>
          <cell r="BW14">
            <v>44.808219178082197</v>
          </cell>
          <cell r="BX14">
            <v>-0.13547781984960472</v>
          </cell>
          <cell r="BY14">
            <v>62.99069238428573</v>
          </cell>
          <cell r="BZ14">
            <v>0.2153317339574834</v>
          </cell>
          <cell r="CA14">
            <v>62.99069238428573</v>
          </cell>
          <cell r="CB14">
            <v>0.2153317339574834</v>
          </cell>
          <cell r="CD14">
            <v>0</v>
          </cell>
          <cell r="CE14">
            <v>80.342070000000007</v>
          </cell>
          <cell r="CF14">
            <v>51.830040000000004</v>
          </cell>
          <cell r="CG14">
            <v>69.989658204761923</v>
          </cell>
        </row>
        <row r="15">
          <cell r="B15">
            <v>334049</v>
          </cell>
          <cell r="C15" t="str">
            <v>STEMPEL INKT 30 (MARKER)</v>
          </cell>
          <cell r="D15">
            <v>90.956237953780985</v>
          </cell>
          <cell r="E15">
            <v>88.944801749079275</v>
          </cell>
          <cell r="F15">
            <v>88.944801749079275</v>
          </cell>
          <cell r="G15">
            <v>0</v>
          </cell>
          <cell r="H15">
            <v>90.151663471900292</v>
          </cell>
          <cell r="I15">
            <v>88.140227267198611</v>
          </cell>
          <cell r="J15">
            <v>91.35852519472131</v>
          </cell>
          <cell r="K15">
            <v>0</v>
          </cell>
          <cell r="L15">
            <v>0</v>
          </cell>
          <cell r="M15">
            <v>0</v>
          </cell>
          <cell r="N15">
            <v>0</v>
          </cell>
          <cell r="O15">
            <v>0</v>
          </cell>
          <cell r="P15">
            <v>0</v>
          </cell>
          <cell r="Q15">
            <v>0</v>
          </cell>
          <cell r="R15">
            <v>94.22573095558576</v>
          </cell>
          <cell r="S15">
            <v>106.68140482979427</v>
          </cell>
          <cell r="T15">
            <v>0</v>
          </cell>
          <cell r="U15">
            <v>90.360176994624496</v>
          </cell>
          <cell r="V15">
            <v>0</v>
          </cell>
          <cell r="W15">
            <v>94.466797561846846</v>
          </cell>
          <cell r="X15">
            <v>98.244073610656159</v>
          </cell>
          <cell r="Y15">
            <v>98.244073610656159</v>
          </cell>
          <cell r="Z15">
            <v>0</v>
          </cell>
          <cell r="AA15">
            <v>98.244073610656159</v>
          </cell>
          <cell r="AB15">
            <v>98.244073610656159</v>
          </cell>
          <cell r="AC15">
            <v>98.244073610656159</v>
          </cell>
          <cell r="AD15">
            <v>98.244073610656159</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114.38419843474195</v>
          </cell>
          <cell r="AV15">
            <v>114.38419843474195</v>
          </cell>
          <cell r="AW15">
            <v>114.38419843474195</v>
          </cell>
          <cell r="AX15">
            <v>0</v>
          </cell>
          <cell r="AY15">
            <v>114.38419843474195</v>
          </cell>
          <cell r="AZ15">
            <v>114.38419843474195</v>
          </cell>
          <cell r="BA15">
            <v>0</v>
          </cell>
          <cell r="BB15">
            <v>114.38419843474195</v>
          </cell>
          <cell r="BC15">
            <v>0</v>
          </cell>
          <cell r="BD15">
            <v>0</v>
          </cell>
          <cell r="BE15">
            <v>0</v>
          </cell>
          <cell r="BF15">
            <v>0</v>
          </cell>
          <cell r="BG15">
            <v>0</v>
          </cell>
          <cell r="BH15">
            <v>0</v>
          </cell>
          <cell r="BI15">
            <v>0</v>
          </cell>
          <cell r="BJ15">
            <v>0</v>
          </cell>
          <cell r="BK15">
            <v>0</v>
          </cell>
          <cell r="BL15">
            <v>0</v>
          </cell>
          <cell r="BM15">
            <v>114.38419843474195</v>
          </cell>
          <cell r="BN15">
            <v>88.140227267198611</v>
          </cell>
          <cell r="BO15">
            <v>90</v>
          </cell>
          <cell r="BP15">
            <v>100</v>
          </cell>
          <cell r="BQ15">
            <v>54.548124900282254</v>
          </cell>
          <cell r="BR15">
            <v>42.032764940459757</v>
          </cell>
          <cell r="BS15">
            <v>42.919662927272739</v>
          </cell>
          <cell r="BT15">
            <v>0.43065543090909131</v>
          </cell>
          <cell r="BU15">
            <v>1</v>
          </cell>
          <cell r="BV15">
            <v>0.27</v>
          </cell>
          <cell r="BW15">
            <v>0</v>
          </cell>
          <cell r="BX15">
            <v>-1</v>
          </cell>
          <cell r="BY15">
            <v>42.919662927272739</v>
          </cell>
          <cell r="BZ15">
            <v>0.43065543090909131</v>
          </cell>
          <cell r="CA15">
            <v>42.919662927272739</v>
          </cell>
          <cell r="CB15">
            <v>0.43065543090909131</v>
          </cell>
          <cell r="CD15">
            <v>0</v>
          </cell>
          <cell r="CE15">
            <v>69.142138000000003</v>
          </cell>
          <cell r="CF15">
            <v>30</v>
          </cell>
          <cell r="CG15">
            <v>47.688514363636379</v>
          </cell>
        </row>
        <row r="16">
          <cell r="B16">
            <v>334238</v>
          </cell>
          <cell r="C16" t="str">
            <v>INK CART.TYP.50 FAX 800</v>
          </cell>
          <cell r="D16">
            <v>88.665046102937367</v>
          </cell>
          <cell r="E16">
            <v>93.766648052600118</v>
          </cell>
          <cell r="F16">
            <v>83.322423588723595</v>
          </cell>
          <cell r="G16">
            <v>0</v>
          </cell>
          <cell r="H16">
            <v>97.984507932242565</v>
          </cell>
          <cell r="I16">
            <v>90.954741466171825</v>
          </cell>
          <cell r="J16">
            <v>0</v>
          </cell>
          <cell r="K16">
            <v>107.82618098474158</v>
          </cell>
          <cell r="L16">
            <v>99.483274227855887</v>
          </cell>
          <cell r="M16">
            <v>0</v>
          </cell>
          <cell r="N16">
            <v>0</v>
          </cell>
          <cell r="O16">
            <v>0</v>
          </cell>
          <cell r="P16">
            <v>90.457301131499733</v>
          </cell>
          <cell r="Q16">
            <v>86.269287671937619</v>
          </cell>
          <cell r="R16">
            <v>0</v>
          </cell>
          <cell r="S16">
            <v>122.94496314500002</v>
          </cell>
          <cell r="T16">
            <v>0</v>
          </cell>
          <cell r="U16">
            <v>90.457301131499733</v>
          </cell>
          <cell r="V16">
            <v>0</v>
          </cell>
          <cell r="W16">
            <v>0</v>
          </cell>
          <cell r="X16">
            <v>0</v>
          </cell>
          <cell r="Y16">
            <v>0</v>
          </cell>
          <cell r="Z16">
            <v>0</v>
          </cell>
          <cell r="AA16">
            <v>0</v>
          </cell>
          <cell r="AB16">
            <v>0</v>
          </cell>
          <cell r="AC16">
            <v>0</v>
          </cell>
          <cell r="AD16">
            <v>0</v>
          </cell>
          <cell r="AE16">
            <v>0</v>
          </cell>
          <cell r="AF16">
            <v>0</v>
          </cell>
          <cell r="AG16">
            <v>0</v>
          </cell>
          <cell r="AH16">
            <v>0</v>
          </cell>
          <cell r="AI16">
            <v>101.80578855796338</v>
          </cell>
          <cell r="AJ16">
            <v>108.02337999364781</v>
          </cell>
          <cell r="AK16">
            <v>0</v>
          </cell>
          <cell r="AL16">
            <v>97.36661114322105</v>
          </cell>
          <cell r="AM16">
            <v>108.65264361376924</v>
          </cell>
          <cell r="AN16">
            <v>108.65264361376924</v>
          </cell>
          <cell r="AO16">
            <v>113.28398923525899</v>
          </cell>
          <cell r="AP16">
            <v>113.28398923525899</v>
          </cell>
          <cell r="AQ16">
            <v>113.28398923525899</v>
          </cell>
          <cell r="AR16">
            <v>95.487491700643076</v>
          </cell>
          <cell r="AS16">
            <v>97.321600954492098</v>
          </cell>
          <cell r="AT16">
            <v>97.321600954492098</v>
          </cell>
          <cell r="AU16">
            <v>86.369526076059586</v>
          </cell>
          <cell r="AV16">
            <v>97.321600954492098</v>
          </cell>
          <cell r="AW16">
            <v>0</v>
          </cell>
          <cell r="AX16">
            <v>86.369526076059586</v>
          </cell>
          <cell r="AY16">
            <v>0</v>
          </cell>
          <cell r="AZ16">
            <v>97.321600954492098</v>
          </cell>
          <cell r="BA16">
            <v>97.321600954492098</v>
          </cell>
          <cell r="BB16">
            <v>0</v>
          </cell>
          <cell r="BC16">
            <v>96.837227951428076</v>
          </cell>
          <cell r="BD16">
            <v>0</v>
          </cell>
          <cell r="BE16">
            <v>111.6687618028546</v>
          </cell>
          <cell r="BF16">
            <v>96.837227951428076</v>
          </cell>
          <cell r="BG16">
            <v>0</v>
          </cell>
          <cell r="BH16">
            <v>0</v>
          </cell>
          <cell r="BI16">
            <v>0</v>
          </cell>
          <cell r="BJ16">
            <v>111.6687618028546</v>
          </cell>
          <cell r="BK16">
            <v>0</v>
          </cell>
          <cell r="BL16">
            <v>111.6687618028546</v>
          </cell>
          <cell r="BM16">
            <v>122.94496314500002</v>
          </cell>
          <cell r="BN16">
            <v>83.322423588723595</v>
          </cell>
          <cell r="BO16">
            <v>90</v>
          </cell>
          <cell r="BP16">
            <v>100</v>
          </cell>
          <cell r="BQ16">
            <v>2331.2418028799102</v>
          </cell>
          <cell r="BR16">
            <v>1579.9322885493841</v>
          </cell>
          <cell r="BS16">
            <v>1706.5502879669998</v>
          </cell>
          <cell r="BT16">
            <v>0.13952342946514418</v>
          </cell>
          <cell r="BU16">
            <v>0.32715138364431007</v>
          </cell>
          <cell r="BV16">
            <v>0.27</v>
          </cell>
          <cell r="BW16">
            <v>1572.9452054794522</v>
          </cell>
          <cell r="BX16">
            <v>5.0310634000702681E-2</v>
          </cell>
          <cell r="BY16">
            <v>1706.5502879669998</v>
          </cell>
          <cell r="BZ16">
            <v>0.13952342946514418</v>
          </cell>
          <cell r="CA16">
            <v>1706.5502879669998</v>
          </cell>
          <cell r="CB16">
            <v>0.13952342946514418</v>
          </cell>
          <cell r="CD16">
            <v>0</v>
          </cell>
          <cell r="CE16">
            <v>2444.5143360000002</v>
          </cell>
          <cell r="CF16">
            <v>1497.6</v>
          </cell>
          <cell r="CG16">
            <v>1896.1669866299997</v>
          </cell>
        </row>
        <row r="17">
          <cell r="B17">
            <v>339032</v>
          </cell>
          <cell r="C17" t="str">
            <v>FAX TONER TYPE 1200L</v>
          </cell>
          <cell r="D17">
            <v>95.853547893987965</v>
          </cell>
          <cell r="E17">
            <v>94.819750405541043</v>
          </cell>
          <cell r="F17">
            <v>94.819750405541043</v>
          </cell>
          <cell r="G17">
            <v>102.95086225767801</v>
          </cell>
          <cell r="H17">
            <v>95.327944896299599</v>
          </cell>
          <cell r="I17">
            <v>94.480954078368669</v>
          </cell>
          <cell r="J17">
            <v>95.836139387058154</v>
          </cell>
          <cell r="K17">
            <v>96.513732041402903</v>
          </cell>
          <cell r="L17">
            <v>96.143801269144532</v>
          </cell>
          <cell r="M17">
            <v>0</v>
          </cell>
          <cell r="N17">
            <v>0</v>
          </cell>
          <cell r="O17">
            <v>0</v>
          </cell>
          <cell r="P17">
            <v>0</v>
          </cell>
          <cell r="Q17">
            <v>95.833225738644472</v>
          </cell>
          <cell r="R17">
            <v>0</v>
          </cell>
          <cell r="S17">
            <v>0</v>
          </cell>
          <cell r="T17">
            <v>0</v>
          </cell>
          <cell r="U17">
            <v>0</v>
          </cell>
          <cell r="V17">
            <v>0</v>
          </cell>
          <cell r="W17">
            <v>96.297531709538106</v>
          </cell>
          <cell r="X17">
            <v>96.195685315374945</v>
          </cell>
          <cell r="Y17">
            <v>0</v>
          </cell>
          <cell r="Z17">
            <v>0</v>
          </cell>
          <cell r="AA17">
            <v>98.081729651729688</v>
          </cell>
          <cell r="AB17">
            <v>0</v>
          </cell>
          <cell r="AC17">
            <v>0</v>
          </cell>
          <cell r="AD17">
            <v>0</v>
          </cell>
          <cell r="AE17">
            <v>95.667592901195619</v>
          </cell>
          <cell r="AF17">
            <v>96.679380680419598</v>
          </cell>
          <cell r="AG17">
            <v>131.79191854152808</v>
          </cell>
          <cell r="AH17">
            <v>0</v>
          </cell>
          <cell r="AI17">
            <v>137.52386241477038</v>
          </cell>
          <cell r="AJ17">
            <v>0</v>
          </cell>
          <cell r="AK17">
            <v>98.81304763669165</v>
          </cell>
          <cell r="AL17">
            <v>98.965452419282514</v>
          </cell>
          <cell r="AM17">
            <v>98.721183141468771</v>
          </cell>
          <cell r="AN17">
            <v>98.721183141468771</v>
          </cell>
          <cell r="AO17">
            <v>99.390137733174527</v>
          </cell>
          <cell r="AP17">
            <v>99.390137733174527</v>
          </cell>
          <cell r="AQ17">
            <v>99.390137733174527</v>
          </cell>
          <cell r="AR17">
            <v>99.256231531348362</v>
          </cell>
          <cell r="AS17">
            <v>97.511693113997893</v>
          </cell>
          <cell r="AT17">
            <v>0</v>
          </cell>
          <cell r="AU17">
            <v>0</v>
          </cell>
          <cell r="AV17">
            <v>0</v>
          </cell>
          <cell r="AW17">
            <v>0</v>
          </cell>
          <cell r="AX17">
            <v>0</v>
          </cell>
          <cell r="AY17">
            <v>97.511693113997893</v>
          </cell>
          <cell r="AZ17">
            <v>0</v>
          </cell>
          <cell r="BA17">
            <v>0</v>
          </cell>
          <cell r="BB17">
            <v>97.511693113997893</v>
          </cell>
          <cell r="BC17">
            <v>0</v>
          </cell>
          <cell r="BD17">
            <v>0</v>
          </cell>
          <cell r="BE17">
            <v>0</v>
          </cell>
          <cell r="BF17">
            <v>0</v>
          </cell>
          <cell r="BG17">
            <v>0</v>
          </cell>
          <cell r="BH17">
            <v>0</v>
          </cell>
          <cell r="BI17">
            <v>0</v>
          </cell>
          <cell r="BJ17">
            <v>0</v>
          </cell>
          <cell r="BK17">
            <v>0</v>
          </cell>
          <cell r="BL17">
            <v>0</v>
          </cell>
          <cell r="BM17">
            <v>137.52386241477038</v>
          </cell>
          <cell r="BN17">
            <v>94.480954078368669</v>
          </cell>
          <cell r="BO17">
            <v>90</v>
          </cell>
          <cell r="BP17">
            <v>100</v>
          </cell>
          <cell r="BQ17">
            <v>287.32613416186854</v>
          </cell>
          <cell r="BR17">
            <v>197.39735934254176</v>
          </cell>
          <cell r="BS17">
            <v>188.03538251839279</v>
          </cell>
          <cell r="BT17">
            <v>0.48644571160784822</v>
          </cell>
          <cell r="BU17">
            <v>0.35910998033462005</v>
          </cell>
          <cell r="BV17">
            <v>0.27</v>
          </cell>
          <cell r="BW17">
            <v>165.08219178082192</v>
          </cell>
          <cell r="BX17">
            <v>0.30499756348475815</v>
          </cell>
          <cell r="BY17">
            <v>188.03538251839279</v>
          </cell>
          <cell r="BZ17">
            <v>0.48644571160784822</v>
          </cell>
          <cell r="CA17">
            <v>150.63999999999999</v>
          </cell>
          <cell r="CB17">
            <v>0.19083003952569166</v>
          </cell>
          <cell r="CD17">
            <v>0</v>
          </cell>
          <cell r="CE17">
            <v>769.35559999999998</v>
          </cell>
          <cell r="CF17">
            <v>126.5</v>
          </cell>
          <cell r="CG17">
            <v>208.92820279821422</v>
          </cell>
        </row>
        <row r="18">
          <cell r="B18">
            <v>339343</v>
          </cell>
          <cell r="C18" t="str">
            <v>REFILL FAX880 BLACK (TYPE 125)</v>
          </cell>
          <cell r="D18">
            <v>89.463257390981042</v>
          </cell>
          <cell r="E18">
            <v>0</v>
          </cell>
          <cell r="F18">
            <v>0</v>
          </cell>
          <cell r="G18">
            <v>0</v>
          </cell>
          <cell r="H18">
            <v>92.042389401691608</v>
          </cell>
          <cell r="I18">
            <v>88.094738364889707</v>
          </cell>
          <cell r="J18">
            <v>0</v>
          </cell>
          <cell r="K18">
            <v>0</v>
          </cell>
          <cell r="L18">
            <v>0</v>
          </cell>
          <cell r="M18">
            <v>0</v>
          </cell>
          <cell r="N18">
            <v>0</v>
          </cell>
          <cell r="O18">
            <v>0</v>
          </cell>
          <cell r="P18">
            <v>86.550969950437974</v>
          </cell>
          <cell r="Q18">
            <v>84.898788300904812</v>
          </cell>
          <cell r="R18">
            <v>0</v>
          </cell>
          <cell r="S18">
            <v>91.440078913342177</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106.02650457166934</v>
          </cell>
          <cell r="AI18">
            <v>0</v>
          </cell>
          <cell r="AJ18">
            <v>111.3080660165508</v>
          </cell>
          <cell r="AK18">
            <v>0</v>
          </cell>
          <cell r="AL18">
            <v>0</v>
          </cell>
          <cell r="AM18">
            <v>107.03065479298479</v>
          </cell>
          <cell r="AN18">
            <v>107.03065479298479</v>
          </cell>
          <cell r="AO18">
            <v>107.03065479298479</v>
          </cell>
          <cell r="AP18">
            <v>107.03065479298479</v>
          </cell>
          <cell r="AQ18">
            <v>107.03065479298479</v>
          </cell>
          <cell r="AR18">
            <v>107.03065479298479</v>
          </cell>
          <cell r="AS18">
            <v>101.71556875506629</v>
          </cell>
          <cell r="AT18">
            <v>0</v>
          </cell>
          <cell r="AU18">
            <v>90.522075297933185</v>
          </cell>
          <cell r="AV18">
            <v>0</v>
          </cell>
          <cell r="AW18">
            <v>0</v>
          </cell>
          <cell r="AX18">
            <v>0</v>
          </cell>
          <cell r="AY18">
            <v>0</v>
          </cell>
          <cell r="AZ18">
            <v>0</v>
          </cell>
          <cell r="BA18">
            <v>0</v>
          </cell>
          <cell r="BB18">
            <v>0</v>
          </cell>
          <cell r="BC18">
            <v>0</v>
          </cell>
          <cell r="BD18">
            <v>0</v>
          </cell>
          <cell r="BE18">
            <v>0</v>
          </cell>
          <cell r="BF18">
            <v>115.75363427862452</v>
          </cell>
          <cell r="BG18">
            <v>0</v>
          </cell>
          <cell r="BH18">
            <v>0</v>
          </cell>
          <cell r="BI18">
            <v>0</v>
          </cell>
          <cell r="BJ18">
            <v>0</v>
          </cell>
          <cell r="BK18">
            <v>0</v>
          </cell>
          <cell r="BL18">
            <v>0</v>
          </cell>
          <cell r="BM18">
            <v>115.75363427862452</v>
          </cell>
          <cell r="BN18">
            <v>84.898788300904812</v>
          </cell>
          <cell r="BO18">
            <v>90</v>
          </cell>
          <cell r="BP18">
            <v>100</v>
          </cell>
          <cell r="BQ18">
            <v>1355.9618392386096</v>
          </cell>
          <cell r="BR18">
            <v>994.52183813534589</v>
          </cell>
          <cell r="BS18">
            <v>1054.2784793929409</v>
          </cell>
          <cell r="BT18">
            <v>0.27461082230514688</v>
          </cell>
          <cell r="BU18">
            <v>0.28520783196303012</v>
          </cell>
          <cell r="BV18">
            <v>0.27</v>
          </cell>
          <cell r="BW18">
            <v>1032.3150684931506</v>
          </cell>
          <cell r="BX18">
            <v>0.24805730558750794</v>
          </cell>
          <cell r="BY18">
            <v>1054.2784793929409</v>
          </cell>
          <cell r="BZ18">
            <v>0.27461082230514688</v>
          </cell>
          <cell r="CA18">
            <v>941.99</v>
          </cell>
          <cell r="CB18">
            <v>0.13885531382047911</v>
          </cell>
          <cell r="CD18">
            <v>0</v>
          </cell>
          <cell r="CE18">
            <v>1530.5776799999999</v>
          </cell>
          <cell r="CF18">
            <v>827.13755520000007</v>
          </cell>
          <cell r="CG18">
            <v>1171.4205326588233</v>
          </cell>
        </row>
        <row r="19">
          <cell r="B19">
            <v>339344</v>
          </cell>
          <cell r="C19" t="str">
            <v>REFILL FAX880 COLOUR (TYPE 125)</v>
          </cell>
          <cell r="D19">
            <v>81.467658986832618</v>
          </cell>
          <cell r="E19">
            <v>0</v>
          </cell>
          <cell r="F19">
            <v>0</v>
          </cell>
          <cell r="G19">
            <v>0</v>
          </cell>
          <cell r="H19">
            <v>89.530411481076541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102.81838220400323</v>
          </cell>
          <cell r="AH19">
            <v>125.2838286620977</v>
          </cell>
          <cell r="AI19">
            <v>0</v>
          </cell>
          <cell r="AJ19">
            <v>0</v>
          </cell>
          <cell r="AK19">
            <v>0</v>
          </cell>
          <cell r="AL19">
            <v>0</v>
          </cell>
          <cell r="AM19">
            <v>101.73141373619019</v>
          </cell>
          <cell r="AN19">
            <v>101.73141373619019</v>
          </cell>
          <cell r="AO19">
            <v>101.73141373619019</v>
          </cell>
          <cell r="AP19">
            <v>101.73141373619019</v>
          </cell>
          <cell r="AQ19">
            <v>101.73141373619019</v>
          </cell>
          <cell r="AR19">
            <v>101.73141373619019</v>
          </cell>
          <cell r="AS19">
            <v>92.982736587898145</v>
          </cell>
          <cell r="AT19">
            <v>0</v>
          </cell>
          <cell r="AU19">
            <v>92.982736587898145</v>
          </cell>
          <cell r="AV19">
            <v>0</v>
          </cell>
          <cell r="AW19">
            <v>0</v>
          </cell>
          <cell r="AX19">
            <v>0</v>
          </cell>
          <cell r="AY19">
            <v>0</v>
          </cell>
          <cell r="AZ19">
            <v>96.234584216466047</v>
          </cell>
          <cell r="BA19">
            <v>0</v>
          </cell>
          <cell r="BB19">
            <v>0</v>
          </cell>
          <cell r="BC19">
            <v>0</v>
          </cell>
          <cell r="BD19">
            <v>0</v>
          </cell>
          <cell r="BE19">
            <v>0</v>
          </cell>
          <cell r="BF19">
            <v>108.31117885658668</v>
          </cell>
          <cell r="BG19">
            <v>0</v>
          </cell>
          <cell r="BH19">
            <v>0</v>
          </cell>
          <cell r="BI19">
            <v>0</v>
          </cell>
          <cell r="BJ19">
            <v>0</v>
          </cell>
          <cell r="BK19">
            <v>0</v>
          </cell>
          <cell r="BL19">
            <v>0</v>
          </cell>
          <cell r="BM19">
            <v>125.2838286620977</v>
          </cell>
          <cell r="BN19">
            <v>81.467658986832618</v>
          </cell>
          <cell r="BO19">
            <v>90</v>
          </cell>
          <cell r="BP19">
            <v>100</v>
          </cell>
          <cell r="BQ19">
            <v>3967.3340017209648</v>
          </cell>
          <cell r="BR19">
            <v>2579.8174991187079</v>
          </cell>
          <cell r="BS19">
            <v>2850.0091669285703</v>
          </cell>
          <cell r="BT19">
            <v>0.27551430671704713</v>
          </cell>
          <cell r="BU19">
            <v>0.3650652001410376</v>
          </cell>
          <cell r="BV19">
            <v>0.27</v>
          </cell>
          <cell r="BW19">
            <v>2478.8630136986303</v>
          </cell>
          <cell r="BX19">
            <v>0.10940879596250896</v>
          </cell>
          <cell r="BY19">
            <v>2850.0091669285703</v>
          </cell>
          <cell r="BZ19">
            <v>0.27551430671704713</v>
          </cell>
          <cell r="CA19">
            <v>2261.96</v>
          </cell>
          <cell r="CB19">
            <v>1.2334407447189388E-2</v>
          </cell>
          <cell r="CD19">
            <v>0</v>
          </cell>
          <cell r="CE19">
            <v>4438.59</v>
          </cell>
          <cell r="CF19">
            <v>2234.4</v>
          </cell>
          <cell r="CG19">
            <v>3166.6768521428562</v>
          </cell>
        </row>
        <row r="20">
          <cell r="B20">
            <v>339353</v>
          </cell>
          <cell r="C20" t="str">
            <v>FAX INK 880 BLACK (TYPE 120)</v>
          </cell>
          <cell r="D20">
            <v>94.68109569299186</v>
          </cell>
          <cell r="E20">
            <v>88.092186616314123</v>
          </cell>
          <cell r="F20">
            <v>88.092186616314123</v>
          </cell>
          <cell r="G20">
            <v>95.378744889345967</v>
          </cell>
          <cell r="H20">
            <v>91.812982330202729</v>
          </cell>
          <cell r="I20">
            <v>85.611656140388391</v>
          </cell>
          <cell r="J20">
            <v>89.332451854276997</v>
          </cell>
          <cell r="K20">
            <v>100.4948389959428</v>
          </cell>
          <cell r="L20">
            <v>0</v>
          </cell>
          <cell r="M20">
            <v>0</v>
          </cell>
          <cell r="N20">
            <v>0</v>
          </cell>
          <cell r="O20">
            <v>0</v>
          </cell>
          <cell r="P20">
            <v>91.876507165359641</v>
          </cell>
          <cell r="Q20">
            <v>0</v>
          </cell>
          <cell r="R20">
            <v>0</v>
          </cell>
          <cell r="S20">
            <v>0</v>
          </cell>
          <cell r="T20">
            <v>0</v>
          </cell>
          <cell r="U20">
            <v>91.876507165359641</v>
          </cell>
          <cell r="V20">
            <v>0</v>
          </cell>
          <cell r="W20">
            <v>0</v>
          </cell>
          <cell r="X20">
            <v>0</v>
          </cell>
          <cell r="Y20">
            <v>0</v>
          </cell>
          <cell r="Z20">
            <v>0</v>
          </cell>
          <cell r="AA20">
            <v>0</v>
          </cell>
          <cell r="AB20">
            <v>0</v>
          </cell>
          <cell r="AC20">
            <v>0</v>
          </cell>
          <cell r="AD20">
            <v>0</v>
          </cell>
          <cell r="AE20">
            <v>0</v>
          </cell>
          <cell r="AF20">
            <v>0</v>
          </cell>
          <cell r="AG20">
            <v>101.96124528298941</v>
          </cell>
          <cell r="AH20">
            <v>104.46820955777071</v>
          </cell>
          <cell r="AI20">
            <v>103.88006544638507</v>
          </cell>
          <cell r="AJ20">
            <v>111.90823256679907</v>
          </cell>
          <cell r="AK20">
            <v>0</v>
          </cell>
          <cell r="AL20">
            <v>101.13637316677105</v>
          </cell>
          <cell r="AM20">
            <v>91.358502637066692</v>
          </cell>
          <cell r="AN20">
            <v>91.358502637066692</v>
          </cell>
          <cell r="AO20">
            <v>109.14039774916232</v>
          </cell>
          <cell r="AP20">
            <v>105.99879272358424</v>
          </cell>
          <cell r="AQ20">
            <v>109.14039774916232</v>
          </cell>
          <cell r="AR20">
            <v>93.309172424190365</v>
          </cell>
          <cell r="AS20">
            <v>103.31702456180437</v>
          </cell>
          <cell r="AT20">
            <v>84.465216967677421</v>
          </cell>
          <cell r="AU20">
            <v>94.017926645418882</v>
          </cell>
          <cell r="AV20">
            <v>97.991177573329054</v>
          </cell>
          <cell r="AW20">
            <v>0</v>
          </cell>
          <cell r="AX20">
            <v>94.017926645418882</v>
          </cell>
          <cell r="AY20">
            <v>103.31702456180437</v>
          </cell>
          <cell r="AZ20">
            <v>0</v>
          </cell>
          <cell r="BA20">
            <v>0</v>
          </cell>
          <cell r="BB20">
            <v>82.774471891970961</v>
          </cell>
          <cell r="BC20">
            <v>103.215529781553</v>
          </cell>
          <cell r="BD20">
            <v>0</v>
          </cell>
          <cell r="BE20">
            <v>117.26561252378383</v>
          </cell>
          <cell r="BF20">
            <v>103.215529781553</v>
          </cell>
          <cell r="BG20">
            <v>103.215529781553</v>
          </cell>
          <cell r="BH20">
            <v>103.215529781553</v>
          </cell>
          <cell r="BI20">
            <v>117.26561252378383</v>
          </cell>
          <cell r="BJ20">
            <v>117.26561252378383</v>
          </cell>
          <cell r="BK20">
            <v>117.26561252378383</v>
          </cell>
          <cell r="BL20">
            <v>117.26561252378383</v>
          </cell>
          <cell r="BM20">
            <v>117.26561252378383</v>
          </cell>
          <cell r="BN20">
            <v>82.774471891970961</v>
          </cell>
          <cell r="BO20">
            <v>90</v>
          </cell>
          <cell r="BP20">
            <v>100</v>
          </cell>
          <cell r="BQ20">
            <v>2773.8937091331882</v>
          </cell>
          <cell r="BR20">
            <v>1958.0129410179059</v>
          </cell>
          <cell r="BS20">
            <v>2128.9313077297302</v>
          </cell>
          <cell r="BT20">
            <v>0.16198044738603823</v>
          </cell>
          <cell r="BU20">
            <v>0.16350048799879813</v>
          </cell>
          <cell r="BV20">
            <v>0.27</v>
          </cell>
          <cell r="BW20">
            <v>2439.5205479452056</v>
          </cell>
          <cell r="BX20">
            <v>0.33150147560734156</v>
          </cell>
          <cell r="BY20">
            <v>2439.5205479452056</v>
          </cell>
          <cell r="BZ20">
            <v>0.33150147560734156</v>
          </cell>
          <cell r="CA20">
            <v>2226.06</v>
          </cell>
          <cell r="CB20">
            <v>0.21499373198026195</v>
          </cell>
          <cell r="CD20">
            <v>0</v>
          </cell>
          <cell r="CE20">
            <v>2900.0419199999997</v>
          </cell>
          <cell r="CF20">
            <v>1832.1576</v>
          </cell>
          <cell r="CG20">
            <v>2365.4792308108113</v>
          </cell>
        </row>
        <row r="21">
          <cell r="B21">
            <v>339354</v>
          </cell>
          <cell r="C21" t="str">
            <v>FAX INK 880 COLOUR (TYPE 125)</v>
          </cell>
          <cell r="D21">
            <v>93.110700025367677</v>
          </cell>
          <cell r="E21">
            <v>0</v>
          </cell>
          <cell r="F21">
            <v>0</v>
          </cell>
          <cell r="G21">
            <v>0</v>
          </cell>
          <cell r="H21">
            <v>89.613929717208066</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98.275958969240165</v>
          </cell>
          <cell r="AH21">
            <v>100.66257911499869</v>
          </cell>
          <cell r="AI21">
            <v>0</v>
          </cell>
          <cell r="AJ21">
            <v>0</v>
          </cell>
          <cell r="AK21">
            <v>0</v>
          </cell>
          <cell r="AL21">
            <v>0</v>
          </cell>
          <cell r="AM21">
            <v>103.26285187455049</v>
          </cell>
          <cell r="AN21">
            <v>103.26285187455049</v>
          </cell>
          <cell r="AO21">
            <v>107.45169500070438</v>
          </cell>
          <cell r="AP21">
            <v>107.45169500070438</v>
          </cell>
          <cell r="AQ21">
            <v>107.45169500070438</v>
          </cell>
          <cell r="AR21">
            <v>107.45169500070438</v>
          </cell>
          <cell r="AS21">
            <v>95.461187918647326</v>
          </cell>
          <cell r="AT21">
            <v>0</v>
          </cell>
          <cell r="AU21">
            <v>95.461187918647326</v>
          </cell>
          <cell r="AV21">
            <v>95.461187918647326</v>
          </cell>
          <cell r="AW21">
            <v>0</v>
          </cell>
          <cell r="AX21">
            <v>0</v>
          </cell>
          <cell r="AY21">
            <v>0</v>
          </cell>
          <cell r="AZ21">
            <v>0</v>
          </cell>
          <cell r="BA21">
            <v>0</v>
          </cell>
          <cell r="BB21">
            <v>73.613166697467165</v>
          </cell>
          <cell r="BC21">
            <v>0</v>
          </cell>
          <cell r="BD21">
            <v>0</v>
          </cell>
          <cell r="BE21">
            <v>117.99012710443291</v>
          </cell>
          <cell r="BF21">
            <v>0</v>
          </cell>
          <cell r="BG21">
            <v>0</v>
          </cell>
          <cell r="BH21">
            <v>104.0174908634246</v>
          </cell>
          <cell r="BI21">
            <v>0</v>
          </cell>
          <cell r="BJ21">
            <v>0</v>
          </cell>
          <cell r="BK21">
            <v>0</v>
          </cell>
          <cell r="BL21">
            <v>0</v>
          </cell>
          <cell r="BM21">
            <v>117.99012710443291</v>
          </cell>
          <cell r="BN21">
            <v>73.613166697467165</v>
          </cell>
          <cell r="BO21">
            <v>90</v>
          </cell>
          <cell r="BP21">
            <v>100</v>
          </cell>
          <cell r="BQ21">
            <v>4153.6207858033313</v>
          </cell>
          <cell r="BR21">
            <v>2591.4132547105096</v>
          </cell>
          <cell r="BS21">
            <v>3168.2809392300005</v>
          </cell>
          <cell r="BT21">
            <v>0.37554950206658</v>
          </cell>
          <cell r="BU21">
            <v>0.17995592883520184</v>
          </cell>
          <cell r="BV21">
            <v>0.27</v>
          </cell>
          <cell r="BW21">
            <v>3559.0821917808221</v>
          </cell>
          <cell r="BX21">
            <v>0.54522084077176602</v>
          </cell>
          <cell r="BY21">
            <v>3559.0821917808221</v>
          </cell>
          <cell r="BZ21">
            <v>0.54522084077176602</v>
          </cell>
          <cell r="CA21">
            <v>3247.66</v>
          </cell>
          <cell r="CB21">
            <v>0.41001293179741127</v>
          </cell>
          <cell r="CD21">
            <v>0</v>
          </cell>
          <cell r="CE21">
            <v>4350.0628799999995</v>
          </cell>
          <cell r="CF21">
            <v>2303.2838400000001</v>
          </cell>
          <cell r="CG21">
            <v>3520.3121547000005</v>
          </cell>
        </row>
        <row r="22">
          <cell r="B22">
            <v>339472</v>
          </cell>
          <cell r="C22" t="str">
            <v>FAX MASTER 70</v>
          </cell>
          <cell r="D22">
            <v>91.769391884710458</v>
          </cell>
          <cell r="E22">
            <v>99.913513118762637</v>
          </cell>
          <cell r="F22">
            <v>99.913513118762637</v>
          </cell>
          <cell r="G22">
            <v>0</v>
          </cell>
          <cell r="H22">
            <v>103.09547671609847</v>
          </cell>
          <cell r="I22">
            <v>97.792204053872084</v>
          </cell>
          <cell r="J22">
            <v>100.97416765120792</v>
          </cell>
          <cell r="K22">
            <v>110.52005844321542</v>
          </cell>
          <cell r="L22">
            <v>0</v>
          </cell>
          <cell r="M22">
            <v>0</v>
          </cell>
          <cell r="N22">
            <v>0</v>
          </cell>
          <cell r="O22">
            <v>0</v>
          </cell>
          <cell r="P22">
            <v>85.133892891377926</v>
          </cell>
          <cell r="Q22">
            <v>84.621743858061606</v>
          </cell>
          <cell r="R22">
            <v>94.570238830231091</v>
          </cell>
          <cell r="S22">
            <v>88.292145263495215</v>
          </cell>
          <cell r="T22">
            <v>0</v>
          </cell>
          <cell r="U22">
            <v>84.621743858061606</v>
          </cell>
          <cell r="V22">
            <v>84.621743858061606</v>
          </cell>
          <cell r="W22">
            <v>0</v>
          </cell>
          <cell r="X22">
            <v>0</v>
          </cell>
          <cell r="Y22">
            <v>0</v>
          </cell>
          <cell r="Z22">
            <v>0</v>
          </cell>
          <cell r="AA22">
            <v>0</v>
          </cell>
          <cell r="AB22">
            <v>0</v>
          </cell>
          <cell r="AC22">
            <v>0</v>
          </cell>
          <cell r="AD22">
            <v>0</v>
          </cell>
          <cell r="AE22">
            <v>0</v>
          </cell>
          <cell r="AF22">
            <v>0</v>
          </cell>
          <cell r="AG22">
            <v>112.35577614839276</v>
          </cell>
          <cell r="AH22">
            <v>117.30865252495799</v>
          </cell>
          <cell r="AI22">
            <v>120.93611127962548</v>
          </cell>
          <cell r="AJ22">
            <v>120.93611127962548</v>
          </cell>
          <cell r="AK22">
            <v>0</v>
          </cell>
          <cell r="AL22">
            <v>111.6442361619003</v>
          </cell>
          <cell r="AM22">
            <v>103.18436905317903</v>
          </cell>
          <cell r="AN22">
            <v>103.18436905317903</v>
          </cell>
          <cell r="AO22">
            <v>106.25936334905118</v>
          </cell>
          <cell r="AP22">
            <v>106.25936334905118</v>
          </cell>
          <cell r="AQ22">
            <v>106.25936334905118</v>
          </cell>
          <cell r="AR22">
            <v>106.25936334905118</v>
          </cell>
          <cell r="AS22">
            <v>99.398418770397939</v>
          </cell>
          <cell r="AT22">
            <v>99.398418770397939</v>
          </cell>
          <cell r="AU22">
            <v>86.901214102483252</v>
          </cell>
          <cell r="AV22">
            <v>0</v>
          </cell>
          <cell r="AW22">
            <v>0</v>
          </cell>
          <cell r="AX22">
            <v>0</v>
          </cell>
          <cell r="AY22">
            <v>0</v>
          </cell>
          <cell r="AZ22">
            <v>99.398418770397939</v>
          </cell>
          <cell r="BA22">
            <v>0</v>
          </cell>
          <cell r="BB22">
            <v>0</v>
          </cell>
          <cell r="BC22">
            <v>93.062596255874922</v>
          </cell>
          <cell r="BD22">
            <v>0</v>
          </cell>
          <cell r="BE22">
            <v>101.11311605991938</v>
          </cell>
          <cell r="BF22">
            <v>93.062596255874922</v>
          </cell>
          <cell r="BG22">
            <v>93.062596255874922</v>
          </cell>
          <cell r="BH22">
            <v>93.062596255874922</v>
          </cell>
          <cell r="BI22">
            <v>0</v>
          </cell>
          <cell r="BJ22">
            <v>0</v>
          </cell>
          <cell r="BK22">
            <v>0</v>
          </cell>
          <cell r="BL22">
            <v>101.11311605991938</v>
          </cell>
          <cell r="BM22">
            <v>120.93611127962548</v>
          </cell>
          <cell r="BN22">
            <v>84.621743858061606</v>
          </cell>
          <cell r="BO22">
            <v>90</v>
          </cell>
          <cell r="BP22">
            <v>100</v>
          </cell>
          <cell r="BQ22">
            <v>752.04556181685052</v>
          </cell>
          <cell r="BR22">
            <v>526.22336065124591</v>
          </cell>
          <cell r="BS22">
            <v>559.66824009264735</v>
          </cell>
          <cell r="BT22">
            <v>0.24720631234755275</v>
          </cell>
          <cell r="BU22">
            <v>0.34432584572021896</v>
          </cell>
          <cell r="BV22">
            <v>0.27</v>
          </cell>
          <cell r="BW22">
            <v>502.6849315068493</v>
          </cell>
          <cell r="BX22">
            <v>0.12022047131628222</v>
          </cell>
          <cell r="BY22">
            <v>559.66824009264735</v>
          </cell>
          <cell r="BZ22">
            <v>0.24720631234755275</v>
          </cell>
          <cell r="CA22">
            <v>559.66824009264735</v>
          </cell>
          <cell r="CB22">
            <v>0.24720631234755275</v>
          </cell>
          <cell r="CD22">
            <v>0</v>
          </cell>
          <cell r="CE22">
            <v>857.53558799999996</v>
          </cell>
          <cell r="CF22">
            <v>448.73749800000002</v>
          </cell>
          <cell r="CG22">
            <v>621.85360010294153</v>
          </cell>
        </row>
        <row r="23">
          <cell r="B23">
            <v>339474</v>
          </cell>
          <cell r="C23" t="str">
            <v>FAX TONER 70</v>
          </cell>
          <cell r="D23">
            <v>94.411856772307459</v>
          </cell>
          <cell r="E23">
            <v>90.641551247001729</v>
          </cell>
          <cell r="F23">
            <v>90.641551247001729</v>
          </cell>
          <cell r="G23">
            <v>94.411856772307459</v>
          </cell>
          <cell r="H23">
            <v>94.411856772307459</v>
          </cell>
          <cell r="I23">
            <v>88.128014230131228</v>
          </cell>
          <cell r="J23">
            <v>91.898319755436958</v>
          </cell>
          <cell r="K23">
            <v>103.20923633135419</v>
          </cell>
          <cell r="L23">
            <v>93.827629249467293</v>
          </cell>
          <cell r="M23">
            <v>0</v>
          </cell>
          <cell r="N23">
            <v>0</v>
          </cell>
          <cell r="O23">
            <v>0</v>
          </cell>
          <cell r="P23">
            <v>81.563654333362535</v>
          </cell>
          <cell r="Q23">
            <v>82.841992216240598</v>
          </cell>
          <cell r="R23">
            <v>97.273610953583116</v>
          </cell>
          <cell r="S23">
            <v>0</v>
          </cell>
          <cell r="T23">
            <v>0</v>
          </cell>
          <cell r="U23">
            <v>82.841992216240598</v>
          </cell>
          <cell r="V23">
            <v>80.992482087821287</v>
          </cell>
          <cell r="W23">
            <v>93.665733145411863</v>
          </cell>
          <cell r="X23">
            <v>101.70278134354184</v>
          </cell>
          <cell r="Y23">
            <v>106.67809689476516</v>
          </cell>
          <cell r="Z23">
            <v>0</v>
          </cell>
          <cell r="AA23">
            <v>120.96873402420201</v>
          </cell>
          <cell r="AB23">
            <v>120.96873402420201</v>
          </cell>
          <cell r="AC23">
            <v>111.4008195026187</v>
          </cell>
          <cell r="AD23">
            <v>0</v>
          </cell>
          <cell r="AE23">
            <v>101.83290498103538</v>
          </cell>
          <cell r="AF23">
            <v>0</v>
          </cell>
          <cell r="AG23">
            <v>106.45105201716886</v>
          </cell>
          <cell r="AH23">
            <v>109.04754877617071</v>
          </cell>
          <cell r="AI23">
            <v>116.75328109320849</v>
          </cell>
          <cell r="AJ23">
            <v>116.75328109320849</v>
          </cell>
          <cell r="AK23">
            <v>105.59672082549727</v>
          </cell>
          <cell r="AL23">
            <v>105.59672082549727</v>
          </cell>
          <cell r="AM23">
            <v>99.311556638384204</v>
          </cell>
          <cell r="AN23">
            <v>99.311556638384204</v>
          </cell>
          <cell r="AO23">
            <v>106.26658047849625</v>
          </cell>
          <cell r="AP23">
            <v>110.31543006200262</v>
          </cell>
          <cell r="AQ23">
            <v>110.31543006200262</v>
          </cell>
          <cell r="AR23">
            <v>110.31543006200262</v>
          </cell>
          <cell r="AS23">
            <v>99.375752713462248</v>
          </cell>
          <cell r="AT23">
            <v>99.375752713462248</v>
          </cell>
          <cell r="AU23">
            <v>86.410674030070894</v>
          </cell>
          <cell r="AV23">
            <v>91.59670550342743</v>
          </cell>
          <cell r="AW23">
            <v>91.967136322952896</v>
          </cell>
          <cell r="AX23">
            <v>0</v>
          </cell>
          <cell r="AY23">
            <v>109.34034175869731</v>
          </cell>
          <cell r="AZ23">
            <v>99.375752713462248</v>
          </cell>
          <cell r="BA23">
            <v>109.34034175869731</v>
          </cell>
          <cell r="BB23">
            <v>99.375752713462248</v>
          </cell>
          <cell r="BC23">
            <v>93.695770456230917</v>
          </cell>
          <cell r="BD23">
            <v>0</v>
          </cell>
          <cell r="BE23">
            <v>106.23690375833897</v>
          </cell>
          <cell r="BF23">
            <v>93.695770456230917</v>
          </cell>
          <cell r="BG23">
            <v>93.695770456230917</v>
          </cell>
          <cell r="BH23">
            <v>93.695770456230917</v>
          </cell>
          <cell r="BI23">
            <v>106.23690375833897</v>
          </cell>
          <cell r="BJ23">
            <v>0</v>
          </cell>
          <cell r="BK23">
            <v>0</v>
          </cell>
          <cell r="BL23">
            <v>106.23690375833897</v>
          </cell>
          <cell r="BM23">
            <v>120.96873402420201</v>
          </cell>
          <cell r="BN23">
            <v>80.992482087821287</v>
          </cell>
          <cell r="BO23">
            <v>90</v>
          </cell>
          <cell r="BP23">
            <v>100</v>
          </cell>
          <cell r="BQ23">
            <v>798.21879825744952</v>
          </cell>
          <cell r="BR23">
            <v>534.43331652205563</v>
          </cell>
          <cell r="BS23">
            <v>593.86991541795931</v>
          </cell>
          <cell r="BT23">
            <v>0.20710731730107756</v>
          </cell>
          <cell r="BU23">
            <v>0.29614215310803194</v>
          </cell>
          <cell r="BV23">
            <v>0.27</v>
          </cell>
          <cell r="BW23">
            <v>572.60273972602738</v>
          </cell>
          <cell r="BX23">
            <v>0.16387939359325499</v>
          </cell>
          <cell r="BY23">
            <v>593.86991541795931</v>
          </cell>
          <cell r="BZ23">
            <v>0.20710731730107756</v>
          </cell>
          <cell r="CA23">
            <v>593.86991541795931</v>
          </cell>
          <cell r="CB23">
            <v>0.20710731730107756</v>
          </cell>
          <cell r="CD23">
            <v>0</v>
          </cell>
          <cell r="CE23">
            <v>845.05499999999995</v>
          </cell>
          <cell r="CF23">
            <v>491.97772800000007</v>
          </cell>
          <cell r="CG23">
            <v>659.85546157551028</v>
          </cell>
        </row>
        <row r="24">
          <cell r="B24">
            <v>339481</v>
          </cell>
          <cell r="C24" t="str">
            <v>FAXTONER 150</v>
          </cell>
          <cell r="D24">
            <v>93.189454941318346</v>
          </cell>
          <cell r="E24">
            <v>91.975280214809246</v>
          </cell>
          <cell r="F24">
            <v>91.975280214809246</v>
          </cell>
          <cell r="G24">
            <v>97.117667291788919</v>
          </cell>
          <cell r="H24">
            <v>95.153561116553632</v>
          </cell>
          <cell r="I24">
            <v>88.547022163489473</v>
          </cell>
          <cell r="J24">
            <v>93.689409240469146</v>
          </cell>
          <cell r="K24">
            <v>106.40253284744666</v>
          </cell>
          <cell r="L24">
            <v>89.910290404209604</v>
          </cell>
          <cell r="M24">
            <v>0</v>
          </cell>
          <cell r="N24">
            <v>101.31942606593773</v>
          </cell>
          <cell r="O24">
            <v>0</v>
          </cell>
          <cell r="P24">
            <v>92.058286912876838</v>
          </cell>
          <cell r="Q24">
            <v>93.202103785086862</v>
          </cell>
          <cell r="R24">
            <v>118.02864899640544</v>
          </cell>
          <cell r="S24">
            <v>131.51996900412269</v>
          </cell>
          <cell r="T24">
            <v>118.02864899640544</v>
          </cell>
          <cell r="U24">
            <v>105.55532600495513</v>
          </cell>
          <cell r="V24">
            <v>0</v>
          </cell>
          <cell r="W24">
            <v>92.689872751010199</v>
          </cell>
          <cell r="X24">
            <v>94.243022348951044</v>
          </cell>
          <cell r="Y24">
            <v>100.66485332903804</v>
          </cell>
          <cell r="Z24">
            <v>104.18157029432375</v>
          </cell>
          <cell r="AA24">
            <v>95.425991213703895</v>
          </cell>
          <cell r="AB24">
            <v>101.4213096099004</v>
          </cell>
          <cell r="AC24">
            <v>107.07863690188179</v>
          </cell>
          <cell r="AD24">
            <v>107.13496875258431</v>
          </cell>
          <cell r="AE24">
            <v>87.917760255782653</v>
          </cell>
          <cell r="AF24">
            <v>92.25454040190634</v>
          </cell>
          <cell r="AG24">
            <v>94.71342456374515</v>
          </cell>
          <cell r="AH24">
            <v>97.944520280541624</v>
          </cell>
          <cell r="AI24">
            <v>102.69971775054395</v>
          </cell>
          <cell r="AJ24">
            <v>94.286676072847513</v>
          </cell>
          <cell r="AK24">
            <v>90.222404730965167</v>
          </cell>
          <cell r="AL24">
            <v>92.25454040190634</v>
          </cell>
          <cell r="AM24">
            <v>99.327393871992726</v>
          </cell>
          <cell r="AN24">
            <v>99.327393871992726</v>
          </cell>
          <cell r="AO24">
            <v>100.27334311700741</v>
          </cell>
          <cell r="AP24">
            <v>99.327393871992726</v>
          </cell>
          <cell r="AQ24">
            <v>108.90040023154134</v>
          </cell>
          <cell r="AR24">
            <v>108.90040023154134</v>
          </cell>
          <cell r="AS24">
            <v>98.256723884850615</v>
          </cell>
          <cell r="AT24">
            <v>90.467650170209325</v>
          </cell>
          <cell r="AU24">
            <v>82.678576455568049</v>
          </cell>
          <cell r="AV24">
            <v>86.573113312888694</v>
          </cell>
          <cell r="AW24">
            <v>0</v>
          </cell>
          <cell r="AX24">
            <v>99.308248836327181</v>
          </cell>
          <cell r="AY24">
            <v>90.467650170209325</v>
          </cell>
          <cell r="AZ24">
            <v>98.256723884850615</v>
          </cell>
          <cell r="BA24">
            <v>90.467650170209325</v>
          </cell>
          <cell r="BB24">
            <v>98.256723884850615</v>
          </cell>
          <cell r="BC24">
            <v>98.732662522131491</v>
          </cell>
          <cell r="BD24">
            <v>0</v>
          </cell>
          <cell r="BE24">
            <v>117.9110808504588</v>
          </cell>
          <cell r="BF24">
            <v>98.732662522131491</v>
          </cell>
          <cell r="BG24">
            <v>98.732662522131491</v>
          </cell>
          <cell r="BH24">
            <v>100.6505043549642</v>
          </cell>
          <cell r="BI24">
            <v>117.9110808504588</v>
          </cell>
          <cell r="BJ24">
            <v>117.9110808504588</v>
          </cell>
          <cell r="BK24">
            <v>117.9110808504588</v>
          </cell>
          <cell r="BL24">
            <v>117.9110808504588</v>
          </cell>
          <cell r="BM24">
            <v>131.51996900412269</v>
          </cell>
          <cell r="BN24">
            <v>82.678576455568049</v>
          </cell>
          <cell r="BO24">
            <v>90</v>
          </cell>
          <cell r="BP24">
            <v>100</v>
          </cell>
          <cell r="BQ24">
            <v>715.65609813314904</v>
          </cell>
          <cell r="BR24">
            <v>449.88930482138659</v>
          </cell>
          <cell r="BS24">
            <v>489.7282847592856</v>
          </cell>
          <cell r="BT24">
            <v>9.5261405613769501E-2</v>
          </cell>
          <cell r="BU24">
            <v>0.23071627323878652</v>
          </cell>
          <cell r="BV24">
            <v>0.27</v>
          </cell>
          <cell r="BW24">
            <v>516.08219178082197</v>
          </cell>
          <cell r="BX24">
            <v>0.15420106286066537</v>
          </cell>
          <cell r="BY24">
            <v>516.08219178082197</v>
          </cell>
          <cell r="BZ24">
            <v>0.15420106286066537</v>
          </cell>
          <cell r="CA24">
            <v>516.08219178082197</v>
          </cell>
          <cell r="CB24">
            <v>0.15420106286066537</v>
          </cell>
          <cell r="CC24">
            <v>575</v>
          </cell>
          <cell r="CD24">
            <v>-0.14829863520124242</v>
          </cell>
          <cell r="CE24">
            <v>720.67050000000006</v>
          </cell>
          <cell r="CF24">
            <v>447.13370000000003</v>
          </cell>
          <cell r="CG24">
            <v>544.14253862142846</v>
          </cell>
        </row>
        <row r="25">
          <cell r="B25">
            <v>339588</v>
          </cell>
          <cell r="C25" t="str">
            <v>TONER 1210D (FX10)</v>
          </cell>
          <cell r="D25">
            <v>101.87128644670507</v>
          </cell>
          <cell r="E25">
            <v>92.601876258851405</v>
          </cell>
          <cell r="F25">
            <v>92.601876258851405</v>
          </cell>
          <cell r="G25">
            <v>0</v>
          </cell>
          <cell r="H25">
            <v>0</v>
          </cell>
          <cell r="I25">
            <v>93.760552532333108</v>
          </cell>
          <cell r="J25">
            <v>99.553933899741651</v>
          </cell>
          <cell r="K25">
            <v>0</v>
          </cell>
          <cell r="L25">
            <v>107.68552398703629</v>
          </cell>
          <cell r="M25">
            <v>0</v>
          </cell>
          <cell r="N25">
            <v>94.246485912414357</v>
          </cell>
          <cell r="O25">
            <v>0</v>
          </cell>
          <cell r="P25">
            <v>0</v>
          </cell>
          <cell r="Q25">
            <v>96.183641241309374</v>
          </cell>
          <cell r="R25">
            <v>110.36873706431089</v>
          </cell>
          <cell r="S25">
            <v>0</v>
          </cell>
          <cell r="T25">
            <v>110.36873706431089</v>
          </cell>
          <cell r="U25">
            <v>0</v>
          </cell>
          <cell r="V25">
            <v>88.431321431064362</v>
          </cell>
          <cell r="W25">
            <v>0</v>
          </cell>
          <cell r="X25">
            <v>85.00696184790803</v>
          </cell>
          <cell r="Y25">
            <v>92.114830549547605</v>
          </cell>
          <cell r="Z25">
            <v>92.114830549547605</v>
          </cell>
          <cell r="AA25">
            <v>92.114830549547605</v>
          </cell>
          <cell r="AB25">
            <v>92.114830549547605</v>
          </cell>
          <cell r="AC25">
            <v>84.647216656478108</v>
          </cell>
          <cell r="AD25">
            <v>92.114830549547605</v>
          </cell>
          <cell r="AE25">
            <v>80.162006447198593</v>
          </cell>
          <cell r="AF25">
            <v>0</v>
          </cell>
          <cell r="AG25">
            <v>98.01587768693814</v>
          </cell>
          <cell r="AH25">
            <v>100.11669652868132</v>
          </cell>
          <cell r="AI25">
            <v>106.35116728584217</v>
          </cell>
          <cell r="AJ25">
            <v>106.35116728584217</v>
          </cell>
          <cell r="AK25">
            <v>0</v>
          </cell>
          <cell r="AL25">
            <v>0</v>
          </cell>
          <cell r="AM25">
            <v>111.23812746941417</v>
          </cell>
          <cell r="AN25">
            <v>111.23812746941417</v>
          </cell>
          <cell r="AO25">
            <v>115.39009680792005</v>
          </cell>
          <cell r="AP25">
            <v>115.39009680792005</v>
          </cell>
          <cell r="AQ25">
            <v>115.39009680792005</v>
          </cell>
          <cell r="AR25">
            <v>115.39009680792005</v>
          </cell>
          <cell r="AS25">
            <v>107.88696114459917</v>
          </cell>
          <cell r="AT25">
            <v>111.76205506755008</v>
          </cell>
          <cell r="AU25">
            <v>84.299432917941473</v>
          </cell>
          <cell r="AV25">
            <v>107.88696114459917</v>
          </cell>
          <cell r="AW25">
            <v>111.76205506755008</v>
          </cell>
          <cell r="AX25">
            <v>111.76205506755008</v>
          </cell>
          <cell r="AY25">
            <v>111.76205506755008</v>
          </cell>
          <cell r="AZ25">
            <v>0</v>
          </cell>
          <cell r="BA25">
            <v>107.88696114459917</v>
          </cell>
          <cell r="BB25">
            <v>0</v>
          </cell>
          <cell r="BC25">
            <v>89.391307897169426</v>
          </cell>
          <cell r="BD25">
            <v>0</v>
          </cell>
          <cell r="BE25">
            <v>98.8980742070639</v>
          </cell>
          <cell r="BF25">
            <v>89.391307897169426</v>
          </cell>
          <cell r="BG25">
            <v>89.391307897169426</v>
          </cell>
          <cell r="BH25">
            <v>89.391307897169426</v>
          </cell>
          <cell r="BI25">
            <v>98.8980742070639</v>
          </cell>
          <cell r="BJ25">
            <v>98.8980742070639</v>
          </cell>
          <cell r="BK25">
            <v>98.8980742070639</v>
          </cell>
          <cell r="BL25">
            <v>98.8980742070639</v>
          </cell>
          <cell r="BM25">
            <v>115.39009680792005</v>
          </cell>
          <cell r="BN25">
            <v>80.162006447198593</v>
          </cell>
          <cell r="BO25">
            <v>90</v>
          </cell>
          <cell r="BP25">
            <v>100</v>
          </cell>
          <cell r="BQ25">
            <v>606.33435470648931</v>
          </cell>
          <cell r="BR25">
            <v>421.22313608981642</v>
          </cell>
          <cell r="BS25">
            <v>472.91833036956518</v>
          </cell>
          <cell r="BT25">
            <v>0.27343045552750356</v>
          </cell>
          <cell r="BU25">
            <v>0.37445858829616174</v>
          </cell>
          <cell r="BV25">
            <v>0.27</v>
          </cell>
          <cell r="BW25">
            <v>405.24657534246575</v>
          </cell>
          <cell r="BX25">
            <v>9.1210253229228044E-2</v>
          </cell>
          <cell r="BY25">
            <v>472.91833036956518</v>
          </cell>
          <cell r="BZ25">
            <v>0.27343045552750356</v>
          </cell>
          <cell r="CA25">
            <v>405.25</v>
          </cell>
          <cell r="CB25">
            <v>9.1219474828231117E-2</v>
          </cell>
          <cell r="CD25">
            <v>0</v>
          </cell>
          <cell r="CE25">
            <v>645.00714999999991</v>
          </cell>
          <cell r="CF25">
            <v>371.37350400000003</v>
          </cell>
          <cell r="CG25">
            <v>525.46481152173908</v>
          </cell>
        </row>
        <row r="26">
          <cell r="B26">
            <v>361071</v>
          </cell>
          <cell r="C26" t="str">
            <v>MASTERMP01 (V20/MP01)</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90</v>
          </cell>
          <cell r="BP26">
            <v>100</v>
          </cell>
          <cell r="BQ26" t="e">
            <v>#DIV/0!</v>
          </cell>
          <cell r="BR26" t="e">
            <v>#DIV/0!</v>
          </cell>
          <cell r="BS26" t="e">
            <v>#DIV/0!</v>
          </cell>
          <cell r="BT26" t="e">
            <v>#DIV/0!</v>
          </cell>
          <cell r="BU26" t="e">
            <v>#DIV/0!</v>
          </cell>
          <cell r="BV26">
            <v>0.27</v>
          </cell>
          <cell r="BW26">
            <v>0</v>
          </cell>
          <cell r="BX26" t="e">
            <v>#DIV/0!</v>
          </cell>
          <cell r="BY26" t="e">
            <v>#DIV/0!</v>
          </cell>
          <cell r="BZ26" t="e">
            <v>#DIV/0!</v>
          </cell>
          <cell r="CA26" t="e">
            <v>#DIV/0!</v>
          </cell>
          <cell r="CB26" t="e">
            <v>#DIV/0!</v>
          </cell>
          <cell r="CE26">
            <v>0</v>
          </cell>
          <cell r="CF26">
            <v>0</v>
          </cell>
          <cell r="CG26" t="e">
            <v>#DIV/0!</v>
          </cell>
        </row>
        <row r="27">
          <cell r="B27">
            <v>410133</v>
          </cell>
          <cell r="C27" t="str">
            <v>STAPLE TYPE G</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85.079113251008692</v>
          </cell>
          <cell r="AV27">
            <v>0</v>
          </cell>
          <cell r="AW27">
            <v>0</v>
          </cell>
          <cell r="AX27">
            <v>0</v>
          </cell>
          <cell r="AY27">
            <v>0</v>
          </cell>
          <cell r="AZ27">
            <v>0</v>
          </cell>
          <cell r="BA27">
            <v>105.31581773330083</v>
          </cell>
          <cell r="BB27">
            <v>0</v>
          </cell>
          <cell r="BC27">
            <v>0</v>
          </cell>
          <cell r="BD27">
            <v>0</v>
          </cell>
          <cell r="BE27">
            <v>106.02330169531653</v>
          </cell>
          <cell r="BF27">
            <v>0</v>
          </cell>
          <cell r="BG27">
            <v>0</v>
          </cell>
          <cell r="BH27">
            <v>0</v>
          </cell>
          <cell r="BI27">
            <v>0</v>
          </cell>
          <cell r="BJ27">
            <v>103.58176732037391</v>
          </cell>
          <cell r="BK27">
            <v>0</v>
          </cell>
          <cell r="BL27">
            <v>0</v>
          </cell>
          <cell r="BM27">
            <v>106.02330169531653</v>
          </cell>
          <cell r="BN27">
            <v>85.079113251008692</v>
          </cell>
          <cell r="BO27">
            <v>90</v>
          </cell>
          <cell r="BP27">
            <v>100</v>
          </cell>
          <cell r="BQ27">
            <v>80.735405153430222</v>
          </cell>
          <cell r="BR27">
            <v>64.786670180807874</v>
          </cell>
          <cell r="BS27">
            <v>68.533863288749998</v>
          </cell>
          <cell r="BT27">
            <v>0.12218288353714768</v>
          </cell>
          <cell r="BU27">
            <v>0.30589058142577041</v>
          </cell>
          <cell r="BV27">
            <v>0.27</v>
          </cell>
          <cell r="BW27">
            <v>65.164383561643831</v>
          </cell>
          <cell r="BX27">
            <v>6.7010560035509537E-2</v>
          </cell>
          <cell r="BY27">
            <v>68.533863288749998</v>
          </cell>
          <cell r="BZ27">
            <v>0.12218288353714768</v>
          </cell>
          <cell r="CA27">
            <v>68.533863288749998</v>
          </cell>
          <cell r="CB27">
            <v>0.12218288353714768</v>
          </cell>
          <cell r="CE27">
            <v>82.234984999999995</v>
          </cell>
          <cell r="CF27">
            <v>61.071919999999999</v>
          </cell>
          <cell r="CG27">
            <v>76.148736987500001</v>
          </cell>
        </row>
        <row r="28">
          <cell r="B28">
            <v>430013</v>
          </cell>
          <cell r="C28" t="str">
            <v>FAXINKT 680 BLACK (TYPE 110)</v>
          </cell>
          <cell r="D28">
            <v>86.110261494978658</v>
          </cell>
          <cell r="E28">
            <v>88.63121504104555</v>
          </cell>
          <cell r="F28">
            <v>88.63121504104555</v>
          </cell>
          <cell r="G28">
            <v>0</v>
          </cell>
          <cell r="H28">
            <v>0</v>
          </cell>
          <cell r="I28">
            <v>0</v>
          </cell>
          <cell r="J28">
            <v>0</v>
          </cell>
          <cell r="K28">
            <v>101.23598277138002</v>
          </cell>
          <cell r="L28">
            <v>90.017739491382343</v>
          </cell>
          <cell r="M28">
            <v>0</v>
          </cell>
          <cell r="N28">
            <v>0</v>
          </cell>
          <cell r="O28">
            <v>0</v>
          </cell>
          <cell r="P28">
            <v>0</v>
          </cell>
          <cell r="Q28">
            <v>88.107910196682369</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86.493471643516287</v>
          </cell>
          <cell r="AH28">
            <v>95.093213079982007</v>
          </cell>
          <cell r="AI28">
            <v>94.542044401437678</v>
          </cell>
          <cell r="AJ28">
            <v>94.542044401437678</v>
          </cell>
          <cell r="AK28">
            <v>0</v>
          </cell>
          <cell r="AL28">
            <v>0</v>
          </cell>
          <cell r="AM28">
            <v>109.19430141189926</v>
          </cell>
          <cell r="AN28">
            <v>109.19430141189926</v>
          </cell>
          <cell r="AO28">
            <v>109.19430141189926</v>
          </cell>
          <cell r="AP28">
            <v>109.19430141189926</v>
          </cell>
          <cell r="AQ28">
            <v>109.19430141189926</v>
          </cell>
          <cell r="AR28">
            <v>94.678973310336445</v>
          </cell>
          <cell r="AS28">
            <v>104.11772457441877</v>
          </cell>
          <cell r="AT28">
            <v>104.11772457441877</v>
          </cell>
          <cell r="AU28">
            <v>85.813332308372821</v>
          </cell>
          <cell r="AV28">
            <v>104.11772457441877</v>
          </cell>
          <cell r="AW28">
            <v>0</v>
          </cell>
          <cell r="AX28">
            <v>86.753874203466097</v>
          </cell>
          <cell r="AY28">
            <v>104.11772457441877</v>
          </cell>
          <cell r="AZ28">
            <v>0</v>
          </cell>
          <cell r="BA28">
            <v>0</v>
          </cell>
          <cell r="BB28">
            <v>0</v>
          </cell>
          <cell r="BC28">
            <v>102.35878098353916</v>
          </cell>
          <cell r="BD28">
            <v>0</v>
          </cell>
          <cell r="BE28">
            <v>116.60999143571587</v>
          </cell>
          <cell r="BF28">
            <v>0</v>
          </cell>
          <cell r="BG28">
            <v>102.35878098353916</v>
          </cell>
          <cell r="BH28">
            <v>102.35878098353916</v>
          </cell>
          <cell r="BI28">
            <v>0</v>
          </cell>
          <cell r="BJ28">
            <v>116.60999143571587</v>
          </cell>
          <cell r="BK28">
            <v>0</v>
          </cell>
          <cell r="BL28">
            <v>116.60999143571587</v>
          </cell>
          <cell r="BM28">
            <v>116.60999143571587</v>
          </cell>
          <cell r="BN28">
            <v>85.813332308372821</v>
          </cell>
          <cell r="BO28">
            <v>90</v>
          </cell>
          <cell r="BP28">
            <v>100</v>
          </cell>
          <cell r="BQ28">
            <v>67.59701707434489</v>
          </cell>
          <cell r="BR28">
            <v>49.744667826798548</v>
          </cell>
          <cell r="BS28">
            <v>52.171614642857136</v>
          </cell>
          <cell r="BT28">
            <v>0.10354901957309282</v>
          </cell>
          <cell r="BU28">
            <v>0.2033982408920898</v>
          </cell>
          <cell r="BV28">
            <v>0.27</v>
          </cell>
          <cell r="BW28">
            <v>56.93150684931507</v>
          </cell>
          <cell r="BX28">
            <v>0.20423163048456905</v>
          </cell>
          <cell r="BY28">
            <v>56.93150684931507</v>
          </cell>
          <cell r="BZ28">
            <v>0.20423163048456905</v>
          </cell>
          <cell r="CA28">
            <v>51.95</v>
          </cell>
          <cell r="CB28">
            <v>9.8861362817169285E-2</v>
          </cell>
          <cell r="CD28">
            <v>0</v>
          </cell>
          <cell r="CE28">
            <v>70.487129999999993</v>
          </cell>
          <cell r="CF28">
            <v>47.2762095</v>
          </cell>
          <cell r="CG28">
            <v>57.968460714285712</v>
          </cell>
        </row>
        <row r="29">
          <cell r="B29">
            <v>430014</v>
          </cell>
          <cell r="C29" t="str">
            <v>FAXINKT 680 COLOR (TYPE 115)</v>
          </cell>
          <cell r="D29">
            <v>87.468429611369501</v>
          </cell>
          <cell r="E29">
            <v>0</v>
          </cell>
          <cell r="F29">
            <v>0</v>
          </cell>
          <cell r="G29">
            <v>0</v>
          </cell>
          <cell r="H29">
            <v>0</v>
          </cell>
          <cell r="I29">
            <v>0</v>
          </cell>
          <cell r="J29">
            <v>0</v>
          </cell>
          <cell r="K29">
            <v>0</v>
          </cell>
          <cell r="L29">
            <v>0</v>
          </cell>
          <cell r="M29">
            <v>0</v>
          </cell>
          <cell r="N29">
            <v>0</v>
          </cell>
          <cell r="O29">
            <v>0</v>
          </cell>
          <cell r="P29">
            <v>0</v>
          </cell>
          <cell r="Q29">
            <v>90.406773272643505</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90.782800705561797</v>
          </cell>
          <cell r="AI29">
            <v>95.314801259510631</v>
          </cell>
          <cell r="AJ29">
            <v>0</v>
          </cell>
          <cell r="AK29">
            <v>0</v>
          </cell>
          <cell r="AL29">
            <v>0</v>
          </cell>
          <cell r="AM29">
            <v>111.37343124051975</v>
          </cell>
          <cell r="AN29">
            <v>111.37343124051975</v>
          </cell>
          <cell r="AO29">
            <v>111.37343124051975</v>
          </cell>
          <cell r="AP29">
            <v>111.37343124051975</v>
          </cell>
          <cell r="AQ29">
            <v>111.37343124051975</v>
          </cell>
          <cell r="AR29">
            <v>111.37343124051975</v>
          </cell>
          <cell r="AS29">
            <v>93.808904508356648</v>
          </cell>
          <cell r="AT29">
            <v>0</v>
          </cell>
          <cell r="AU29">
            <v>93.808904508356648</v>
          </cell>
          <cell r="AV29">
            <v>93.808904508356648</v>
          </cell>
          <cell r="AW29">
            <v>0</v>
          </cell>
          <cell r="AX29">
            <v>87.708337096538088</v>
          </cell>
          <cell r="AY29">
            <v>0</v>
          </cell>
          <cell r="AZ29">
            <v>0</v>
          </cell>
          <cell r="BA29">
            <v>0</v>
          </cell>
          <cell r="BB29">
            <v>0</v>
          </cell>
          <cell r="BC29">
            <v>0</v>
          </cell>
          <cell r="BD29">
            <v>0</v>
          </cell>
          <cell r="BE29">
            <v>0</v>
          </cell>
          <cell r="BF29">
            <v>98.651557086187864</v>
          </cell>
          <cell r="BG29">
            <v>0</v>
          </cell>
          <cell r="BH29">
            <v>0</v>
          </cell>
          <cell r="BI29">
            <v>0</v>
          </cell>
          <cell r="BJ29">
            <v>0</v>
          </cell>
          <cell r="BK29">
            <v>0</v>
          </cell>
          <cell r="BL29">
            <v>0</v>
          </cell>
          <cell r="BM29">
            <v>111.37343124051975</v>
          </cell>
          <cell r="BN29">
            <v>87.468429611369501</v>
          </cell>
          <cell r="BO29">
            <v>90</v>
          </cell>
          <cell r="BP29">
            <v>100</v>
          </cell>
          <cell r="BQ29">
            <v>81.504717490179843</v>
          </cell>
          <cell r="BR29">
            <v>64.01068518207471</v>
          </cell>
          <cell r="BS29">
            <v>65.86332568200001</v>
          </cell>
          <cell r="BT29">
            <v>0.14544914229565231</v>
          </cell>
          <cell r="BU29">
            <v>0.24267413642563962</v>
          </cell>
          <cell r="BV29">
            <v>0.27</v>
          </cell>
          <cell r="BW29">
            <v>68.328767123287676</v>
          </cell>
          <cell r="BX29">
            <v>0.18832638475282915</v>
          </cell>
          <cell r="BY29">
            <v>68.328767123287676</v>
          </cell>
          <cell r="BZ29">
            <v>0.18832638475282915</v>
          </cell>
          <cell r="CA29">
            <v>62.35</v>
          </cell>
          <cell r="CB29">
            <v>8.4347826086956568E-2</v>
          </cell>
          <cell r="CD29">
            <v>0</v>
          </cell>
          <cell r="CE29">
            <v>87.413699999999992</v>
          </cell>
          <cell r="CF29">
            <v>57.5</v>
          </cell>
          <cell r="CG29">
            <v>73.181472980000009</v>
          </cell>
        </row>
        <row r="30">
          <cell r="B30">
            <v>430159</v>
          </cell>
          <cell r="C30" t="str">
            <v>FAXTONER1430 (2000L/Stinger)</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90</v>
          </cell>
          <cell r="BP30">
            <v>100</v>
          </cell>
          <cell r="BQ30" t="e">
            <v>#DIV/0!</v>
          </cell>
          <cell r="BR30" t="e">
            <v>#DIV/0!</v>
          </cell>
          <cell r="BS30" t="e">
            <v>#DIV/0!</v>
          </cell>
          <cell r="BT30" t="e">
            <v>#DIV/0!</v>
          </cell>
          <cell r="BU30" t="e">
            <v>#DIV/0!</v>
          </cell>
          <cell r="BV30">
            <v>0.27</v>
          </cell>
          <cell r="BW30">
            <v>0</v>
          </cell>
          <cell r="BX30" t="e">
            <v>#DIV/0!</v>
          </cell>
          <cell r="BY30" t="e">
            <v>#DIV/0!</v>
          </cell>
          <cell r="BZ30" t="e">
            <v>#DIV/0!</v>
          </cell>
          <cell r="CA30" t="e">
            <v>#DIV/0!</v>
          </cell>
          <cell r="CB30" t="e">
            <v>#DIV/0!</v>
          </cell>
          <cell r="CE30">
            <v>0</v>
          </cell>
          <cell r="CF30">
            <v>0</v>
          </cell>
          <cell r="CG30" t="e">
            <v>#DIV/0!</v>
          </cell>
        </row>
        <row r="31">
          <cell r="B31">
            <v>593901</v>
          </cell>
          <cell r="C31" t="str">
            <v>FAX TONER 1000L</v>
          </cell>
          <cell r="D31">
            <v>93.498440074065115</v>
          </cell>
          <cell r="E31">
            <v>0</v>
          </cell>
          <cell r="F31">
            <v>0</v>
          </cell>
          <cell r="G31">
            <v>0</v>
          </cell>
          <cell r="H31">
            <v>0</v>
          </cell>
          <cell r="I31">
            <v>0</v>
          </cell>
          <cell r="J31">
            <v>0</v>
          </cell>
          <cell r="K31">
            <v>0</v>
          </cell>
          <cell r="L31">
            <v>87.482267219301178</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129.38800963350911</v>
          </cell>
          <cell r="AH31">
            <v>0</v>
          </cell>
          <cell r="AI31">
            <v>101.70862235816234</v>
          </cell>
          <cell r="AJ31">
            <v>106.58324974282925</v>
          </cell>
          <cell r="AK31">
            <v>102.01071194256423</v>
          </cell>
          <cell r="AL31">
            <v>102.01071194256423</v>
          </cell>
          <cell r="AM31">
            <v>94.578908056755338</v>
          </cell>
          <cell r="AN31">
            <v>94.578908056755338</v>
          </cell>
          <cell r="AO31">
            <v>95.920078028821223</v>
          </cell>
          <cell r="AP31">
            <v>95.920078028821223</v>
          </cell>
          <cell r="AQ31">
            <v>95.920078028821223</v>
          </cell>
          <cell r="AR31">
            <v>95.920078028821223</v>
          </cell>
          <cell r="AS31">
            <v>110.83185544128213</v>
          </cell>
          <cell r="AT31">
            <v>0</v>
          </cell>
          <cell r="AU31">
            <v>0</v>
          </cell>
          <cell r="AV31">
            <v>0</v>
          </cell>
          <cell r="AW31">
            <v>0</v>
          </cell>
          <cell r="AX31">
            <v>0</v>
          </cell>
          <cell r="AY31">
            <v>0</v>
          </cell>
          <cell r="AZ31">
            <v>0</v>
          </cell>
          <cell r="BA31">
            <v>0</v>
          </cell>
          <cell r="BB31">
            <v>0</v>
          </cell>
          <cell r="BC31">
            <v>0</v>
          </cell>
          <cell r="BD31">
            <v>0</v>
          </cell>
          <cell r="BE31">
            <v>93.648003416926855</v>
          </cell>
          <cell r="BF31">
            <v>0</v>
          </cell>
          <cell r="BG31">
            <v>0</v>
          </cell>
          <cell r="BH31">
            <v>0</v>
          </cell>
          <cell r="BI31">
            <v>0</v>
          </cell>
          <cell r="BJ31">
            <v>0</v>
          </cell>
          <cell r="BK31">
            <v>0</v>
          </cell>
          <cell r="BL31">
            <v>0</v>
          </cell>
          <cell r="BM31">
            <v>129.38800963350911</v>
          </cell>
          <cell r="BN31">
            <v>87.482267219301178</v>
          </cell>
          <cell r="BO31">
            <v>90</v>
          </cell>
          <cell r="BP31">
            <v>100</v>
          </cell>
          <cell r="BQ31">
            <v>212.10285652016501</v>
          </cell>
          <cell r="BR31">
            <v>143.40771470735032</v>
          </cell>
          <cell r="BS31">
            <v>147.53497747500001</v>
          </cell>
          <cell r="BT31">
            <v>0.51276033790642606</v>
          </cell>
          <cell r="BU31">
            <v>0.47131181137559597</v>
          </cell>
          <cell r="BV31">
            <v>0.27</v>
          </cell>
          <cell r="BW31">
            <v>106.84931506849315</v>
          </cell>
          <cell r="BX31">
            <v>9.5587017630944793E-2</v>
          </cell>
          <cell r="BY31">
            <v>147.53497747500001</v>
          </cell>
          <cell r="BZ31">
            <v>0.51276033790642606</v>
          </cell>
          <cell r="CA31">
            <v>147.53497747500001</v>
          </cell>
          <cell r="CB31">
            <v>0.51276033790642606</v>
          </cell>
          <cell r="CD31">
            <v>0</v>
          </cell>
          <cell r="CE31">
            <v>319.81748099999999</v>
          </cell>
          <cell r="CF31">
            <v>97.527000000000001</v>
          </cell>
          <cell r="CG31">
            <v>163.92775275</v>
          </cell>
        </row>
        <row r="32">
          <cell r="B32">
            <v>593928</v>
          </cell>
          <cell r="C32" t="str">
            <v>MASTER KIT 1000L</v>
          </cell>
          <cell r="D32">
            <v>96.638390761986571</v>
          </cell>
          <cell r="E32">
            <v>0</v>
          </cell>
          <cell r="F32">
            <v>0</v>
          </cell>
          <cell r="G32">
            <v>0</v>
          </cell>
          <cell r="H32">
            <v>91.417103518117869</v>
          </cell>
          <cell r="I32">
            <v>0</v>
          </cell>
          <cell r="J32">
            <v>89.761215552378687</v>
          </cell>
          <cell r="K32">
            <v>0</v>
          </cell>
          <cell r="L32">
            <v>76.426077276388042</v>
          </cell>
          <cell r="M32">
            <v>0</v>
          </cell>
          <cell r="N32">
            <v>0</v>
          </cell>
          <cell r="O32">
            <v>0</v>
          </cell>
          <cell r="P32">
            <v>89.686689065586492</v>
          </cell>
          <cell r="Q32">
            <v>0</v>
          </cell>
          <cell r="R32">
            <v>0</v>
          </cell>
          <cell r="S32">
            <v>0</v>
          </cell>
          <cell r="T32">
            <v>0</v>
          </cell>
          <cell r="U32">
            <v>0</v>
          </cell>
          <cell r="V32">
            <v>0</v>
          </cell>
          <cell r="W32">
            <v>96.1847235727098</v>
          </cell>
          <cell r="X32">
            <v>101.38049756554183</v>
          </cell>
          <cell r="Y32">
            <v>0</v>
          </cell>
          <cell r="Z32">
            <v>0</v>
          </cell>
          <cell r="AA32">
            <v>0</v>
          </cell>
          <cell r="AB32">
            <v>104.92307074247275</v>
          </cell>
          <cell r="AC32">
            <v>0</v>
          </cell>
          <cell r="AD32">
            <v>0</v>
          </cell>
          <cell r="AE32">
            <v>0</v>
          </cell>
          <cell r="AF32">
            <v>0</v>
          </cell>
          <cell r="AG32">
            <v>0</v>
          </cell>
          <cell r="AH32">
            <v>0</v>
          </cell>
          <cell r="AI32">
            <v>0</v>
          </cell>
          <cell r="AJ32">
            <v>120.12254644951196</v>
          </cell>
          <cell r="AK32">
            <v>111.06660998709046</v>
          </cell>
          <cell r="AL32">
            <v>111.06660998709046</v>
          </cell>
          <cell r="AM32">
            <v>104.17904946038674</v>
          </cell>
          <cell r="AN32">
            <v>104.17904946038674</v>
          </cell>
          <cell r="AO32">
            <v>107.24741077618127</v>
          </cell>
          <cell r="AP32">
            <v>107.24741077618127</v>
          </cell>
          <cell r="AQ32">
            <v>107.24741077618127</v>
          </cell>
          <cell r="AR32">
            <v>107.24741077618127</v>
          </cell>
          <cell r="AS32">
            <v>90.969580406815226</v>
          </cell>
          <cell r="AT32">
            <v>0</v>
          </cell>
          <cell r="AU32">
            <v>0</v>
          </cell>
          <cell r="AV32">
            <v>0</v>
          </cell>
          <cell r="AW32">
            <v>0</v>
          </cell>
          <cell r="AX32">
            <v>0</v>
          </cell>
          <cell r="AY32">
            <v>90.969580406815226</v>
          </cell>
          <cell r="AZ32">
            <v>0</v>
          </cell>
          <cell r="BA32">
            <v>0</v>
          </cell>
          <cell r="BB32">
            <v>0</v>
          </cell>
          <cell r="BC32">
            <v>0</v>
          </cell>
          <cell r="BD32">
            <v>0</v>
          </cell>
          <cell r="BE32">
            <v>98.998139060291763</v>
          </cell>
          <cell r="BF32">
            <v>0</v>
          </cell>
          <cell r="BG32">
            <v>0</v>
          </cell>
          <cell r="BH32">
            <v>93.041423621704439</v>
          </cell>
          <cell r="BI32">
            <v>0</v>
          </cell>
          <cell r="BJ32">
            <v>0</v>
          </cell>
          <cell r="BK32">
            <v>0</v>
          </cell>
          <cell r="BL32">
            <v>0</v>
          </cell>
          <cell r="BM32">
            <v>120.12254644951196</v>
          </cell>
          <cell r="BN32">
            <v>76.426077276388042</v>
          </cell>
          <cell r="BO32">
            <v>90</v>
          </cell>
          <cell r="BP32">
            <v>100</v>
          </cell>
          <cell r="BQ32">
            <v>1860.922254587517</v>
          </cell>
          <cell r="BR32">
            <v>1183.9824598975911</v>
          </cell>
          <cell r="BS32">
            <v>1394.267836165714</v>
          </cell>
          <cell r="BT32">
            <v>0.59457882861652145</v>
          </cell>
          <cell r="BU32">
            <v>0.36525825451601801</v>
          </cell>
          <cell r="BV32">
            <v>0.27</v>
          </cell>
          <cell r="BW32">
            <v>1212.3287671232877</v>
          </cell>
          <cell r="BX32">
            <v>0.38650102601075931</v>
          </cell>
          <cell r="BY32">
            <v>1394.267836165714</v>
          </cell>
          <cell r="BZ32">
            <v>0.59457882861652145</v>
          </cell>
          <cell r="CA32">
            <v>1394.267836165714</v>
          </cell>
          <cell r="CB32">
            <v>0.59457882861652145</v>
          </cell>
          <cell r="CD32">
            <v>0</v>
          </cell>
          <cell r="CE32">
            <v>2125.1968919999999</v>
          </cell>
          <cell r="CF32">
            <v>874.38</v>
          </cell>
          <cell r="CG32">
            <v>1549.1864846285712</v>
          </cell>
        </row>
        <row r="33">
          <cell r="B33">
            <v>885104</v>
          </cell>
          <cell r="C33" t="str">
            <v>TONER TYPE 10D (AFICIO400)</v>
          </cell>
          <cell r="D33">
            <v>107.12641015934666</v>
          </cell>
          <cell r="E33">
            <v>95.910920141409548</v>
          </cell>
          <cell r="F33">
            <v>102.34944218874382</v>
          </cell>
          <cell r="G33">
            <v>0</v>
          </cell>
          <cell r="H33">
            <v>0</v>
          </cell>
          <cell r="I33">
            <v>108.7879642360781</v>
          </cell>
          <cell r="J33">
            <v>112.65107746447866</v>
          </cell>
          <cell r="K33">
            <v>124.24041714968034</v>
          </cell>
          <cell r="L33">
            <v>94.693001003165406</v>
          </cell>
          <cell r="M33">
            <v>101.14691734902058</v>
          </cell>
          <cell r="N33">
            <v>0</v>
          </cell>
          <cell r="O33">
            <v>109.66832204809347</v>
          </cell>
          <cell r="P33">
            <v>0</v>
          </cell>
          <cell r="Q33">
            <v>86.578995240497434</v>
          </cell>
          <cell r="R33">
            <v>104.00829790165463</v>
          </cell>
          <cell r="S33">
            <v>104.54049034932355</v>
          </cell>
          <cell r="T33">
            <v>104.54049034932355</v>
          </cell>
          <cell r="U33">
            <v>100.54904699180665</v>
          </cell>
          <cell r="V33">
            <v>100.54904699180665</v>
          </cell>
          <cell r="W33">
            <v>98.488852196364178</v>
          </cell>
          <cell r="X33">
            <v>92.844351783508841</v>
          </cell>
          <cell r="Y33">
            <v>100.78222301087423</v>
          </cell>
          <cell r="Z33">
            <v>106.18334529647544</v>
          </cell>
          <cell r="AA33">
            <v>106.18334529647544</v>
          </cell>
          <cell r="AB33">
            <v>102.32673804921774</v>
          </cell>
          <cell r="AC33">
            <v>102.32673804921774</v>
          </cell>
          <cell r="AD33">
            <v>102.32673804921774</v>
          </cell>
          <cell r="AE33">
            <v>102.32673804921774</v>
          </cell>
          <cell r="AF33">
            <v>0</v>
          </cell>
          <cell r="AG33">
            <v>113.11749023241534</v>
          </cell>
          <cell r="AH33">
            <v>115.31579481503668</v>
          </cell>
          <cell r="AI33">
            <v>121.83979551184839</v>
          </cell>
          <cell r="AJ33">
            <v>121.83979551184839</v>
          </cell>
          <cell r="AK33">
            <v>112.39417711168187</v>
          </cell>
          <cell r="AL33">
            <v>112.39417711168187</v>
          </cell>
          <cell r="AM33">
            <v>89.515972349737552</v>
          </cell>
          <cell r="AN33">
            <v>89.515972349737552</v>
          </cell>
          <cell r="AO33">
            <v>99.418876185908758</v>
          </cell>
          <cell r="AP33">
            <v>101.34444082071983</v>
          </cell>
          <cell r="AQ33">
            <v>101.34444082071983</v>
          </cell>
          <cell r="AR33">
            <v>96.668069564750098</v>
          </cell>
          <cell r="AS33">
            <v>88.797748984529633</v>
          </cell>
          <cell r="AT33">
            <v>88.797748984529633</v>
          </cell>
          <cell r="AU33">
            <v>80.190554094589913</v>
          </cell>
          <cell r="AV33">
            <v>80.190554094589913</v>
          </cell>
          <cell r="AW33">
            <v>0</v>
          </cell>
          <cell r="AX33">
            <v>88.797748984529633</v>
          </cell>
          <cell r="AY33">
            <v>98.763974646565075</v>
          </cell>
          <cell r="AZ33">
            <v>88.797748984529633</v>
          </cell>
          <cell r="BA33">
            <v>88.797748984529633</v>
          </cell>
          <cell r="BB33">
            <v>88.797748984529633</v>
          </cell>
          <cell r="BC33">
            <v>0</v>
          </cell>
          <cell r="BD33">
            <v>90.692309435657407</v>
          </cell>
          <cell r="BE33">
            <v>96.603988907139012</v>
          </cell>
          <cell r="BF33">
            <v>0</v>
          </cell>
          <cell r="BG33">
            <v>0</v>
          </cell>
          <cell r="BH33">
            <v>90.692309435657407</v>
          </cell>
          <cell r="BI33">
            <v>96.060225936884805</v>
          </cell>
          <cell r="BJ33">
            <v>96.060225936884805</v>
          </cell>
          <cell r="BK33">
            <v>96.060225936884805</v>
          </cell>
          <cell r="BL33">
            <v>96.060225936884805</v>
          </cell>
          <cell r="BM33">
            <v>124.24041714968034</v>
          </cell>
          <cell r="BN33">
            <v>80.190554094589913</v>
          </cell>
          <cell r="BO33">
            <v>90</v>
          </cell>
          <cell r="BP33">
            <v>100</v>
          </cell>
          <cell r="BQ33">
            <v>332.57665959971985</v>
          </cell>
          <cell r="BR33">
            <v>214.66047220445904</v>
          </cell>
          <cell r="BS33">
            <v>240.91917952846154</v>
          </cell>
          <cell r="BT33">
            <v>0.39817245451868311</v>
          </cell>
          <cell r="BU33">
            <v>0.44861176988896956</v>
          </cell>
          <cell r="BV33">
            <v>0.27</v>
          </cell>
          <cell r="BW33">
            <v>181.97260273972603</v>
          </cell>
          <cell r="BX33">
            <v>5.607648642061891E-2</v>
          </cell>
          <cell r="BY33">
            <v>240.91917952846154</v>
          </cell>
          <cell r="BZ33">
            <v>0.39817245451868311</v>
          </cell>
          <cell r="CA33">
            <v>240.91917952846154</v>
          </cell>
          <cell r="CB33">
            <v>0.39817245451868311</v>
          </cell>
          <cell r="CC33">
            <v>270</v>
          </cell>
          <cell r="CD33">
            <v>-0.10770674248717949</v>
          </cell>
          <cell r="CE33">
            <v>384.4</v>
          </cell>
          <cell r="CF33">
            <v>172.31005999999999</v>
          </cell>
          <cell r="CG33">
            <v>267.68797725384616</v>
          </cell>
        </row>
        <row r="34">
          <cell r="B34">
            <v>885137</v>
          </cell>
          <cell r="C34" t="str">
            <v>TONER 3200D (AF3X0)</v>
          </cell>
          <cell r="D34">
            <v>0</v>
          </cell>
          <cell r="E34">
            <v>0</v>
          </cell>
          <cell r="F34">
            <v>0</v>
          </cell>
          <cell r="G34">
            <v>0</v>
          </cell>
          <cell r="H34">
            <v>0</v>
          </cell>
          <cell r="I34">
            <v>0</v>
          </cell>
          <cell r="J34">
            <v>0</v>
          </cell>
          <cell r="K34">
            <v>0</v>
          </cell>
          <cell r="L34">
            <v>0</v>
          </cell>
          <cell r="M34">
            <v>0</v>
          </cell>
          <cell r="N34">
            <v>94.993300777611623</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95.908642227825069</v>
          </cell>
          <cell r="AN34">
            <v>95.908642227825069</v>
          </cell>
          <cell r="AO34">
            <v>95.908642227825069</v>
          </cell>
          <cell r="AP34">
            <v>95.908642227825069</v>
          </cell>
          <cell r="AQ34">
            <v>95.908642227825069</v>
          </cell>
          <cell r="AR34">
            <v>95.908642227825069</v>
          </cell>
          <cell r="AS34">
            <v>0</v>
          </cell>
          <cell r="AT34">
            <v>94.929420816927731</v>
          </cell>
          <cell r="AU34">
            <v>91.784027329666927</v>
          </cell>
          <cell r="AV34">
            <v>0</v>
          </cell>
          <cell r="AW34">
            <v>0</v>
          </cell>
          <cell r="AX34">
            <v>115.28972237219087</v>
          </cell>
          <cell r="AY34">
            <v>0</v>
          </cell>
          <cell r="AZ34">
            <v>99.091887647374691</v>
          </cell>
          <cell r="BA34">
            <v>0</v>
          </cell>
          <cell r="BB34">
            <v>0</v>
          </cell>
          <cell r="BC34">
            <v>0</v>
          </cell>
          <cell r="BD34">
            <v>0</v>
          </cell>
          <cell r="BE34">
            <v>122.27107970164587</v>
          </cell>
          <cell r="BF34">
            <v>0</v>
          </cell>
          <cell r="BG34">
            <v>0</v>
          </cell>
          <cell r="BH34">
            <v>0</v>
          </cell>
          <cell r="BI34">
            <v>95.025669152759647</v>
          </cell>
          <cell r="BJ34">
            <v>94.73582435968639</v>
          </cell>
          <cell r="BK34">
            <v>94.73582435968639</v>
          </cell>
          <cell r="BL34">
            <v>121.69139011549935</v>
          </cell>
          <cell r="BM34">
            <v>122.27107970164587</v>
          </cell>
          <cell r="BN34">
            <v>91.784027329666927</v>
          </cell>
          <cell r="BO34">
            <v>90</v>
          </cell>
          <cell r="BP34">
            <v>100</v>
          </cell>
          <cell r="BQ34">
            <v>472.63259326374941</v>
          </cell>
          <cell r="BR34">
            <v>354.78645451453718</v>
          </cell>
          <cell r="BS34">
            <v>347.8903882875</v>
          </cell>
          <cell r="BT34">
            <v>0.19385732791651455</v>
          </cell>
          <cell r="BU34">
            <v>0.44861943170019958</v>
          </cell>
          <cell r="BV34">
            <v>0.27</v>
          </cell>
          <cell r="BW34">
            <v>262.76712328767121</v>
          </cell>
          <cell r="BX34">
            <v>-9.8260641184261699E-2</v>
          </cell>
          <cell r="BY34">
            <v>347.8903882875</v>
          </cell>
          <cell r="BZ34">
            <v>0.19385732791651455</v>
          </cell>
          <cell r="CA34">
            <v>295.11</v>
          </cell>
          <cell r="CB34">
            <v>1.2730583836316089E-2</v>
          </cell>
          <cell r="CD34">
            <v>0</v>
          </cell>
          <cell r="CE34">
            <v>644.45375999999999</v>
          </cell>
          <cell r="CF34">
            <v>291.40030400000001</v>
          </cell>
          <cell r="CG34">
            <v>386.54487587500006</v>
          </cell>
        </row>
        <row r="35">
          <cell r="B35">
            <v>885164</v>
          </cell>
          <cell r="C35" t="str">
            <v>DEVTYPE8(CETUS)</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90</v>
          </cell>
          <cell r="BP35">
            <v>100</v>
          </cell>
          <cell r="BQ35" t="e">
            <v>#DIV/0!</v>
          </cell>
          <cell r="BR35" t="e">
            <v>#DIV/0!</v>
          </cell>
          <cell r="BS35" t="e">
            <v>#DIV/0!</v>
          </cell>
          <cell r="BT35" t="e">
            <v>#DIV/0!</v>
          </cell>
          <cell r="BU35" t="e">
            <v>#DIV/0!</v>
          </cell>
          <cell r="BV35">
            <v>0.27</v>
          </cell>
          <cell r="BW35">
            <v>0</v>
          </cell>
          <cell r="BX35" t="e">
            <v>#DIV/0!</v>
          </cell>
          <cell r="BY35" t="e">
            <v>#DIV/0!</v>
          </cell>
          <cell r="BZ35" t="e">
            <v>#DIV/0!</v>
          </cell>
          <cell r="CA35" t="e">
            <v>#DIV/0!</v>
          </cell>
          <cell r="CB35" t="e">
            <v>#DIV/0!</v>
          </cell>
          <cell r="CE35">
            <v>0</v>
          </cell>
          <cell r="CF35">
            <v>0</v>
          </cell>
          <cell r="CG35" t="e">
            <v>#DIV/0!</v>
          </cell>
        </row>
        <row r="36">
          <cell r="B36">
            <v>885165</v>
          </cell>
          <cell r="C36" t="str">
            <v>TONTYPE1100W(CETUS)</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90</v>
          </cell>
          <cell r="BP36">
            <v>100</v>
          </cell>
          <cell r="BQ36" t="e">
            <v>#DIV/0!</v>
          </cell>
          <cell r="BR36" t="e">
            <v>#DIV/0!</v>
          </cell>
          <cell r="BS36" t="e">
            <v>#DIV/0!</v>
          </cell>
          <cell r="BT36" t="e">
            <v>#DIV/0!</v>
          </cell>
          <cell r="BU36" t="e">
            <v>#DIV/0!</v>
          </cell>
          <cell r="BV36">
            <v>0.27</v>
          </cell>
          <cell r="BW36">
            <v>0</v>
          </cell>
          <cell r="BX36" t="e">
            <v>#DIV/0!</v>
          </cell>
          <cell r="BY36" t="e">
            <v>#DIV/0!</v>
          </cell>
          <cell r="BZ36" t="e">
            <v>#DIV/0!</v>
          </cell>
          <cell r="CA36" t="e">
            <v>#DIV/0!</v>
          </cell>
          <cell r="CB36" t="e">
            <v>#DIV/0!</v>
          </cell>
          <cell r="CE36">
            <v>0</v>
          </cell>
          <cell r="CF36">
            <v>0</v>
          </cell>
          <cell r="CG36" t="e">
            <v>#DIV/0!</v>
          </cell>
        </row>
        <row r="37">
          <cell r="B37">
            <v>886907</v>
          </cell>
          <cell r="C37" t="str">
            <v>DEVELOPER TYPE D MAGENTA</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90</v>
          </cell>
          <cell r="BP37">
            <v>100</v>
          </cell>
          <cell r="BQ37" t="e">
            <v>#DIV/0!</v>
          </cell>
          <cell r="BR37" t="e">
            <v>#DIV/0!</v>
          </cell>
          <cell r="BS37" t="e">
            <v>#DIV/0!</v>
          </cell>
          <cell r="BT37" t="e">
            <v>#DIV/0!</v>
          </cell>
          <cell r="BU37" t="e">
            <v>#DIV/0!</v>
          </cell>
          <cell r="BV37">
            <v>0.27</v>
          </cell>
          <cell r="BW37">
            <v>79.273972602739718</v>
          </cell>
          <cell r="BX37" t="e">
            <v>#DIV/0!</v>
          </cell>
          <cell r="BY37" t="e">
            <v>#DIV/0!</v>
          </cell>
          <cell r="BZ37" t="e">
            <v>#DIV/0!</v>
          </cell>
          <cell r="CA37">
            <v>96.45</v>
          </cell>
          <cell r="CB37" t="e">
            <v>#DIV/0!</v>
          </cell>
          <cell r="CE37">
            <v>0</v>
          </cell>
          <cell r="CF37">
            <v>0</v>
          </cell>
          <cell r="CG37" t="e">
            <v>#DIV/0!</v>
          </cell>
        </row>
        <row r="38">
          <cell r="B38">
            <v>887133</v>
          </cell>
          <cell r="C38" t="str">
            <v>DEVELOPER 4000</v>
          </cell>
          <cell r="D38">
            <v>0</v>
          </cell>
          <cell r="E38">
            <v>0</v>
          </cell>
          <cell r="F38">
            <v>96.196091434904972</v>
          </cell>
          <cell r="G38">
            <v>0</v>
          </cell>
          <cell r="H38">
            <v>0</v>
          </cell>
          <cell r="I38">
            <v>112.7016103872345</v>
          </cell>
          <cell r="J38">
            <v>0</v>
          </cell>
          <cell r="K38">
            <v>0</v>
          </cell>
          <cell r="L38">
            <v>73.881630791214491</v>
          </cell>
          <cell r="M38">
            <v>0</v>
          </cell>
          <cell r="N38">
            <v>85.914345784457012</v>
          </cell>
          <cell r="O38">
            <v>92.75437127168712</v>
          </cell>
          <cell r="P38">
            <v>0</v>
          </cell>
          <cell r="Q38">
            <v>92.304457446851387</v>
          </cell>
          <cell r="R38">
            <v>114.48295249383821</v>
          </cell>
          <cell r="S38">
            <v>107.65289692573499</v>
          </cell>
          <cell r="T38">
            <v>114.48295249383821</v>
          </cell>
          <cell r="U38">
            <v>92.304457446851387</v>
          </cell>
          <cell r="V38">
            <v>0</v>
          </cell>
          <cell r="W38">
            <v>94.582794093255714</v>
          </cell>
          <cell r="X38">
            <v>97.282420800015871</v>
          </cell>
          <cell r="Y38">
            <v>97.282420800015871</v>
          </cell>
          <cell r="Z38">
            <v>112.28034694868343</v>
          </cell>
          <cell r="AA38">
            <v>0</v>
          </cell>
          <cell r="AB38">
            <v>107.78096910408317</v>
          </cell>
          <cell r="AC38">
            <v>0</v>
          </cell>
          <cell r="AD38">
            <v>0</v>
          </cell>
          <cell r="AE38">
            <v>0</v>
          </cell>
          <cell r="AF38">
            <v>94.827198234052091</v>
          </cell>
          <cell r="AG38">
            <v>97.554043074000745</v>
          </cell>
          <cell r="AH38">
            <v>108.46142243379533</v>
          </cell>
          <cell r="AI38">
            <v>101.79580171392087</v>
          </cell>
          <cell r="AJ38">
            <v>118.76283627360134</v>
          </cell>
          <cell r="AK38">
            <v>94.827198234052091</v>
          </cell>
          <cell r="AL38">
            <v>94.827198234052091</v>
          </cell>
          <cell r="AM38">
            <v>88.242880505920226</v>
          </cell>
          <cell r="AN38">
            <v>88.242880505920226</v>
          </cell>
          <cell r="AO38">
            <v>104.20826859656496</v>
          </cell>
          <cell r="AP38">
            <v>104.20826859656496</v>
          </cell>
          <cell r="AQ38">
            <v>104.20826859656496</v>
          </cell>
          <cell r="AR38">
            <v>88.242880505920226</v>
          </cell>
          <cell r="AS38">
            <v>111.5952060515888</v>
          </cell>
          <cell r="AT38">
            <v>109.27257072206081</v>
          </cell>
          <cell r="AU38">
            <v>111.5952060515888</v>
          </cell>
          <cell r="AV38">
            <v>111.5952060515888</v>
          </cell>
          <cell r="AW38">
            <v>0</v>
          </cell>
          <cell r="AX38">
            <v>109.27257072206081</v>
          </cell>
          <cell r="AY38">
            <v>0</v>
          </cell>
          <cell r="AZ38">
            <v>0</v>
          </cell>
          <cell r="BA38">
            <v>0</v>
          </cell>
          <cell r="BB38">
            <v>0</v>
          </cell>
          <cell r="BC38">
            <v>0</v>
          </cell>
          <cell r="BD38">
            <v>87.828164966468378</v>
          </cell>
          <cell r="BE38">
            <v>0</v>
          </cell>
          <cell r="BF38">
            <v>0</v>
          </cell>
          <cell r="BG38">
            <v>0</v>
          </cell>
          <cell r="BH38">
            <v>90.330157783909911</v>
          </cell>
          <cell r="BI38">
            <v>99.265846417629689</v>
          </cell>
          <cell r="BJ38">
            <v>96.317069168502172</v>
          </cell>
          <cell r="BK38">
            <v>96.317069168502172</v>
          </cell>
          <cell r="BL38">
            <v>96.317069168502172</v>
          </cell>
          <cell r="BM38">
            <v>118.76283627360134</v>
          </cell>
          <cell r="BN38">
            <v>73.881630791214491</v>
          </cell>
          <cell r="BO38">
            <v>90</v>
          </cell>
          <cell r="BP38">
            <v>100</v>
          </cell>
          <cell r="BQ38">
            <v>266.37161597629051</v>
          </cell>
          <cell r="BR38">
            <v>165.70814576608373</v>
          </cell>
          <cell r="BS38">
            <v>201.85982576769237</v>
          </cell>
          <cell r="BT38">
            <v>0.59977975681434437</v>
          </cell>
          <cell r="BU38">
            <v>0.41791290291103655</v>
          </cell>
          <cell r="BV38">
            <v>0.27</v>
          </cell>
          <cell r="BW38">
            <v>160.95890410958904</v>
          </cell>
          <cell r="BX38">
            <v>0.27563171866541047</v>
          </cell>
          <cell r="BY38">
            <v>201.85982576769237</v>
          </cell>
          <cell r="BZ38">
            <v>0.59977975681434437</v>
          </cell>
          <cell r="CA38">
            <v>201.85982576769237</v>
          </cell>
          <cell r="CB38">
            <v>0.59977975681434437</v>
          </cell>
          <cell r="CD38">
            <v>0</v>
          </cell>
          <cell r="CE38">
            <v>294.7679</v>
          </cell>
          <cell r="CF38">
            <v>126.17976000000002</v>
          </cell>
          <cell r="CG38">
            <v>224.28869529743599</v>
          </cell>
        </row>
        <row r="39">
          <cell r="B39">
            <v>887188</v>
          </cell>
          <cell r="C39" t="str">
            <v>DEVELOPER 820</v>
          </cell>
          <cell r="D39">
            <v>0</v>
          </cell>
          <cell r="E39">
            <v>0</v>
          </cell>
          <cell r="F39">
            <v>0</v>
          </cell>
          <cell r="G39">
            <v>0</v>
          </cell>
          <cell r="H39">
            <v>0</v>
          </cell>
          <cell r="I39">
            <v>0</v>
          </cell>
          <cell r="J39">
            <v>0</v>
          </cell>
          <cell r="K39">
            <v>0</v>
          </cell>
          <cell r="L39">
            <v>88.702039335148172</v>
          </cell>
          <cell r="M39">
            <v>101.7045169609992</v>
          </cell>
          <cell r="N39">
            <v>101.7045169609992</v>
          </cell>
          <cell r="O39">
            <v>109.38086231992298</v>
          </cell>
          <cell r="P39">
            <v>82.0174206238799</v>
          </cell>
          <cell r="Q39">
            <v>82.0174206238799</v>
          </cell>
          <cell r="R39">
            <v>94.444812539029201</v>
          </cell>
          <cell r="S39">
            <v>94.808186571635915</v>
          </cell>
          <cell r="T39">
            <v>0</v>
          </cell>
          <cell r="U39">
            <v>0</v>
          </cell>
          <cell r="V39">
            <v>0</v>
          </cell>
          <cell r="W39">
            <v>111.9062992537299</v>
          </cell>
          <cell r="X39">
            <v>114.49863545504408</v>
          </cell>
          <cell r="Y39">
            <v>114.54976634658875</v>
          </cell>
          <cell r="Z39">
            <v>0</v>
          </cell>
          <cell r="AA39">
            <v>0</v>
          </cell>
          <cell r="AB39">
            <v>0</v>
          </cell>
          <cell r="AC39">
            <v>116.25242503502588</v>
          </cell>
          <cell r="AD39">
            <v>116.25242503502588</v>
          </cell>
          <cell r="AE39">
            <v>116.25242503502588</v>
          </cell>
          <cell r="AF39">
            <v>0</v>
          </cell>
          <cell r="AG39">
            <v>96.424146510734118</v>
          </cell>
          <cell r="AH39">
            <v>97.891765117987404</v>
          </cell>
          <cell r="AI39">
            <v>102.24727840402944</v>
          </cell>
          <cell r="AJ39">
            <v>0</v>
          </cell>
          <cell r="AK39">
            <v>0</v>
          </cell>
          <cell r="AL39">
            <v>0</v>
          </cell>
          <cell r="AM39">
            <v>97.243751209230737</v>
          </cell>
          <cell r="AN39">
            <v>97.243751209230737</v>
          </cell>
          <cell r="AO39">
            <v>99.701357620235555</v>
          </cell>
          <cell r="AP39">
            <v>99.701357620235555</v>
          </cell>
          <cell r="AQ39">
            <v>99.701357620235555</v>
          </cell>
          <cell r="AR39">
            <v>99.701357620235555</v>
          </cell>
          <cell r="AS39">
            <v>90.487268191901251</v>
          </cell>
          <cell r="AT39">
            <v>0</v>
          </cell>
          <cell r="AU39">
            <v>90.487268191901251</v>
          </cell>
          <cell r="AV39">
            <v>83.682459847579963</v>
          </cell>
          <cell r="AW39">
            <v>0</v>
          </cell>
          <cell r="AX39">
            <v>0</v>
          </cell>
          <cell r="AY39">
            <v>0</v>
          </cell>
          <cell r="AZ39">
            <v>0</v>
          </cell>
          <cell r="BA39">
            <v>0</v>
          </cell>
          <cell r="BB39">
            <v>0</v>
          </cell>
          <cell r="BC39">
            <v>0</v>
          </cell>
          <cell r="BD39">
            <v>0</v>
          </cell>
          <cell r="BE39">
            <v>103.86040144403387</v>
          </cell>
          <cell r="BF39">
            <v>0</v>
          </cell>
          <cell r="BG39">
            <v>0</v>
          </cell>
          <cell r="BH39">
            <v>95.939884454655257</v>
          </cell>
          <cell r="BI39">
            <v>0</v>
          </cell>
          <cell r="BJ39">
            <v>101.19484284183915</v>
          </cell>
          <cell r="BK39">
            <v>0</v>
          </cell>
          <cell r="BL39">
            <v>0</v>
          </cell>
          <cell r="BM39">
            <v>116.25242503502588</v>
          </cell>
          <cell r="BN39">
            <v>82.0174206238799</v>
          </cell>
          <cell r="BO39">
            <v>90</v>
          </cell>
          <cell r="BP39">
            <v>100</v>
          </cell>
          <cell r="BQ39">
            <v>760.09291095242781</v>
          </cell>
          <cell r="BR39">
            <v>536.25427574548894</v>
          </cell>
          <cell r="BS39">
            <v>588.44675253103435</v>
          </cell>
          <cell r="BT39">
            <v>0.41430733096276939</v>
          </cell>
          <cell r="BU39">
            <v>0.44190362409608186</v>
          </cell>
          <cell r="BV39">
            <v>0.27</v>
          </cell>
          <cell r="BW39">
            <v>449.87671232876716</v>
          </cell>
          <cell r="BX39">
            <v>8.125999428036268E-2</v>
          </cell>
          <cell r="BY39">
            <v>588.44675253103435</v>
          </cell>
          <cell r="BZ39">
            <v>0.41430733096276939</v>
          </cell>
          <cell r="CA39">
            <v>588.44675253103435</v>
          </cell>
          <cell r="CB39">
            <v>0.41430733096276939</v>
          </cell>
          <cell r="CD39">
            <v>0</v>
          </cell>
          <cell r="CE39">
            <v>868.71654000000001</v>
          </cell>
          <cell r="CF39">
            <v>416.06710200000003</v>
          </cell>
          <cell r="CG39">
            <v>653.82972503448264</v>
          </cell>
        </row>
        <row r="40">
          <cell r="B40">
            <v>887405</v>
          </cell>
          <cell r="C40" t="str">
            <v>TONER 5010 RED</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90</v>
          </cell>
          <cell r="BP40">
            <v>100</v>
          </cell>
          <cell r="BQ40" t="e">
            <v>#DIV/0!</v>
          </cell>
          <cell r="BR40" t="e">
            <v>#DIV/0!</v>
          </cell>
          <cell r="BS40" t="e">
            <v>#DIV/0!</v>
          </cell>
          <cell r="BT40" t="e">
            <v>#DIV/0!</v>
          </cell>
          <cell r="BU40" t="e">
            <v>#DIV/0!</v>
          </cell>
          <cell r="BV40">
            <v>0.27</v>
          </cell>
          <cell r="BW40">
            <v>672.28767123287673</v>
          </cell>
          <cell r="BX40" t="e">
            <v>#DIV/0!</v>
          </cell>
          <cell r="BY40" t="e">
            <v>#DIV/0!</v>
          </cell>
          <cell r="BZ40" t="e">
            <v>#DIV/0!</v>
          </cell>
          <cell r="CA40">
            <v>817.95</v>
          </cell>
          <cell r="CB40" t="e">
            <v>#DIV/0!</v>
          </cell>
          <cell r="CE40">
            <v>0</v>
          </cell>
          <cell r="CF40">
            <v>0</v>
          </cell>
          <cell r="CG40" t="e">
            <v>#DIV/0!</v>
          </cell>
        </row>
        <row r="41">
          <cell r="B41">
            <v>887409</v>
          </cell>
          <cell r="C41" t="str">
            <v>TONER 5010 BLUE</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90</v>
          </cell>
          <cell r="BP41">
            <v>100</v>
          </cell>
          <cell r="BQ41" t="e">
            <v>#DIV/0!</v>
          </cell>
          <cell r="BR41" t="e">
            <v>#DIV/0!</v>
          </cell>
          <cell r="BS41" t="e">
            <v>#DIV/0!</v>
          </cell>
          <cell r="BT41" t="e">
            <v>#DIV/0!</v>
          </cell>
          <cell r="BU41" t="e">
            <v>#DIV/0!</v>
          </cell>
          <cell r="BV41">
            <v>0.27</v>
          </cell>
          <cell r="BW41">
            <v>672.28767123287673</v>
          </cell>
          <cell r="BX41" t="e">
            <v>#DIV/0!</v>
          </cell>
          <cell r="BY41" t="e">
            <v>#DIV/0!</v>
          </cell>
          <cell r="BZ41" t="e">
            <v>#DIV/0!</v>
          </cell>
          <cell r="CA41">
            <v>817.95</v>
          </cell>
          <cell r="CB41" t="e">
            <v>#DIV/0!</v>
          </cell>
          <cell r="CD41">
            <v>0</v>
          </cell>
          <cell r="CE41">
            <v>0</v>
          </cell>
          <cell r="CF41">
            <v>0</v>
          </cell>
          <cell r="CG41" t="e">
            <v>#DIV/0!</v>
          </cell>
        </row>
        <row r="42">
          <cell r="B42">
            <v>887413</v>
          </cell>
          <cell r="C42" t="str">
            <v>TONER 5010 GREEN</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90</v>
          </cell>
          <cell r="BP42">
            <v>100</v>
          </cell>
          <cell r="BQ42" t="e">
            <v>#DIV/0!</v>
          </cell>
          <cell r="BR42" t="e">
            <v>#DIV/0!</v>
          </cell>
          <cell r="BS42" t="e">
            <v>#DIV/0!</v>
          </cell>
          <cell r="BT42" t="e">
            <v>#DIV/0!</v>
          </cell>
          <cell r="BU42" t="e">
            <v>#DIV/0!</v>
          </cell>
          <cell r="BV42">
            <v>0.27</v>
          </cell>
          <cell r="BW42">
            <v>672.28767123287673</v>
          </cell>
          <cell r="BX42" t="e">
            <v>#DIV/0!</v>
          </cell>
          <cell r="BY42" t="e">
            <v>#DIV/0!</v>
          </cell>
          <cell r="BZ42" t="e">
            <v>#DIV/0!</v>
          </cell>
          <cell r="CA42">
            <v>817.95</v>
          </cell>
          <cell r="CB42" t="e">
            <v>#DIV/0!</v>
          </cell>
          <cell r="CE42">
            <v>0</v>
          </cell>
          <cell r="CF42">
            <v>0</v>
          </cell>
          <cell r="CG42" t="e">
            <v>#DIV/0!</v>
          </cell>
        </row>
        <row r="43">
          <cell r="B43">
            <v>887447</v>
          </cell>
          <cell r="C43" t="str">
            <v>TONER 800(Fw810)</v>
          </cell>
          <cell r="D43">
            <v>0</v>
          </cell>
          <cell r="E43">
            <v>0</v>
          </cell>
          <cell r="F43">
            <v>0</v>
          </cell>
          <cell r="G43">
            <v>0</v>
          </cell>
          <cell r="H43">
            <v>0</v>
          </cell>
          <cell r="I43">
            <v>0</v>
          </cell>
          <cell r="J43">
            <v>0</v>
          </cell>
          <cell r="K43">
            <v>0</v>
          </cell>
          <cell r="L43">
            <v>93.198143210599724</v>
          </cell>
          <cell r="M43">
            <v>95.521539056435927</v>
          </cell>
          <cell r="N43">
            <v>0</v>
          </cell>
          <cell r="O43">
            <v>99.604077471262386</v>
          </cell>
          <cell r="P43">
            <v>88.404605300399624</v>
          </cell>
          <cell r="Q43">
            <v>88.404605300399624</v>
          </cell>
          <cell r="R43">
            <v>102.44561990334765</v>
          </cell>
          <cell r="S43">
            <v>0</v>
          </cell>
          <cell r="T43">
            <v>0</v>
          </cell>
          <cell r="U43">
            <v>0</v>
          </cell>
          <cell r="V43">
            <v>88.404605300399624</v>
          </cell>
          <cell r="W43">
            <v>0</v>
          </cell>
          <cell r="X43">
            <v>101.66593953977896</v>
          </cell>
          <cell r="Y43">
            <v>101.66593953977896</v>
          </cell>
          <cell r="Z43">
            <v>0</v>
          </cell>
          <cell r="AA43">
            <v>108.96836251758339</v>
          </cell>
          <cell r="AB43">
            <v>106.42734173012911</v>
          </cell>
          <cell r="AC43">
            <v>106.42734173012911</v>
          </cell>
          <cell r="AD43">
            <v>106.42734173012911</v>
          </cell>
          <cell r="AE43">
            <v>106.42734173012911</v>
          </cell>
          <cell r="AF43">
            <v>0</v>
          </cell>
          <cell r="AG43">
            <v>104.58578320495765</v>
          </cell>
          <cell r="AH43">
            <v>0</v>
          </cell>
          <cell r="AI43">
            <v>0</v>
          </cell>
          <cell r="AJ43">
            <v>105.92021126359138</v>
          </cell>
          <cell r="AK43">
            <v>0</v>
          </cell>
          <cell r="AL43">
            <v>0</v>
          </cell>
          <cell r="AM43">
            <v>107.73774109950222</v>
          </cell>
          <cell r="AN43">
            <v>107.73774109950222</v>
          </cell>
          <cell r="AO43">
            <v>110.92507046938877</v>
          </cell>
          <cell r="AP43">
            <v>110.92507046938877</v>
          </cell>
          <cell r="AQ43">
            <v>110.92507046938877</v>
          </cell>
          <cell r="AR43">
            <v>110.92507046938877</v>
          </cell>
          <cell r="AS43">
            <v>76.990727444777008</v>
          </cell>
          <cell r="AT43">
            <v>0</v>
          </cell>
          <cell r="AU43">
            <v>76.990727444777008</v>
          </cell>
          <cell r="AV43">
            <v>88.60270544950157</v>
          </cell>
          <cell r="AW43">
            <v>0</v>
          </cell>
          <cell r="AX43">
            <v>0</v>
          </cell>
          <cell r="AY43">
            <v>0</v>
          </cell>
          <cell r="AZ43">
            <v>0</v>
          </cell>
          <cell r="BA43">
            <v>94.486729527285675</v>
          </cell>
          <cell r="BB43">
            <v>0</v>
          </cell>
          <cell r="BC43">
            <v>0</v>
          </cell>
          <cell r="BD43">
            <v>0</v>
          </cell>
          <cell r="BE43">
            <v>99.25454752804778</v>
          </cell>
          <cell r="BF43">
            <v>0</v>
          </cell>
          <cell r="BG43">
            <v>0</v>
          </cell>
          <cell r="BH43">
            <v>0</v>
          </cell>
          <cell r="BI43">
            <v>0</v>
          </cell>
          <cell r="BJ43">
            <v>0</v>
          </cell>
          <cell r="BK43">
            <v>0</v>
          </cell>
          <cell r="BL43">
            <v>0</v>
          </cell>
          <cell r="BM43">
            <v>110.92507046938877</v>
          </cell>
          <cell r="BN43">
            <v>76.990727444777008</v>
          </cell>
          <cell r="BO43">
            <v>90</v>
          </cell>
          <cell r="BP43">
            <v>100</v>
          </cell>
          <cell r="BQ43">
            <v>2137.3649156095848</v>
          </cell>
          <cell r="BR43">
            <v>1483.4994376959905</v>
          </cell>
          <cell r="BS43">
            <v>1734.1692152266669</v>
          </cell>
          <cell r="BT43">
            <v>2.284075558429858</v>
          </cell>
          <cell r="BU43">
            <v>0.45680041386452896</v>
          </cell>
          <cell r="BV43">
            <v>0.27</v>
          </cell>
          <cell r="BW43">
            <v>1290.4109589041095</v>
          </cell>
          <cell r="BX43">
            <v>1.4437102522968694</v>
          </cell>
          <cell r="BY43">
            <v>1734.1692152266669</v>
          </cell>
          <cell r="BZ43">
            <v>2.284075558429858</v>
          </cell>
          <cell r="CA43">
            <v>1734.1692152266669</v>
          </cell>
          <cell r="CB43">
            <v>2.284075558429858</v>
          </cell>
          <cell r="CD43">
            <v>0</v>
          </cell>
          <cell r="CE43">
            <v>2591.0215349999999</v>
          </cell>
          <cell r="CF43">
            <v>528.05399399999999</v>
          </cell>
          <cell r="CG43">
            <v>1926.8546835851855</v>
          </cell>
        </row>
        <row r="44">
          <cell r="B44">
            <v>887452</v>
          </cell>
          <cell r="C44" t="str">
            <v>TONER 4460 RED</v>
          </cell>
          <cell r="D44">
            <v>0</v>
          </cell>
          <cell r="E44">
            <v>96.325184310708565</v>
          </cell>
          <cell r="F44">
            <v>0</v>
          </cell>
          <cell r="G44">
            <v>0</v>
          </cell>
          <cell r="H44">
            <v>0</v>
          </cell>
          <cell r="I44">
            <v>0</v>
          </cell>
          <cell r="J44">
            <v>0</v>
          </cell>
          <cell r="K44">
            <v>0</v>
          </cell>
          <cell r="L44">
            <v>0</v>
          </cell>
          <cell r="M44">
            <v>0</v>
          </cell>
          <cell r="N44">
            <v>0</v>
          </cell>
          <cell r="O44">
            <v>0</v>
          </cell>
          <cell r="P44">
            <v>0</v>
          </cell>
          <cell r="Q44">
            <v>0</v>
          </cell>
          <cell r="R44">
            <v>98.645777532815444</v>
          </cell>
          <cell r="S44">
            <v>0</v>
          </cell>
          <cell r="T44">
            <v>0</v>
          </cell>
          <cell r="U44">
            <v>0</v>
          </cell>
          <cell r="V44">
            <v>0</v>
          </cell>
          <cell r="W44">
            <v>0</v>
          </cell>
          <cell r="X44">
            <v>0</v>
          </cell>
          <cell r="Y44">
            <v>0</v>
          </cell>
          <cell r="Z44">
            <v>0</v>
          </cell>
          <cell r="AA44">
            <v>0</v>
          </cell>
          <cell r="AB44">
            <v>0</v>
          </cell>
          <cell r="AC44">
            <v>0</v>
          </cell>
          <cell r="AD44">
            <v>0</v>
          </cell>
          <cell r="AE44">
            <v>0</v>
          </cell>
          <cell r="AF44">
            <v>114.17677012101409</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90.852268035461904</v>
          </cell>
          <cell r="BM44">
            <v>114.17677012101409</v>
          </cell>
          <cell r="BN44">
            <v>90.852268035461904</v>
          </cell>
          <cell r="BO44">
            <v>90</v>
          </cell>
          <cell r="BP44">
            <v>100</v>
          </cell>
          <cell r="BQ44">
            <v>467.20061768358124</v>
          </cell>
          <cell r="BR44">
            <v>371.75894622990307</v>
          </cell>
          <cell r="BS44">
            <v>368.27154548999999</v>
          </cell>
          <cell r="BT44">
            <v>2.0076188740874619</v>
          </cell>
          <cell r="BU44">
            <v>0.79740492874428182</v>
          </cell>
          <cell r="BV44">
            <v>0.27</v>
          </cell>
          <cell r="BW44">
            <v>102.2054794520548</v>
          </cell>
          <cell r="BX44">
            <v>-0.16530306834822983</v>
          </cell>
          <cell r="BY44">
            <v>368.27154548999999</v>
          </cell>
          <cell r="BZ44">
            <v>2.0076188740874619</v>
          </cell>
          <cell r="CA44">
            <v>234.96</v>
          </cell>
          <cell r="CB44">
            <v>0.91888333299097891</v>
          </cell>
          <cell r="CD44">
            <v>0</v>
          </cell>
          <cell r="CE44">
            <v>853.57500000000005</v>
          </cell>
          <cell r="CF44">
            <v>122.4462144</v>
          </cell>
          <cell r="CG44">
            <v>409.19060609999997</v>
          </cell>
        </row>
        <row r="45">
          <cell r="B45">
            <v>887453</v>
          </cell>
          <cell r="C45" t="str">
            <v>TONER 4460 BLUE</v>
          </cell>
          <cell r="D45">
            <v>0</v>
          </cell>
          <cell r="E45">
            <v>102.62588633809735</v>
          </cell>
          <cell r="F45">
            <v>0</v>
          </cell>
          <cell r="G45">
            <v>0</v>
          </cell>
          <cell r="H45">
            <v>0</v>
          </cell>
          <cell r="I45">
            <v>0</v>
          </cell>
          <cell r="J45">
            <v>0</v>
          </cell>
          <cell r="K45">
            <v>0</v>
          </cell>
          <cell r="L45">
            <v>0</v>
          </cell>
          <cell r="M45">
            <v>0</v>
          </cell>
          <cell r="N45">
            <v>0</v>
          </cell>
          <cell r="O45">
            <v>0</v>
          </cell>
          <cell r="P45">
            <v>0</v>
          </cell>
          <cell r="Q45">
            <v>0</v>
          </cell>
          <cell r="R45">
            <v>108.42505152721941</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88.949062134683231</v>
          </cell>
          <cell r="BM45">
            <v>108.42505152721941</v>
          </cell>
          <cell r="BN45">
            <v>88.949062134683231</v>
          </cell>
          <cell r="BO45">
            <v>90</v>
          </cell>
          <cell r="BP45">
            <v>100</v>
          </cell>
          <cell r="BQ45">
            <v>283.05712282013423</v>
          </cell>
          <cell r="BR45">
            <v>232.21262292019375</v>
          </cell>
          <cell r="BS45">
            <v>234.95622732000004</v>
          </cell>
          <cell r="BT45">
            <v>0.91885252207519486</v>
          </cell>
          <cell r="BU45">
            <v>0.68245148957731405</v>
          </cell>
          <cell r="BV45">
            <v>0.27</v>
          </cell>
          <cell r="BW45">
            <v>102.2054794520548</v>
          </cell>
          <cell r="BX45">
            <v>-0.16530306834822983</v>
          </cell>
          <cell r="BY45">
            <v>234.95622732000004</v>
          </cell>
          <cell r="BZ45">
            <v>0.91885252207519486</v>
          </cell>
          <cell r="CA45">
            <v>234.95622732000004</v>
          </cell>
          <cell r="CB45">
            <v>0.91885252207519486</v>
          </cell>
          <cell r="CD45">
            <v>0</v>
          </cell>
          <cell r="CE45">
            <v>366.74121000000002</v>
          </cell>
          <cell r="CF45">
            <v>122.4462144</v>
          </cell>
          <cell r="CG45">
            <v>261.06247480000002</v>
          </cell>
        </row>
        <row r="46">
          <cell r="B46">
            <v>887454</v>
          </cell>
          <cell r="C46" t="str">
            <v>TONER 4460 GREEN</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t="e">
            <v>#DIV/0!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t="e">
            <v>#DIV/0!</v>
          </cell>
          <cell r="BN46" t="e">
            <v>#DIV/0!</v>
          </cell>
          <cell r="BO46">
            <v>90</v>
          </cell>
          <cell r="BP46">
            <v>100</v>
          </cell>
          <cell r="BQ46" t="e">
            <v>#DIV/0!</v>
          </cell>
          <cell r="BR46" t="e">
            <v>#DIV/0!</v>
          </cell>
          <cell r="BS46">
            <v>768.21749999999997</v>
          </cell>
          <cell r="BT46">
            <v>-0.1</v>
          </cell>
          <cell r="BU46">
            <v>0.90287906745160063</v>
          </cell>
          <cell r="BV46">
            <v>0.27</v>
          </cell>
          <cell r="BW46">
            <v>102.2054794520548</v>
          </cell>
          <cell r="BX46">
            <v>-0.88026186398142536</v>
          </cell>
          <cell r="BY46">
            <v>768.21749999999997</v>
          </cell>
          <cell r="BZ46">
            <v>-0.1</v>
          </cell>
          <cell r="CA46">
            <v>234.96</v>
          </cell>
          <cell r="CB46">
            <v>-0.72473420613302864</v>
          </cell>
          <cell r="CD46">
            <v>0</v>
          </cell>
          <cell r="CE46">
            <v>853.57500000000005</v>
          </cell>
          <cell r="CF46">
            <v>853.57500000000005</v>
          </cell>
          <cell r="CG46">
            <v>853.57500000000005</v>
          </cell>
        </row>
        <row r="47">
          <cell r="B47">
            <v>887459</v>
          </cell>
          <cell r="C47" t="str">
            <v>TONER 4460 BLACK</v>
          </cell>
          <cell r="D47">
            <v>0</v>
          </cell>
          <cell r="E47">
            <v>0</v>
          </cell>
          <cell r="F47">
            <v>0</v>
          </cell>
          <cell r="G47">
            <v>0</v>
          </cell>
          <cell r="H47">
            <v>0</v>
          </cell>
          <cell r="I47">
            <v>108.38495209363919</v>
          </cell>
          <cell r="J47">
            <v>0</v>
          </cell>
          <cell r="K47">
            <v>0</v>
          </cell>
          <cell r="L47">
            <v>0</v>
          </cell>
          <cell r="M47">
            <v>0</v>
          </cell>
          <cell r="N47">
            <v>0</v>
          </cell>
          <cell r="O47">
            <v>95.850962613402729</v>
          </cell>
          <cell r="P47">
            <v>88.231576464085421</v>
          </cell>
          <cell r="Q47">
            <v>0</v>
          </cell>
          <cell r="R47">
            <v>103.02478137674251</v>
          </cell>
          <cell r="S47">
            <v>0</v>
          </cell>
          <cell r="T47">
            <v>0</v>
          </cell>
          <cell r="U47">
            <v>88.231576464085421</v>
          </cell>
          <cell r="V47">
            <v>88.231576464085421</v>
          </cell>
          <cell r="W47">
            <v>91.98882039957094</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111.71108677090488</v>
          </cell>
          <cell r="AN47">
            <v>111.71108677090488</v>
          </cell>
          <cell r="AO47">
            <v>114.6051854951273</v>
          </cell>
          <cell r="AP47">
            <v>114.6051854951273</v>
          </cell>
          <cell r="AQ47">
            <v>114.6051854951273</v>
          </cell>
          <cell r="AR47">
            <v>114.6051854951273</v>
          </cell>
          <cell r="AS47">
            <v>93.727645040023049</v>
          </cell>
          <cell r="AT47">
            <v>0</v>
          </cell>
          <cell r="AU47">
            <v>93.727645040023049</v>
          </cell>
          <cell r="AV47">
            <v>93.727645040023049</v>
          </cell>
          <cell r="AW47">
            <v>0</v>
          </cell>
          <cell r="AX47">
            <v>0</v>
          </cell>
          <cell r="AY47">
            <v>0</v>
          </cell>
          <cell r="AZ47">
            <v>0</v>
          </cell>
          <cell r="BA47">
            <v>0</v>
          </cell>
          <cell r="BB47">
            <v>93.727645040023049</v>
          </cell>
          <cell r="BC47">
            <v>92.075141078797898</v>
          </cell>
          <cell r="BD47">
            <v>92.075141078797898</v>
          </cell>
          <cell r="BE47">
            <v>98.40944981846242</v>
          </cell>
          <cell r="BF47">
            <v>0</v>
          </cell>
          <cell r="BG47">
            <v>0</v>
          </cell>
          <cell r="BH47">
            <v>0</v>
          </cell>
          <cell r="BI47">
            <v>0</v>
          </cell>
          <cell r="BJ47">
            <v>0</v>
          </cell>
          <cell r="BK47">
            <v>0</v>
          </cell>
          <cell r="BL47">
            <v>96.742526465919127</v>
          </cell>
          <cell r="BM47">
            <v>114.6051854951273</v>
          </cell>
          <cell r="BN47">
            <v>88.231576464085421</v>
          </cell>
          <cell r="BO47">
            <v>90</v>
          </cell>
          <cell r="BP47">
            <v>100</v>
          </cell>
          <cell r="BQ47">
            <v>499.19723478107574</v>
          </cell>
          <cell r="BR47">
            <v>384.31907597339176</v>
          </cell>
          <cell r="BS47">
            <v>392.0219747142857</v>
          </cell>
          <cell r="BT47">
            <v>0.23629180525851745</v>
          </cell>
          <cell r="BU47">
            <v>0.35768906785514398</v>
          </cell>
          <cell r="BV47">
            <v>0.27</v>
          </cell>
          <cell r="BW47">
            <v>344.9315068493151</v>
          </cell>
          <cell r="BX47">
            <v>8.7785947724171365E-2</v>
          </cell>
          <cell r="BY47">
            <v>392.0219747142857</v>
          </cell>
          <cell r="BZ47">
            <v>0.23629180525851745</v>
          </cell>
          <cell r="CA47">
            <v>392.0219747142857</v>
          </cell>
          <cell r="CB47">
            <v>0.23629180525851745</v>
          </cell>
          <cell r="CD47">
            <v>0</v>
          </cell>
          <cell r="CE47">
            <v>582.62555499999996</v>
          </cell>
          <cell r="CF47">
            <v>317.09502000000003</v>
          </cell>
          <cell r="CG47">
            <v>435.57997190476186</v>
          </cell>
        </row>
        <row r="48">
          <cell r="B48">
            <v>887481</v>
          </cell>
          <cell r="C48" t="str">
            <v>TONER TYPE A BLACK (NC11)</v>
          </cell>
          <cell r="D48">
            <v>78.121939182817144</v>
          </cell>
          <cell r="E48">
            <v>0</v>
          </cell>
          <cell r="F48">
            <v>0</v>
          </cell>
          <cell r="G48">
            <v>0</v>
          </cell>
          <cell r="H48">
            <v>0</v>
          </cell>
          <cell r="I48">
            <v>0</v>
          </cell>
          <cell r="J48">
            <v>0</v>
          </cell>
          <cell r="K48">
            <v>0</v>
          </cell>
          <cell r="L48">
            <v>106.78707722173009</v>
          </cell>
          <cell r="M48">
            <v>0</v>
          </cell>
          <cell r="N48">
            <v>93.469632202524622</v>
          </cell>
          <cell r="O48">
            <v>0</v>
          </cell>
          <cell r="P48">
            <v>86.510502481998387</v>
          </cell>
          <cell r="Q48">
            <v>85.869908164640833</v>
          </cell>
          <cell r="R48">
            <v>101.45770322034144</v>
          </cell>
          <cell r="S48">
            <v>0</v>
          </cell>
          <cell r="T48">
            <v>0</v>
          </cell>
          <cell r="U48">
            <v>0</v>
          </cell>
          <cell r="V48">
            <v>85.869908164640833</v>
          </cell>
          <cell r="W48">
            <v>0</v>
          </cell>
          <cell r="X48">
            <v>0</v>
          </cell>
          <cell r="Y48">
            <v>0</v>
          </cell>
          <cell r="Z48">
            <v>0</v>
          </cell>
          <cell r="AA48">
            <v>0</v>
          </cell>
          <cell r="AB48">
            <v>0</v>
          </cell>
          <cell r="AC48">
            <v>0</v>
          </cell>
          <cell r="AD48">
            <v>0</v>
          </cell>
          <cell r="AE48">
            <v>0</v>
          </cell>
          <cell r="AF48">
            <v>0</v>
          </cell>
          <cell r="AG48">
            <v>85.935538418917176</v>
          </cell>
          <cell r="AH48">
            <v>0</v>
          </cell>
          <cell r="AI48">
            <v>0</v>
          </cell>
          <cell r="AJ48">
            <v>103.59546560510317</v>
          </cell>
          <cell r="AK48">
            <v>0</v>
          </cell>
          <cell r="AL48">
            <v>0</v>
          </cell>
          <cell r="AM48">
            <v>112.2867687757474</v>
          </cell>
          <cell r="AN48">
            <v>112.2867687757474</v>
          </cell>
          <cell r="AO48">
            <v>102.53884238052443</v>
          </cell>
          <cell r="AP48">
            <v>102.53884238052443</v>
          </cell>
          <cell r="AQ48">
            <v>102.53884238052443</v>
          </cell>
          <cell r="AR48">
            <v>102.53884238052443</v>
          </cell>
          <cell r="AS48">
            <v>110.16109835922381</v>
          </cell>
          <cell r="AT48">
            <v>0</v>
          </cell>
          <cell r="AU48">
            <v>110.16109835922381</v>
          </cell>
          <cell r="AV48">
            <v>110.16109835922381</v>
          </cell>
          <cell r="AW48">
            <v>0</v>
          </cell>
          <cell r="AX48">
            <v>92.348501814052838</v>
          </cell>
          <cell r="AY48">
            <v>110.16109835922381</v>
          </cell>
          <cell r="AZ48">
            <v>0</v>
          </cell>
          <cell r="BA48">
            <v>0</v>
          </cell>
          <cell r="BB48">
            <v>0</v>
          </cell>
          <cell r="BC48">
            <v>0</v>
          </cell>
          <cell r="BD48">
            <v>0</v>
          </cell>
          <cell r="BE48">
            <v>104.18203670436296</v>
          </cell>
          <cell r="BF48">
            <v>0</v>
          </cell>
          <cell r="BG48">
            <v>0</v>
          </cell>
          <cell r="BH48">
            <v>96.949852394399713</v>
          </cell>
          <cell r="BI48">
            <v>0</v>
          </cell>
          <cell r="BJ48">
            <v>0</v>
          </cell>
          <cell r="BK48">
            <v>0</v>
          </cell>
          <cell r="BL48">
            <v>103.52863391398262</v>
          </cell>
          <cell r="BM48">
            <v>112.2867687757474</v>
          </cell>
          <cell r="BN48">
            <v>78.121939182817144</v>
          </cell>
          <cell r="BO48">
            <v>90</v>
          </cell>
          <cell r="BP48">
            <v>100</v>
          </cell>
          <cell r="BQ48">
            <v>493.03535480909073</v>
          </cell>
          <cell r="BR48">
            <v>343.02240970437146</v>
          </cell>
          <cell r="BS48">
            <v>395.17729841739146</v>
          </cell>
          <cell r="BT48">
            <v>0.43700835788142345</v>
          </cell>
          <cell r="BU48">
            <v>0.33369148214104005</v>
          </cell>
          <cell r="BV48">
            <v>0.27</v>
          </cell>
          <cell r="BW48">
            <v>360.69863013698631</v>
          </cell>
          <cell r="BX48">
            <v>0.31163138231631393</v>
          </cell>
          <cell r="BY48">
            <v>395.17729841739146</v>
          </cell>
          <cell r="BZ48">
            <v>0.43700835788142345</v>
          </cell>
          <cell r="CA48">
            <v>395.17729841739146</v>
          </cell>
          <cell r="CB48">
            <v>0.43700835788142345</v>
          </cell>
          <cell r="CD48">
            <v>0</v>
          </cell>
          <cell r="CE48">
            <v>531.236895</v>
          </cell>
          <cell r="CF48">
            <v>275</v>
          </cell>
          <cell r="CG48">
            <v>439.08588713043491</v>
          </cell>
        </row>
        <row r="49">
          <cell r="B49">
            <v>887483</v>
          </cell>
          <cell r="C49" t="str">
            <v>TONER TYPE A YELLOW (NC11)</v>
          </cell>
          <cell r="D49">
            <v>91.365560584335554</v>
          </cell>
          <cell r="E49">
            <v>0</v>
          </cell>
          <cell r="F49">
            <v>90.81625616119166</v>
          </cell>
          <cell r="G49">
            <v>0</v>
          </cell>
          <cell r="H49">
            <v>0</v>
          </cell>
          <cell r="I49">
            <v>113.33773751009107</v>
          </cell>
          <cell r="J49">
            <v>0</v>
          </cell>
          <cell r="K49">
            <v>0</v>
          </cell>
          <cell r="L49">
            <v>114.98445329588027</v>
          </cell>
          <cell r="M49">
            <v>0</v>
          </cell>
          <cell r="N49">
            <v>104.23310458518883</v>
          </cell>
          <cell r="O49">
            <v>0</v>
          </cell>
          <cell r="P49">
            <v>83.674279151311765</v>
          </cell>
          <cell r="Q49">
            <v>83.32239693506348</v>
          </cell>
          <cell r="R49">
            <v>102.49997772059486</v>
          </cell>
          <cell r="S49">
            <v>0</v>
          </cell>
          <cell r="T49">
            <v>0</v>
          </cell>
          <cell r="U49">
            <v>0</v>
          </cell>
          <cell r="V49">
            <v>83.32239693506348</v>
          </cell>
          <cell r="W49">
            <v>0</v>
          </cell>
          <cell r="X49">
            <v>0</v>
          </cell>
          <cell r="Y49">
            <v>0</v>
          </cell>
          <cell r="Z49">
            <v>0</v>
          </cell>
          <cell r="AA49">
            <v>0</v>
          </cell>
          <cell r="AB49">
            <v>0</v>
          </cell>
          <cell r="AC49">
            <v>0</v>
          </cell>
          <cell r="AD49">
            <v>0</v>
          </cell>
          <cell r="AE49">
            <v>0</v>
          </cell>
          <cell r="AF49">
            <v>0</v>
          </cell>
          <cell r="AG49">
            <v>97.80364442673428</v>
          </cell>
          <cell r="AH49">
            <v>0</v>
          </cell>
          <cell r="AI49">
            <v>0</v>
          </cell>
          <cell r="AJ49">
            <v>102.45586011612829</v>
          </cell>
          <cell r="AK49">
            <v>0</v>
          </cell>
          <cell r="AL49">
            <v>0</v>
          </cell>
          <cell r="AM49">
            <v>101.1823112140971</v>
          </cell>
          <cell r="AN49">
            <v>101.1823112140971</v>
          </cell>
          <cell r="AO49">
            <v>101.1823112140971</v>
          </cell>
          <cell r="AP49">
            <v>101.18522131907004</v>
          </cell>
          <cell r="AQ49">
            <v>101.18522131907004</v>
          </cell>
          <cell r="AR49">
            <v>101.18522131907004</v>
          </cell>
          <cell r="AS49">
            <v>111.47443099025622</v>
          </cell>
          <cell r="AT49">
            <v>0</v>
          </cell>
          <cell r="AU49">
            <v>111.47443099025622</v>
          </cell>
          <cell r="AV49">
            <v>111.47443099025622</v>
          </cell>
          <cell r="AW49">
            <v>0</v>
          </cell>
          <cell r="AX49">
            <v>84.516959376594883</v>
          </cell>
          <cell r="AY49">
            <v>0</v>
          </cell>
          <cell r="AZ49">
            <v>0</v>
          </cell>
          <cell r="BA49">
            <v>0</v>
          </cell>
          <cell r="BB49">
            <v>0</v>
          </cell>
          <cell r="BC49">
            <v>0</v>
          </cell>
          <cell r="BD49">
            <v>0</v>
          </cell>
          <cell r="BE49">
            <v>106.14148263155147</v>
          </cell>
          <cell r="BF49">
            <v>0</v>
          </cell>
          <cell r="BG49">
            <v>0</v>
          </cell>
          <cell r="BH49">
            <v>0</v>
          </cell>
          <cell r="BI49">
            <v>0</v>
          </cell>
          <cell r="BJ49">
            <v>0</v>
          </cell>
          <cell r="BK49">
            <v>0</v>
          </cell>
          <cell r="BL49">
            <v>0</v>
          </cell>
          <cell r="BM49">
            <v>114.98445329588027</v>
          </cell>
          <cell r="BN49">
            <v>83.32239693506348</v>
          </cell>
          <cell r="BO49">
            <v>90</v>
          </cell>
          <cell r="BP49">
            <v>100</v>
          </cell>
          <cell r="BQ49">
            <v>406.57847369162977</v>
          </cell>
          <cell r="BR49">
            <v>294.62324687506259</v>
          </cell>
          <cell r="BS49">
            <v>318.23487074454545</v>
          </cell>
          <cell r="BT49">
            <v>0.57707733257008287</v>
          </cell>
          <cell r="BU49">
            <v>0.53493468627828955</v>
          </cell>
          <cell r="BV49">
            <v>0.27</v>
          </cell>
          <cell r="BW49">
            <v>202.73972602739727</v>
          </cell>
          <cell r="BX49">
            <v>4.7177595001424155E-3</v>
          </cell>
          <cell r="BY49">
            <v>318.23487074454545</v>
          </cell>
          <cell r="BZ49">
            <v>0.57707733257008287</v>
          </cell>
          <cell r="CA49">
            <v>318.23487074454545</v>
          </cell>
          <cell r="CB49">
            <v>0.57707733257008287</v>
          </cell>
          <cell r="CD49">
            <v>0</v>
          </cell>
          <cell r="CE49">
            <v>489.98909999999995</v>
          </cell>
          <cell r="CF49">
            <v>201.78774000000001</v>
          </cell>
          <cell r="CG49">
            <v>353.59430082727272</v>
          </cell>
        </row>
        <row r="50">
          <cell r="B50">
            <v>887485</v>
          </cell>
          <cell r="C50" t="str">
            <v>TONER TYPE A MAGENTA (NC11)</v>
          </cell>
          <cell r="D50">
            <v>91.049463472473434</v>
          </cell>
          <cell r="E50">
            <v>0</v>
          </cell>
          <cell r="F50">
            <v>90.48724738679725</v>
          </cell>
          <cell r="G50">
            <v>0</v>
          </cell>
          <cell r="H50">
            <v>0</v>
          </cell>
          <cell r="I50">
            <v>113.53810689952084</v>
          </cell>
          <cell r="J50">
            <v>0</v>
          </cell>
          <cell r="K50">
            <v>0</v>
          </cell>
          <cell r="L50">
            <v>115.2235295254826</v>
          </cell>
          <cell r="M50">
            <v>0</v>
          </cell>
          <cell r="N50">
            <v>104.21946523401178</v>
          </cell>
          <cell r="O50">
            <v>0</v>
          </cell>
          <cell r="P50">
            <v>83.177394799951827</v>
          </cell>
          <cell r="Q50">
            <v>82.817241424332011</v>
          </cell>
          <cell r="R50">
            <v>102.44560039561227</v>
          </cell>
          <cell r="S50">
            <v>0</v>
          </cell>
          <cell r="T50">
            <v>0</v>
          </cell>
          <cell r="U50">
            <v>0</v>
          </cell>
          <cell r="V50">
            <v>82.817241424332011</v>
          </cell>
          <cell r="W50">
            <v>0</v>
          </cell>
          <cell r="X50">
            <v>0</v>
          </cell>
          <cell r="Y50">
            <v>0</v>
          </cell>
          <cell r="Z50">
            <v>0</v>
          </cell>
          <cell r="AA50">
            <v>0</v>
          </cell>
          <cell r="AB50">
            <v>0</v>
          </cell>
          <cell r="AC50">
            <v>0</v>
          </cell>
          <cell r="AD50">
            <v>0</v>
          </cell>
          <cell r="AE50">
            <v>0</v>
          </cell>
          <cell r="AF50">
            <v>0</v>
          </cell>
          <cell r="AG50">
            <v>97.638877547117374</v>
          </cell>
          <cell r="AH50">
            <v>0</v>
          </cell>
          <cell r="AI50">
            <v>0</v>
          </cell>
          <cell r="AJ50">
            <v>102.40044578580476</v>
          </cell>
          <cell r="AK50">
            <v>0</v>
          </cell>
          <cell r="AL50">
            <v>0</v>
          </cell>
          <cell r="AM50">
            <v>101.096961509237</v>
          </cell>
          <cell r="AN50">
            <v>101.096961509237</v>
          </cell>
          <cell r="AO50">
            <v>101.096961509237</v>
          </cell>
          <cell r="AP50">
            <v>101.09994001761571</v>
          </cell>
          <cell r="AQ50">
            <v>101.09994001761571</v>
          </cell>
          <cell r="AR50">
            <v>101.09994001761571</v>
          </cell>
          <cell r="AS50">
            <v>111.63100247097694</v>
          </cell>
          <cell r="AT50">
            <v>0</v>
          </cell>
          <cell r="AU50">
            <v>111.63100247097694</v>
          </cell>
          <cell r="AV50">
            <v>111.63100247097694</v>
          </cell>
          <cell r="AW50">
            <v>0</v>
          </cell>
          <cell r="AX50">
            <v>84.039882625962463</v>
          </cell>
          <cell r="AY50">
            <v>0</v>
          </cell>
          <cell r="AZ50">
            <v>0</v>
          </cell>
          <cell r="BA50">
            <v>0</v>
          </cell>
          <cell r="BB50">
            <v>0</v>
          </cell>
          <cell r="BC50">
            <v>0</v>
          </cell>
          <cell r="BD50">
            <v>0</v>
          </cell>
          <cell r="BE50">
            <v>104.79134696112155</v>
          </cell>
          <cell r="BF50">
            <v>0</v>
          </cell>
          <cell r="BG50">
            <v>0</v>
          </cell>
          <cell r="BH50">
            <v>0</v>
          </cell>
          <cell r="BI50">
            <v>0</v>
          </cell>
          <cell r="BJ50">
            <v>0</v>
          </cell>
          <cell r="BK50">
            <v>0</v>
          </cell>
          <cell r="BL50">
            <v>103.87044452399086</v>
          </cell>
          <cell r="BM50">
            <v>115.2235295254826</v>
          </cell>
          <cell r="BN50">
            <v>82.817241424332011</v>
          </cell>
          <cell r="BO50">
            <v>90</v>
          </cell>
          <cell r="BP50">
            <v>100</v>
          </cell>
          <cell r="BQ50">
            <v>408.58321408942123</v>
          </cell>
          <cell r="BR50">
            <v>293.67035381162873</v>
          </cell>
          <cell r="BS50">
            <v>319.14045177652173</v>
          </cell>
          <cell r="BT50">
            <v>0.58156512272014993</v>
          </cell>
          <cell r="BU50">
            <v>0.53625433825093072</v>
          </cell>
          <cell r="BV50">
            <v>0.27</v>
          </cell>
          <cell r="BW50">
            <v>202.73972602739727</v>
          </cell>
          <cell r="BX50">
            <v>4.7177595001424155E-3</v>
          </cell>
          <cell r="BY50">
            <v>319.14045177652173</v>
          </cell>
          <cell r="BZ50">
            <v>0.58156512272014993</v>
          </cell>
          <cell r="CA50">
            <v>318.23</v>
          </cell>
          <cell r="CB50">
            <v>0.57705319460934534</v>
          </cell>
          <cell r="CD50">
            <v>0</v>
          </cell>
          <cell r="CE50">
            <v>489.98909999999995</v>
          </cell>
          <cell r="CF50">
            <v>201.78774000000001</v>
          </cell>
          <cell r="CG50">
            <v>354.60050197391303</v>
          </cell>
        </row>
        <row r="51">
          <cell r="B51">
            <v>887487</v>
          </cell>
          <cell r="C51" t="str">
            <v>TONER TYPE A CYAN (NC11)</v>
          </cell>
          <cell r="D51">
            <v>91.502444935268358</v>
          </cell>
          <cell r="E51">
            <v>0</v>
          </cell>
          <cell r="F51">
            <v>90.93836075838442</v>
          </cell>
          <cell r="G51">
            <v>0</v>
          </cell>
          <cell r="H51">
            <v>0</v>
          </cell>
          <cell r="I51">
            <v>114.06581201062646</v>
          </cell>
          <cell r="J51">
            <v>0</v>
          </cell>
          <cell r="K51">
            <v>0</v>
          </cell>
          <cell r="L51">
            <v>0</v>
          </cell>
          <cell r="M51">
            <v>0</v>
          </cell>
          <cell r="N51">
            <v>104.71620703224325</v>
          </cell>
          <cell r="O51">
            <v>0</v>
          </cell>
          <cell r="P51">
            <v>83.604219518660727</v>
          </cell>
          <cell r="Q51">
            <v>83.242869451285586</v>
          </cell>
          <cell r="R51">
            <v>102.9364481232314</v>
          </cell>
          <cell r="S51">
            <v>0</v>
          </cell>
          <cell r="T51">
            <v>0</v>
          </cell>
          <cell r="U51">
            <v>0</v>
          </cell>
          <cell r="V51">
            <v>83.242869451285586</v>
          </cell>
          <cell r="W51">
            <v>0</v>
          </cell>
          <cell r="X51">
            <v>0</v>
          </cell>
          <cell r="Y51">
            <v>0</v>
          </cell>
          <cell r="Z51">
            <v>0</v>
          </cell>
          <cell r="AA51">
            <v>0</v>
          </cell>
          <cell r="AB51">
            <v>0</v>
          </cell>
          <cell r="AC51">
            <v>0</v>
          </cell>
          <cell r="AD51">
            <v>0</v>
          </cell>
          <cell r="AE51">
            <v>0</v>
          </cell>
          <cell r="AF51">
            <v>0</v>
          </cell>
          <cell r="AG51">
            <v>107.13401706604341</v>
          </cell>
          <cell r="AH51">
            <v>0</v>
          </cell>
          <cell r="AI51">
            <v>0</v>
          </cell>
          <cell r="AJ51">
            <v>102.89114347693129</v>
          </cell>
          <cell r="AK51">
            <v>0</v>
          </cell>
          <cell r="AL51">
            <v>0</v>
          </cell>
          <cell r="AM51">
            <v>101.58332807647975</v>
          </cell>
          <cell r="AN51">
            <v>101.58332807647975</v>
          </cell>
          <cell r="AO51">
            <v>101.58332807647975</v>
          </cell>
          <cell r="AP51">
            <v>101.58631648163205</v>
          </cell>
          <cell r="AQ51">
            <v>101.58631648163205</v>
          </cell>
          <cell r="AR51">
            <v>101.58631648163205</v>
          </cell>
          <cell r="AS51">
            <v>112.15237079253487</v>
          </cell>
          <cell r="AT51">
            <v>0</v>
          </cell>
          <cell r="AU51">
            <v>112.15237079253487</v>
          </cell>
          <cell r="AV51">
            <v>112.15237079253487</v>
          </cell>
          <cell r="AW51">
            <v>0</v>
          </cell>
          <cell r="AX51">
            <v>84.469573157239921</v>
          </cell>
          <cell r="AY51">
            <v>0</v>
          </cell>
          <cell r="AZ51">
            <v>0</v>
          </cell>
          <cell r="BA51">
            <v>0</v>
          </cell>
          <cell r="BB51">
            <v>0</v>
          </cell>
          <cell r="BC51">
            <v>0</v>
          </cell>
          <cell r="BD51">
            <v>0</v>
          </cell>
          <cell r="BE51">
            <v>105.28998896685957</v>
          </cell>
          <cell r="BF51">
            <v>0</v>
          </cell>
          <cell r="BG51">
            <v>0</v>
          </cell>
          <cell r="BH51">
            <v>0</v>
          </cell>
          <cell r="BI51">
            <v>0</v>
          </cell>
          <cell r="BJ51">
            <v>0</v>
          </cell>
          <cell r="BK51">
            <v>0</v>
          </cell>
          <cell r="BL51">
            <v>0</v>
          </cell>
          <cell r="BM51">
            <v>114.06581201062646</v>
          </cell>
          <cell r="BN51">
            <v>83.242869451285586</v>
          </cell>
          <cell r="BO51">
            <v>90</v>
          </cell>
          <cell r="BP51">
            <v>100</v>
          </cell>
          <cell r="BQ51">
            <v>399.59728402511411</v>
          </cell>
          <cell r="BR51">
            <v>291.6178297498289</v>
          </cell>
          <cell r="BS51">
            <v>315.28952390142859</v>
          </cell>
          <cell r="BT51">
            <v>0.56248106996702862</v>
          </cell>
          <cell r="BU51">
            <v>0.53059017575772549</v>
          </cell>
          <cell r="BV51">
            <v>0.27</v>
          </cell>
          <cell r="BW51">
            <v>202.73972602739727</v>
          </cell>
          <cell r="BX51">
            <v>4.7177595001424155E-3</v>
          </cell>
          <cell r="BY51">
            <v>315.28952390142859</v>
          </cell>
          <cell r="BZ51">
            <v>0.56248106996702862</v>
          </cell>
          <cell r="CA51">
            <v>318.23</v>
          </cell>
          <cell r="CB51">
            <v>0.57705319460934534</v>
          </cell>
          <cell r="CD51">
            <v>0</v>
          </cell>
          <cell r="CE51">
            <v>475</v>
          </cell>
          <cell r="CF51">
            <v>201.78774000000001</v>
          </cell>
          <cell r="CG51">
            <v>350.32169322380952</v>
          </cell>
        </row>
        <row r="52">
          <cell r="B52">
            <v>887527</v>
          </cell>
          <cell r="C52" t="str">
            <v>TONER 4418 RED</v>
          </cell>
          <cell r="D52">
            <v>0</v>
          </cell>
          <cell r="E52">
            <v>0</v>
          </cell>
          <cell r="F52">
            <v>0</v>
          </cell>
          <cell r="G52">
            <v>0</v>
          </cell>
          <cell r="H52">
            <v>0</v>
          </cell>
          <cell r="I52">
            <v>0</v>
          </cell>
          <cell r="J52">
            <v>0</v>
          </cell>
          <cell r="K52">
            <v>0</v>
          </cell>
          <cell r="L52">
            <v>0</v>
          </cell>
          <cell r="M52">
            <v>0</v>
          </cell>
          <cell r="N52">
            <v>92.928932188134524</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107.07106781186548</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107.07106781186548</v>
          </cell>
          <cell r="BN52">
            <v>92.928932188134524</v>
          </cell>
          <cell r="BO52">
            <v>90</v>
          </cell>
          <cell r="BP52">
            <v>100</v>
          </cell>
          <cell r="BQ52">
            <v>237.6308372057201</v>
          </cell>
          <cell r="BR52">
            <v>206.24413679427983</v>
          </cell>
          <cell r="BS52">
            <v>199.74373829999996</v>
          </cell>
          <cell r="BT52">
            <v>0.61091701513164209</v>
          </cell>
          <cell r="BU52">
            <v>0.56078723294826793</v>
          </cell>
          <cell r="BV52">
            <v>0.27</v>
          </cell>
          <cell r="BW52">
            <v>120.17808219178083</v>
          </cell>
          <cell r="BX52">
            <v>-3.0773534648376066E-2</v>
          </cell>
          <cell r="BY52">
            <v>199.74373829999996</v>
          </cell>
          <cell r="BZ52">
            <v>0.61091701513164209</v>
          </cell>
          <cell r="CA52">
            <v>156.52000000000001</v>
          </cell>
          <cell r="CB52">
            <v>0.26232107876998056</v>
          </cell>
          <cell r="CD52">
            <v>0</v>
          </cell>
          <cell r="CE52">
            <v>319.88116399999996</v>
          </cell>
          <cell r="CF52">
            <v>123.99381</v>
          </cell>
          <cell r="CG52">
            <v>221.93748699999998</v>
          </cell>
        </row>
        <row r="53">
          <cell r="B53">
            <v>887530</v>
          </cell>
          <cell r="C53" t="str">
            <v>TONER 4418 BLUE</v>
          </cell>
          <cell r="D53">
            <v>0</v>
          </cell>
          <cell r="E53">
            <v>0</v>
          </cell>
          <cell r="F53">
            <v>0</v>
          </cell>
          <cell r="G53">
            <v>0</v>
          </cell>
          <cell r="H53">
            <v>0</v>
          </cell>
          <cell r="I53">
            <v>0</v>
          </cell>
          <cell r="J53">
            <v>0</v>
          </cell>
          <cell r="K53">
            <v>0</v>
          </cell>
          <cell r="L53">
            <v>107.07106781186548</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92.92893218813451</v>
          </cell>
          <cell r="BM53">
            <v>107.07106781186548</v>
          </cell>
          <cell r="BN53">
            <v>92.92893218813451</v>
          </cell>
          <cell r="BO53">
            <v>90</v>
          </cell>
          <cell r="BP53">
            <v>100</v>
          </cell>
          <cell r="BQ53">
            <v>186.2086968232102</v>
          </cell>
          <cell r="BR53">
            <v>161.61392347678981</v>
          </cell>
          <cell r="BS53">
            <v>156.52017913500001</v>
          </cell>
          <cell r="BT53">
            <v>7.1743158356629477E-2</v>
          </cell>
          <cell r="BU53">
            <v>0.43949719144946719</v>
          </cell>
          <cell r="BV53">
            <v>0.27</v>
          </cell>
          <cell r="BW53">
            <v>120.17808219178083</v>
          </cell>
          <cell r="BX53">
            <v>-0.17710267081683673</v>
          </cell>
          <cell r="BY53">
            <v>156.52017913500001</v>
          </cell>
          <cell r="BZ53">
            <v>7.1743158356629477E-2</v>
          </cell>
          <cell r="CA53">
            <v>156.52017913500001</v>
          </cell>
          <cell r="CB53">
            <v>7.1743158356629477E-2</v>
          </cell>
          <cell r="CD53">
            <v>0</v>
          </cell>
          <cell r="CE53">
            <v>201.78</v>
          </cell>
          <cell r="CF53">
            <v>146.04262030000001</v>
          </cell>
          <cell r="CG53">
            <v>173.91131015000002</v>
          </cell>
        </row>
        <row r="54">
          <cell r="B54">
            <v>887533</v>
          </cell>
          <cell r="C54" t="str">
            <v>TONER 4418 GREEN</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90</v>
          </cell>
          <cell r="BP54">
            <v>100</v>
          </cell>
          <cell r="BQ54" t="e">
            <v>#DIV/0!</v>
          </cell>
          <cell r="BR54" t="e">
            <v>#DIV/0!</v>
          </cell>
          <cell r="BS54" t="e">
            <v>#DIV/0!</v>
          </cell>
          <cell r="BT54" t="e">
            <v>#DIV/0!</v>
          </cell>
          <cell r="BU54" t="e">
            <v>#DIV/0!</v>
          </cell>
          <cell r="BV54">
            <v>0.27</v>
          </cell>
          <cell r="BW54">
            <v>120.17808219178083</v>
          </cell>
          <cell r="BX54" t="e">
            <v>#DIV/0!</v>
          </cell>
          <cell r="BY54" t="e">
            <v>#DIV/0!</v>
          </cell>
          <cell r="BZ54" t="e">
            <v>#DIV/0!</v>
          </cell>
          <cell r="CA54">
            <v>156.52000000000001</v>
          </cell>
          <cell r="CB54" t="e">
            <v>#DIV/0!</v>
          </cell>
          <cell r="CD54">
            <v>0</v>
          </cell>
          <cell r="CE54">
            <v>0</v>
          </cell>
          <cell r="CF54">
            <v>0</v>
          </cell>
          <cell r="CG54" t="e">
            <v>#DIV/0!</v>
          </cell>
        </row>
        <row r="55">
          <cell r="B55">
            <v>887564</v>
          </cell>
          <cell r="C55" t="str">
            <v>DEVELOPER 410</v>
          </cell>
          <cell r="D55">
            <v>0</v>
          </cell>
          <cell r="E55">
            <v>92.194974519882877</v>
          </cell>
          <cell r="F55">
            <v>94.433206908735201</v>
          </cell>
          <cell r="G55">
            <v>0</v>
          </cell>
          <cell r="H55">
            <v>0</v>
          </cell>
          <cell r="I55">
            <v>96.671439297587526</v>
          </cell>
          <cell r="J55">
            <v>98.014378730898926</v>
          </cell>
          <cell r="K55">
            <v>0</v>
          </cell>
          <cell r="L55">
            <v>93.449198560327034</v>
          </cell>
          <cell r="M55">
            <v>95.118862949222788</v>
          </cell>
          <cell r="N55">
            <v>95.118862949222788</v>
          </cell>
          <cell r="O55">
            <v>98.239219348142726</v>
          </cell>
          <cell r="P55">
            <v>93.449933514453264</v>
          </cell>
          <cell r="Q55">
            <v>95.991674691698748</v>
          </cell>
          <cell r="R55">
            <v>99.576181480121861</v>
          </cell>
          <cell r="S55">
            <v>95.796156139602942</v>
          </cell>
          <cell r="T55">
            <v>101.31629659377454</v>
          </cell>
          <cell r="U55">
            <v>95.991674691698748</v>
          </cell>
          <cell r="V55">
            <v>95.991674691698748</v>
          </cell>
          <cell r="W55">
            <v>92.630249676813136</v>
          </cell>
          <cell r="X55">
            <v>95.152155638628614</v>
          </cell>
          <cell r="Y55">
            <v>95.152155638628614</v>
          </cell>
          <cell r="Z55">
            <v>97.03212190107287</v>
          </cell>
          <cell r="AA55">
            <v>0</v>
          </cell>
          <cell r="AB55">
            <v>95.610683995322333</v>
          </cell>
          <cell r="AC55">
            <v>95.610683995322333</v>
          </cell>
          <cell r="AD55">
            <v>95.610683995322333</v>
          </cell>
          <cell r="AE55">
            <v>0</v>
          </cell>
          <cell r="AF55">
            <v>120.60424780457035</v>
          </cell>
          <cell r="AG55">
            <v>121.53055045248047</v>
          </cell>
          <cell r="AH55">
            <v>127.55151766389625</v>
          </cell>
          <cell r="AI55">
            <v>128.94097163576143</v>
          </cell>
          <cell r="AJ55">
            <v>127.55151766389625</v>
          </cell>
          <cell r="AK55">
            <v>121.99370177643553</v>
          </cell>
          <cell r="AL55">
            <v>121.06739912852541</v>
          </cell>
          <cell r="AM55">
            <v>96.387570387979537</v>
          </cell>
          <cell r="AN55">
            <v>96.387570387979537</v>
          </cell>
          <cell r="AO55">
            <v>98.538127348122757</v>
          </cell>
          <cell r="AP55">
            <v>98.538127348122757</v>
          </cell>
          <cell r="AQ55">
            <v>98.538127348122757</v>
          </cell>
          <cell r="AR55">
            <v>98.538127348122757</v>
          </cell>
          <cell r="AS55">
            <v>95.370039422656518</v>
          </cell>
          <cell r="AT55">
            <v>95.370039422656518</v>
          </cell>
          <cell r="AU55">
            <v>91.597663546540005</v>
          </cell>
          <cell r="AV55">
            <v>95.370039422656518</v>
          </cell>
          <cell r="AW55">
            <v>96.479561739161369</v>
          </cell>
          <cell r="AX55">
            <v>0</v>
          </cell>
          <cell r="AY55">
            <v>95.370039422656518</v>
          </cell>
          <cell r="AZ55">
            <v>95.370039422656518</v>
          </cell>
          <cell r="BA55">
            <v>0</v>
          </cell>
          <cell r="BB55">
            <v>95.370039422656518</v>
          </cell>
          <cell r="BC55">
            <v>0</v>
          </cell>
          <cell r="BD55">
            <v>94.77828130039471</v>
          </cell>
          <cell r="BE55">
            <v>98.295588111739775</v>
          </cell>
          <cell r="BF55">
            <v>94.77828130039471</v>
          </cell>
          <cell r="BG55">
            <v>0</v>
          </cell>
          <cell r="BH55">
            <v>94.095309104017034</v>
          </cell>
          <cell r="BI55">
            <v>98.548287824399523</v>
          </cell>
          <cell r="BJ55">
            <v>98.295588111739775</v>
          </cell>
          <cell r="BK55">
            <v>98.295588111739775</v>
          </cell>
          <cell r="BL55">
            <v>98.295588111739775</v>
          </cell>
          <cell r="BM55">
            <v>128.94097163576143</v>
          </cell>
          <cell r="BN55">
            <v>91.597663546540005</v>
          </cell>
          <cell r="BO55">
            <v>90</v>
          </cell>
          <cell r="BP55">
            <v>100</v>
          </cell>
          <cell r="BQ55">
            <v>162.92790252745283</v>
          </cell>
          <cell r="BR55">
            <v>115.74145136900775</v>
          </cell>
          <cell r="BS55">
            <v>113.72266736823526</v>
          </cell>
          <cell r="BT55">
            <v>0.33689989177895519</v>
          </cell>
          <cell r="BU55">
            <v>0.43722741049708858</v>
          </cell>
          <cell r="BV55">
            <v>0.27</v>
          </cell>
          <cell r="BW55">
            <v>87.671232876712324</v>
          </cell>
          <cell r="BX55">
            <v>3.0644676715896768E-2</v>
          </cell>
          <cell r="BY55">
            <v>113.72266736823526</v>
          </cell>
          <cell r="BZ55">
            <v>0.33689989177895519</v>
          </cell>
          <cell r="CA55">
            <v>113.72266736823526</v>
          </cell>
          <cell r="CB55">
            <v>0.33689989177895519</v>
          </cell>
          <cell r="CD55">
            <v>0</v>
          </cell>
          <cell r="CE55">
            <v>268.59159999999997</v>
          </cell>
          <cell r="CF55">
            <v>85.064459999999997</v>
          </cell>
          <cell r="CG55">
            <v>126.35851929803918</v>
          </cell>
        </row>
        <row r="56">
          <cell r="B56">
            <v>887571</v>
          </cell>
          <cell r="C56" t="str">
            <v>TONER 670</v>
          </cell>
          <cell r="D56">
            <v>93.399574959083765</v>
          </cell>
          <cell r="E56">
            <v>0</v>
          </cell>
          <cell r="F56">
            <v>89.589166076343602</v>
          </cell>
          <cell r="G56">
            <v>0</v>
          </cell>
          <cell r="H56">
            <v>0</v>
          </cell>
          <cell r="I56">
            <v>93.399574959083765</v>
          </cell>
          <cell r="J56">
            <v>0</v>
          </cell>
          <cell r="K56">
            <v>0</v>
          </cell>
          <cell r="L56">
            <v>86.96537295410134</v>
          </cell>
          <cell r="M56">
            <v>96.072753702166963</v>
          </cell>
          <cell r="N56">
            <v>0</v>
          </cell>
          <cell r="O56">
            <v>102.15959611167817</v>
          </cell>
          <cell r="P56">
            <v>0</v>
          </cell>
          <cell r="Q56">
            <v>96.268284833984779</v>
          </cell>
          <cell r="R56">
            <v>102.15267613697506</v>
          </cell>
          <cell r="S56">
            <v>100.84503362519943</v>
          </cell>
          <cell r="T56">
            <v>0</v>
          </cell>
          <cell r="U56">
            <v>96.268284833984779</v>
          </cell>
          <cell r="V56">
            <v>96.268284833984779</v>
          </cell>
          <cell r="W56">
            <v>83.922864614445217</v>
          </cell>
          <cell r="X56">
            <v>87.234869837946462</v>
          </cell>
          <cell r="Y56">
            <v>87.234869837946462</v>
          </cell>
          <cell r="Z56">
            <v>98.228887177068643</v>
          </cell>
          <cell r="AA56">
            <v>0</v>
          </cell>
          <cell r="AB56">
            <v>95.545549611731985</v>
          </cell>
          <cell r="AC56">
            <v>0</v>
          </cell>
          <cell r="AD56">
            <v>0</v>
          </cell>
          <cell r="AE56">
            <v>0</v>
          </cell>
          <cell r="AF56">
            <v>88.594581314932654</v>
          </cell>
          <cell r="AG56">
            <v>0</v>
          </cell>
          <cell r="AH56">
            <v>0</v>
          </cell>
          <cell r="AI56">
            <v>0</v>
          </cell>
          <cell r="AJ56">
            <v>0</v>
          </cell>
          <cell r="AK56">
            <v>0</v>
          </cell>
          <cell r="AL56">
            <v>0</v>
          </cell>
          <cell r="AM56">
            <v>94.948097911823055</v>
          </cell>
          <cell r="AN56">
            <v>94.948097911823055</v>
          </cell>
          <cell r="AO56">
            <v>102.0675441178029</v>
          </cell>
          <cell r="AP56">
            <v>102.0675441178029</v>
          </cell>
          <cell r="AQ56">
            <v>102.0675441178029</v>
          </cell>
          <cell r="AR56">
            <v>95.488815345188613</v>
          </cell>
          <cell r="AS56">
            <v>117.62825036043121</v>
          </cell>
          <cell r="AT56">
            <v>117.62825036043121</v>
          </cell>
          <cell r="AU56">
            <v>117.62825036043121</v>
          </cell>
          <cell r="AV56">
            <v>117.62825036043121</v>
          </cell>
          <cell r="AW56">
            <v>0</v>
          </cell>
          <cell r="AX56">
            <v>0</v>
          </cell>
          <cell r="AY56">
            <v>117.62825036043121</v>
          </cell>
          <cell r="AZ56">
            <v>0</v>
          </cell>
          <cell r="BA56">
            <v>0</v>
          </cell>
          <cell r="BB56">
            <v>116.04519603081218</v>
          </cell>
          <cell r="BC56">
            <v>0</v>
          </cell>
          <cell r="BD56">
            <v>0</v>
          </cell>
          <cell r="BE56">
            <v>0</v>
          </cell>
          <cell r="BF56">
            <v>0</v>
          </cell>
          <cell r="BG56">
            <v>0</v>
          </cell>
          <cell r="BH56">
            <v>0</v>
          </cell>
          <cell r="BI56">
            <v>104.01834985428722</v>
          </cell>
          <cell r="BJ56">
            <v>103.02866668492182</v>
          </cell>
          <cell r="BK56">
            <v>0</v>
          </cell>
          <cell r="BL56">
            <v>103.02866668492182</v>
          </cell>
          <cell r="BM56">
            <v>117.62825036043121</v>
          </cell>
          <cell r="BN56">
            <v>83.922864614445217</v>
          </cell>
          <cell r="BO56">
            <v>90</v>
          </cell>
          <cell r="BP56">
            <v>100</v>
          </cell>
          <cell r="BQ56">
            <v>231.84659103777642</v>
          </cell>
          <cell r="BR56">
            <v>165.41290048405878</v>
          </cell>
          <cell r="BS56">
            <v>177.39100198687495</v>
          </cell>
          <cell r="BT56">
            <v>0.40543998835630535</v>
          </cell>
          <cell r="BU56">
            <v>0.40605781116341222</v>
          </cell>
          <cell r="BV56">
            <v>0.27</v>
          </cell>
          <cell r="BW56">
            <v>144.32876712328766</v>
          </cell>
          <cell r="BX56">
            <v>0.1434932917298799</v>
          </cell>
          <cell r="BY56">
            <v>177.39100198687495</v>
          </cell>
          <cell r="BZ56">
            <v>0.40543998835630535</v>
          </cell>
          <cell r="CA56">
            <v>177.39100198687495</v>
          </cell>
          <cell r="CB56">
            <v>0.40543998835630535</v>
          </cell>
          <cell r="CC56">
            <v>180</v>
          </cell>
          <cell r="CD56">
            <v>-1.4494433406250229E-2</v>
          </cell>
          <cell r="CE56">
            <v>274.82364000000001</v>
          </cell>
          <cell r="CF56">
            <v>126.2174148</v>
          </cell>
          <cell r="CG56">
            <v>197.10111331874995</v>
          </cell>
        </row>
        <row r="57">
          <cell r="B57">
            <v>887576</v>
          </cell>
          <cell r="C57" t="str">
            <v>DEVELOPER 670</v>
          </cell>
          <cell r="D57">
            <v>0</v>
          </cell>
          <cell r="E57">
            <v>0</v>
          </cell>
          <cell r="F57">
            <v>0</v>
          </cell>
          <cell r="G57">
            <v>0</v>
          </cell>
          <cell r="H57">
            <v>0</v>
          </cell>
          <cell r="I57">
            <v>70.178971137113351</v>
          </cell>
          <cell r="J57">
            <v>0</v>
          </cell>
          <cell r="K57">
            <v>0</v>
          </cell>
          <cell r="L57">
            <v>0</v>
          </cell>
          <cell r="M57">
            <v>0</v>
          </cell>
          <cell r="N57">
            <v>102.61100695192576</v>
          </cell>
          <cell r="O57">
            <v>110.40052564574673</v>
          </cell>
          <cell r="P57">
            <v>0</v>
          </cell>
          <cell r="Q57">
            <v>94.98176644863284</v>
          </cell>
          <cell r="R57">
            <v>94.617202625587652</v>
          </cell>
          <cell r="S57">
            <v>0</v>
          </cell>
          <cell r="T57">
            <v>0</v>
          </cell>
          <cell r="U57">
            <v>96.622303652336186</v>
          </cell>
          <cell r="V57">
            <v>0</v>
          </cell>
          <cell r="W57">
            <v>106.7947870862789</v>
          </cell>
          <cell r="X57">
            <v>101.98557064591006</v>
          </cell>
          <cell r="Y57">
            <v>101.98557064591006</v>
          </cell>
          <cell r="Z57">
            <v>0</v>
          </cell>
          <cell r="AA57">
            <v>114.81014782022696</v>
          </cell>
          <cell r="AB57">
            <v>110.80246745325293</v>
          </cell>
          <cell r="AC57">
            <v>0</v>
          </cell>
          <cell r="AD57">
            <v>110.80246745325293</v>
          </cell>
          <cell r="AE57">
            <v>0</v>
          </cell>
          <cell r="AF57">
            <v>0</v>
          </cell>
          <cell r="AG57">
            <v>0</v>
          </cell>
          <cell r="AH57">
            <v>0</v>
          </cell>
          <cell r="AI57">
            <v>0</v>
          </cell>
          <cell r="AJ57">
            <v>0</v>
          </cell>
          <cell r="AK57">
            <v>0</v>
          </cell>
          <cell r="AL57">
            <v>0</v>
          </cell>
          <cell r="AM57">
            <v>102.10780158920321</v>
          </cell>
          <cell r="AN57">
            <v>102.10780158920321</v>
          </cell>
          <cell r="AO57">
            <v>102.10780158920321</v>
          </cell>
          <cell r="AP57">
            <v>102.10780158920321</v>
          </cell>
          <cell r="AQ57">
            <v>102.10780158920321</v>
          </cell>
          <cell r="AR57">
            <v>91.01266316192303</v>
          </cell>
          <cell r="AS57">
            <v>88.794832751147013</v>
          </cell>
          <cell r="AT57">
            <v>0</v>
          </cell>
          <cell r="AU57">
            <v>88.794832751147013</v>
          </cell>
          <cell r="AV57">
            <v>88.794832751147013</v>
          </cell>
          <cell r="AW57">
            <v>0</v>
          </cell>
          <cell r="AX57">
            <v>0</v>
          </cell>
          <cell r="AY57">
            <v>0</v>
          </cell>
          <cell r="AZ57">
            <v>0</v>
          </cell>
          <cell r="BA57">
            <v>0</v>
          </cell>
          <cell r="BB57">
            <v>0</v>
          </cell>
          <cell r="BC57">
            <v>0</v>
          </cell>
          <cell r="BD57">
            <v>0</v>
          </cell>
          <cell r="BE57">
            <v>111.20254283712541</v>
          </cell>
          <cell r="BF57">
            <v>0</v>
          </cell>
          <cell r="BG57">
            <v>0</v>
          </cell>
          <cell r="BH57">
            <v>104.26850023532008</v>
          </cell>
          <cell r="BI57">
            <v>0</v>
          </cell>
          <cell r="BJ57">
            <v>0</v>
          </cell>
          <cell r="BK57">
            <v>0</v>
          </cell>
          <cell r="BL57">
            <v>0</v>
          </cell>
          <cell r="BM57">
            <v>114.81014782022696</v>
          </cell>
          <cell r="BN57">
            <v>70.178971137113351</v>
          </cell>
          <cell r="BO57">
            <v>90</v>
          </cell>
          <cell r="BP57">
            <v>100</v>
          </cell>
          <cell r="BQ57">
            <v>397.93307430268891</v>
          </cell>
          <cell r="BR57">
            <v>243.2409875451024</v>
          </cell>
          <cell r="BS57">
            <v>311.94086382782609</v>
          </cell>
          <cell r="BT57">
            <v>1.2769406118819422</v>
          </cell>
          <cell r="BU57">
            <v>0.5736371363214261</v>
          </cell>
          <cell r="BV57">
            <v>0.27</v>
          </cell>
          <cell r="BW57">
            <v>182.1917808219178</v>
          </cell>
          <cell r="BX57">
            <v>0.32986701329867008</v>
          </cell>
          <cell r="BY57">
            <v>311.94086382782609</v>
          </cell>
          <cell r="BZ57">
            <v>1.2769406118819422</v>
          </cell>
          <cell r="CA57">
            <v>311.94086382782609</v>
          </cell>
          <cell r="CB57">
            <v>1.2769406118819422</v>
          </cell>
          <cell r="CD57">
            <v>0</v>
          </cell>
          <cell r="CE57">
            <v>450.69600000000003</v>
          </cell>
          <cell r="CF57">
            <v>137</v>
          </cell>
          <cell r="CG57">
            <v>346.60095980869568</v>
          </cell>
        </row>
        <row r="58">
          <cell r="B58">
            <v>887610</v>
          </cell>
          <cell r="C58" t="str">
            <v>TONER 4418 BLACK</v>
          </cell>
          <cell r="D58">
            <v>0</v>
          </cell>
          <cell r="E58">
            <v>93.998607990193989</v>
          </cell>
          <cell r="F58">
            <v>94.070302115585207</v>
          </cell>
          <cell r="G58">
            <v>94.608008056019287</v>
          </cell>
          <cell r="H58">
            <v>0</v>
          </cell>
          <cell r="I58">
            <v>97.475773071667689</v>
          </cell>
          <cell r="J58">
            <v>101.54799939388842</v>
          </cell>
          <cell r="K58">
            <v>0</v>
          </cell>
          <cell r="L58">
            <v>0</v>
          </cell>
          <cell r="M58">
            <v>120.31727049186836</v>
          </cell>
          <cell r="N58">
            <v>120.34138122623742</v>
          </cell>
          <cell r="O58">
            <v>127.76748741190914</v>
          </cell>
          <cell r="P58">
            <v>95.861911395136872</v>
          </cell>
          <cell r="Q58">
            <v>92.125752389776963</v>
          </cell>
          <cell r="R58">
            <v>101.19632895472573</v>
          </cell>
          <cell r="S58">
            <v>100.62224183036189</v>
          </cell>
          <cell r="T58">
            <v>101.19632895472573</v>
          </cell>
          <cell r="U58">
            <v>94.077648612614041</v>
          </cell>
          <cell r="V58">
            <v>94.077648612614041</v>
          </cell>
          <cell r="W58">
            <v>109.54441800822212</v>
          </cell>
          <cell r="X58">
            <v>113.17954675617027</v>
          </cell>
          <cell r="Y58">
            <v>118.0263850867678</v>
          </cell>
          <cell r="Z58">
            <v>127.31615855374639</v>
          </cell>
          <cell r="AA58">
            <v>0</v>
          </cell>
          <cell r="AB58">
            <v>112.36366230385302</v>
          </cell>
          <cell r="AC58">
            <v>122.46932022314886</v>
          </cell>
          <cell r="AD58">
            <v>0</v>
          </cell>
          <cell r="AE58">
            <v>0</v>
          </cell>
          <cell r="AF58">
            <v>90.760506969837294</v>
          </cell>
          <cell r="AG58">
            <v>92.596396362261359</v>
          </cell>
          <cell r="AH58">
            <v>97.2881136984562</v>
          </cell>
          <cell r="AI58">
            <v>99.531978511418941</v>
          </cell>
          <cell r="AJ58">
            <v>93.208359493069381</v>
          </cell>
          <cell r="AK58">
            <v>91.576457810914661</v>
          </cell>
          <cell r="AL58">
            <v>91.168482390375971</v>
          </cell>
          <cell r="AM58">
            <v>93.369069044546322</v>
          </cell>
          <cell r="AN58">
            <v>93.369069044546322</v>
          </cell>
          <cell r="AO58">
            <v>94.508532457038982</v>
          </cell>
          <cell r="AP58">
            <v>100.3103003323141</v>
          </cell>
          <cell r="AQ58">
            <v>97.357190988270617</v>
          </cell>
          <cell r="AR58">
            <v>93.558979613295094</v>
          </cell>
          <cell r="AS58">
            <v>94.225950061809527</v>
          </cell>
          <cell r="AT58">
            <v>94.225950061809527</v>
          </cell>
          <cell r="AU58">
            <v>90.824795450546219</v>
          </cell>
          <cell r="AV58">
            <v>100.09000973640143</v>
          </cell>
          <cell r="AW58">
            <v>96.688855125138119</v>
          </cell>
          <cell r="AX58">
            <v>0</v>
          </cell>
          <cell r="AY58">
            <v>94.225950061809527</v>
          </cell>
          <cell r="AZ58">
            <v>92.271263503612218</v>
          </cell>
          <cell r="BA58">
            <v>94.225950061809527</v>
          </cell>
          <cell r="BB58">
            <v>94.225950061809527</v>
          </cell>
          <cell r="BC58">
            <v>0</v>
          </cell>
          <cell r="BD58">
            <v>0</v>
          </cell>
          <cell r="BE58">
            <v>0</v>
          </cell>
          <cell r="BF58">
            <v>94.112129185279684</v>
          </cell>
          <cell r="BG58">
            <v>94.112129185279684</v>
          </cell>
          <cell r="BH58">
            <v>94.112129185279684</v>
          </cell>
          <cell r="BI58">
            <v>102.60684412456705</v>
          </cell>
          <cell r="BJ58">
            <v>101.63223801963464</v>
          </cell>
          <cell r="BK58">
            <v>0</v>
          </cell>
          <cell r="BL58">
            <v>101.63223801963464</v>
          </cell>
          <cell r="BM58">
            <v>127.76748741190914</v>
          </cell>
          <cell r="BN58">
            <v>90.760506969837294</v>
          </cell>
          <cell r="BO58">
            <v>90</v>
          </cell>
          <cell r="BP58">
            <v>100</v>
          </cell>
          <cell r="BQ58">
            <v>208.36745075215254</v>
          </cell>
          <cell r="BR58">
            <v>148.0152411959792</v>
          </cell>
          <cell r="BS58">
            <v>146.7749812378776</v>
          </cell>
          <cell r="BT58">
            <v>0.31596862330412478</v>
          </cell>
          <cell r="BU58">
            <v>0.44649967375342625</v>
          </cell>
          <cell r="BV58">
            <v>0.27</v>
          </cell>
          <cell r="BW58">
            <v>111.2876712328767</v>
          </cell>
          <cell r="BX58">
            <v>-2.2067639327566502E-3</v>
          </cell>
          <cell r="BY58">
            <v>146.7749812378776</v>
          </cell>
          <cell r="BZ58">
            <v>0.31596862330412478</v>
          </cell>
          <cell r="CA58">
            <v>111.29</v>
          </cell>
          <cell r="CB58">
            <v>-2.1858844583435566E-3</v>
          </cell>
          <cell r="CC58">
            <v>130</v>
          </cell>
          <cell r="CD58">
            <v>0.12903831721444314</v>
          </cell>
          <cell r="CE58">
            <v>318.00528000000003</v>
          </cell>
          <cell r="CF58">
            <v>111.5338</v>
          </cell>
          <cell r="CG58">
            <v>163.08331248653067</v>
          </cell>
        </row>
        <row r="59">
          <cell r="B59">
            <v>887612</v>
          </cell>
          <cell r="C59" t="str">
            <v>TONER 310</v>
          </cell>
          <cell r="D59">
            <v>95.114807815539123</v>
          </cell>
          <cell r="E59">
            <v>95.204918859047098</v>
          </cell>
          <cell r="F59">
            <v>98.584082990595931</v>
          </cell>
          <cell r="G59">
            <v>94.641724837122283</v>
          </cell>
          <cell r="H59">
            <v>102.94883666051319</v>
          </cell>
          <cell r="I59">
            <v>0</v>
          </cell>
          <cell r="J59">
            <v>102.32932323639591</v>
          </cell>
          <cell r="K59">
            <v>0</v>
          </cell>
          <cell r="L59">
            <v>93.96180885415356</v>
          </cell>
          <cell r="M59">
            <v>102.4517602087773</v>
          </cell>
          <cell r="N59">
            <v>0</v>
          </cell>
          <cell r="O59">
            <v>103.82019073944448</v>
          </cell>
          <cell r="P59">
            <v>95.112103357845839</v>
          </cell>
          <cell r="Q59">
            <v>94.480738641925186</v>
          </cell>
          <cell r="R59">
            <v>101.83162783442992</v>
          </cell>
          <cell r="S59">
            <v>101.69633539530406</v>
          </cell>
          <cell r="T59">
            <v>101.83162783442992</v>
          </cell>
          <cell r="U59">
            <v>96.465027749104379</v>
          </cell>
          <cell r="V59">
            <v>96.465027749104379</v>
          </cell>
          <cell r="W59">
            <v>94.478956132845795</v>
          </cell>
          <cell r="X59">
            <v>95.58945928930703</v>
          </cell>
          <cell r="Y59">
            <v>95.58945928930703</v>
          </cell>
          <cell r="Z59">
            <v>99.872828607086035</v>
          </cell>
          <cell r="AA59">
            <v>0</v>
          </cell>
          <cell r="AB59">
            <v>99.000290412723643</v>
          </cell>
          <cell r="AC59">
            <v>99.000290412723643</v>
          </cell>
          <cell r="AD59">
            <v>0</v>
          </cell>
          <cell r="AE59">
            <v>0</v>
          </cell>
          <cell r="AF59">
            <v>105.14135098786647</v>
          </cell>
          <cell r="AG59">
            <v>128.85728229291354</v>
          </cell>
          <cell r="AH59">
            <v>138.79233459637919</v>
          </cell>
          <cell r="AI59">
            <v>143.59961796902385</v>
          </cell>
          <cell r="AJ59">
            <v>0</v>
          </cell>
          <cell r="AK59">
            <v>106.10280766239541</v>
          </cell>
          <cell r="AL59">
            <v>105.78232210421909</v>
          </cell>
          <cell r="AM59">
            <v>95.60920768768581</v>
          </cell>
          <cell r="AN59">
            <v>95.60920768768581</v>
          </cell>
          <cell r="AO59">
            <v>96.728091171193284</v>
          </cell>
          <cell r="AP59">
            <v>98.454901347406476</v>
          </cell>
          <cell r="AQ59">
            <v>97.101052332362443</v>
          </cell>
          <cell r="AR59">
            <v>96.914571751777856</v>
          </cell>
          <cell r="AS59">
            <v>95.893008195259</v>
          </cell>
          <cell r="AT59">
            <v>95.893008195259</v>
          </cell>
          <cell r="AU59">
            <v>95.125255064645827</v>
          </cell>
          <cell r="AV59">
            <v>95.893008195259</v>
          </cell>
          <cell r="AW59">
            <v>0</v>
          </cell>
          <cell r="AX59">
            <v>95.125255064645827</v>
          </cell>
          <cell r="AY59">
            <v>95.893008195259</v>
          </cell>
          <cell r="AZ59">
            <v>95.893008195259</v>
          </cell>
          <cell r="BA59">
            <v>95.893008195259</v>
          </cell>
          <cell r="BB59">
            <v>95.893008195259</v>
          </cell>
          <cell r="BC59">
            <v>0</v>
          </cell>
          <cell r="BD59">
            <v>95.175067886303012</v>
          </cell>
          <cell r="BE59">
            <v>96.528578269677482</v>
          </cell>
          <cell r="BF59">
            <v>95.647662293905825</v>
          </cell>
          <cell r="BG59">
            <v>0</v>
          </cell>
          <cell r="BH59">
            <v>95.647662293905825</v>
          </cell>
          <cell r="BI59">
            <v>96.97092663519372</v>
          </cell>
          <cell r="BJ59">
            <v>96.417991178298422</v>
          </cell>
          <cell r="BK59">
            <v>96.528578269677482</v>
          </cell>
          <cell r="BL59">
            <v>96.417991178298422</v>
          </cell>
          <cell r="BM59">
            <v>143.59961796902385</v>
          </cell>
          <cell r="BN59">
            <v>93.96180885415356</v>
          </cell>
          <cell r="BO59">
            <v>90</v>
          </cell>
          <cell r="BP59">
            <v>100</v>
          </cell>
          <cell r="BQ59">
            <v>143.68051553574679</v>
          </cell>
          <cell r="BR59">
            <v>94.014742711559961</v>
          </cell>
          <cell r="BS59">
            <v>90.050701952470604</v>
          </cell>
          <cell r="BT59">
            <v>0.57511154173393164</v>
          </cell>
          <cell r="BU59">
            <v>0.52837680241053575</v>
          </cell>
          <cell r="BV59">
            <v>0.27</v>
          </cell>
          <cell r="BW59">
            <v>58.178082191780824</v>
          </cell>
          <cell r="BX59">
            <v>1.7615262839216106E-2</v>
          </cell>
          <cell r="BY59">
            <v>90.050701952470604</v>
          </cell>
          <cell r="BZ59">
            <v>0.57511154173393164</v>
          </cell>
          <cell r="CA59">
            <v>90.050701952470604</v>
          </cell>
          <cell r="CB59">
            <v>0.57511154173393164</v>
          </cell>
          <cell r="CC59">
            <v>75</v>
          </cell>
          <cell r="CD59">
            <v>0.20067602603294143</v>
          </cell>
          <cell r="CE59">
            <v>409.71600000000001</v>
          </cell>
          <cell r="CF59">
            <v>57.170999999999999</v>
          </cell>
          <cell r="CG59">
            <v>100.05633550274513</v>
          </cell>
        </row>
        <row r="60">
          <cell r="B60">
            <v>887616</v>
          </cell>
          <cell r="C60" t="str">
            <v>TONER 510 BLACK</v>
          </cell>
          <cell r="D60">
            <v>0</v>
          </cell>
          <cell r="E60">
            <v>0</v>
          </cell>
          <cell r="F60">
            <v>97.601615618629481</v>
          </cell>
          <cell r="G60">
            <v>94.959504422407434</v>
          </cell>
          <cell r="H60">
            <v>129.14682202200783</v>
          </cell>
          <cell r="I60">
            <v>0</v>
          </cell>
          <cell r="J60">
            <v>0</v>
          </cell>
          <cell r="K60">
            <v>0</v>
          </cell>
          <cell r="L60">
            <v>86.061146131048773</v>
          </cell>
          <cell r="M60">
            <v>101.1932855659786</v>
          </cell>
          <cell r="N60">
            <v>0</v>
          </cell>
          <cell r="O60">
            <v>131.02675619569789</v>
          </cell>
          <cell r="P60">
            <v>92.732928462332069</v>
          </cell>
          <cell r="Q60">
            <v>89.399165397163017</v>
          </cell>
          <cell r="R60">
            <v>112.99195016605169</v>
          </cell>
          <cell r="S60">
            <v>115.04349666769419</v>
          </cell>
          <cell r="T60">
            <v>0</v>
          </cell>
          <cell r="U60">
            <v>95.810248214795806</v>
          </cell>
          <cell r="V60">
            <v>98.118238029143612</v>
          </cell>
          <cell r="W60">
            <v>85.258568826407299</v>
          </cell>
          <cell r="X60">
            <v>90.671245861373166</v>
          </cell>
          <cell r="Y60">
            <v>90.671245861373166</v>
          </cell>
          <cell r="Z60">
            <v>101.11771253885729</v>
          </cell>
          <cell r="AA60">
            <v>0</v>
          </cell>
          <cell r="AB60">
            <v>88.86702018305121</v>
          </cell>
          <cell r="AC60">
            <v>99.475867171584298</v>
          </cell>
          <cell r="AD60">
            <v>99.475867171584298</v>
          </cell>
          <cell r="AE60">
            <v>0</v>
          </cell>
          <cell r="AF60">
            <v>90.706786260161124</v>
          </cell>
          <cell r="AG60">
            <v>92.984806527146205</v>
          </cell>
          <cell r="AH60">
            <v>114.85380109020301</v>
          </cell>
          <cell r="AI60">
            <v>115.76500919699703</v>
          </cell>
          <cell r="AJ60">
            <v>108.01974028924775</v>
          </cell>
          <cell r="AK60">
            <v>91.617994366955159</v>
          </cell>
          <cell r="AL60">
            <v>90.706786260161124</v>
          </cell>
          <cell r="AM60">
            <v>94.553355886765161</v>
          </cell>
          <cell r="AN60">
            <v>94.553355886765161</v>
          </cell>
          <cell r="AO60">
            <v>109.20818512386137</v>
          </cell>
          <cell r="AP60">
            <v>109.20818512386137</v>
          </cell>
          <cell r="AQ60">
            <v>109.20818512386137</v>
          </cell>
          <cell r="AR60">
            <v>94.97751881692713</v>
          </cell>
          <cell r="AS60">
            <v>94.34637449693264</v>
          </cell>
          <cell r="AT60">
            <v>94.34637449693264</v>
          </cell>
          <cell r="AU60">
            <v>94.34637449693264</v>
          </cell>
          <cell r="AV60">
            <v>100.89502724071417</v>
          </cell>
          <cell r="AW60">
            <v>100.89502724071417</v>
          </cell>
          <cell r="AX60">
            <v>94.34637449693264</v>
          </cell>
          <cell r="AY60">
            <v>94.34637449693264</v>
          </cell>
          <cell r="AZ60">
            <v>94.34637449693264</v>
          </cell>
          <cell r="BA60">
            <v>94.34637449693264</v>
          </cell>
          <cell r="BB60">
            <v>94.34637449693264</v>
          </cell>
          <cell r="BC60">
            <v>0</v>
          </cell>
          <cell r="BD60">
            <v>0</v>
          </cell>
          <cell r="BE60">
            <v>106.29282294465521</v>
          </cell>
          <cell r="BF60">
            <v>99.466899686056365</v>
          </cell>
          <cell r="BG60">
            <v>0</v>
          </cell>
          <cell r="BH60">
            <v>95.167105507411435</v>
          </cell>
          <cell r="BI60">
            <v>107.64725811092835</v>
          </cell>
          <cell r="BJ60">
            <v>106.29282294465521</v>
          </cell>
          <cell r="BK60">
            <v>106.29282294465521</v>
          </cell>
          <cell r="BL60">
            <v>106.29282294465521</v>
          </cell>
          <cell r="BM60">
            <v>131.02675619569789</v>
          </cell>
          <cell r="BN60">
            <v>85.258568826407299</v>
          </cell>
          <cell r="BO60">
            <v>90</v>
          </cell>
          <cell r="BP60">
            <v>100</v>
          </cell>
          <cell r="BQ60">
            <v>189.97722661368621</v>
          </cell>
          <cell r="BR60">
            <v>123.61739633164144</v>
          </cell>
          <cell r="BS60">
            <v>130.49205285746936</v>
          </cell>
          <cell r="BT60">
            <v>0.20639385951089495</v>
          </cell>
          <cell r="BU60">
            <v>0.37743335152574531</v>
          </cell>
          <cell r="BV60">
            <v>0.27</v>
          </cell>
          <cell r="BW60">
            <v>111.2876712328767</v>
          </cell>
          <cell r="BX60">
            <v>2.885011213098454E-2</v>
          </cell>
          <cell r="BY60">
            <v>130.49205285746936</v>
          </cell>
          <cell r="BZ60">
            <v>0.20639385951089495</v>
          </cell>
          <cell r="CA60">
            <v>130.49205285746936</v>
          </cell>
          <cell r="CB60">
            <v>0.20639385951089495</v>
          </cell>
          <cell r="CC60">
            <v>140</v>
          </cell>
          <cell r="CD60">
            <v>-6.7913908160933123E-2</v>
          </cell>
          <cell r="CE60">
            <v>222.49607999999998</v>
          </cell>
          <cell r="CF60">
            <v>108.16704000000001</v>
          </cell>
          <cell r="CG60">
            <v>144.99116984163263</v>
          </cell>
        </row>
        <row r="61">
          <cell r="B61">
            <v>887620</v>
          </cell>
          <cell r="C61" t="str">
            <v>TONER 3000</v>
          </cell>
          <cell r="D61">
            <v>94.751390400520762</v>
          </cell>
          <cell r="E61">
            <v>0</v>
          </cell>
          <cell r="F61">
            <v>95.300053879469189</v>
          </cell>
          <cell r="G61">
            <v>0</v>
          </cell>
          <cell r="H61">
            <v>0</v>
          </cell>
          <cell r="I61">
            <v>104.62733302159235</v>
          </cell>
          <cell r="J61">
            <v>0</v>
          </cell>
          <cell r="K61">
            <v>0</v>
          </cell>
          <cell r="L61">
            <v>88.362752851645354</v>
          </cell>
          <cell r="M61">
            <v>92.698867758948666</v>
          </cell>
          <cell r="N61">
            <v>0</v>
          </cell>
          <cell r="O61">
            <v>96.665951610311282</v>
          </cell>
          <cell r="P61">
            <v>87.278433525207888</v>
          </cell>
          <cell r="Q61">
            <v>87.045583570359099</v>
          </cell>
          <cell r="R61">
            <v>0</v>
          </cell>
          <cell r="S61">
            <v>128.60710381318148</v>
          </cell>
          <cell r="T61">
            <v>0</v>
          </cell>
          <cell r="U61">
            <v>92.14192220478553</v>
          </cell>
          <cell r="V61">
            <v>92.14192220478553</v>
          </cell>
          <cell r="W61">
            <v>90.330731937746279</v>
          </cell>
          <cell r="X61">
            <v>0</v>
          </cell>
          <cell r="Y61">
            <v>92.494435746692488</v>
          </cell>
          <cell r="Z61">
            <v>0</v>
          </cell>
          <cell r="AA61">
            <v>0</v>
          </cell>
          <cell r="AB61">
            <v>0</v>
          </cell>
          <cell r="AC61">
            <v>0</v>
          </cell>
          <cell r="AD61">
            <v>0</v>
          </cell>
          <cell r="AE61">
            <v>0</v>
          </cell>
          <cell r="AF61">
            <v>94.320415237806785</v>
          </cell>
          <cell r="AG61">
            <v>104.0381678904573</v>
          </cell>
          <cell r="AH61">
            <v>0</v>
          </cell>
          <cell r="AI61">
            <v>0</v>
          </cell>
          <cell r="AJ61">
            <v>97.286476288414974</v>
          </cell>
          <cell r="AK61">
            <v>0</v>
          </cell>
          <cell r="AL61">
            <v>95.257066095893578</v>
          </cell>
          <cell r="AM61">
            <v>101.17406977494754</v>
          </cell>
          <cell r="AN61">
            <v>101.17406977494754</v>
          </cell>
          <cell r="AO61">
            <v>101.17406977494754</v>
          </cell>
          <cell r="AP61">
            <v>101.17406977494754</v>
          </cell>
          <cell r="AQ61">
            <v>101.17406977494754</v>
          </cell>
          <cell r="AR61">
            <v>101.17406977494754</v>
          </cell>
          <cell r="AS61">
            <v>115.88443170485559</v>
          </cell>
          <cell r="AT61">
            <v>0</v>
          </cell>
          <cell r="AU61">
            <v>115.88443170485559</v>
          </cell>
          <cell r="AV61">
            <v>115.88443170485559</v>
          </cell>
          <cell r="AW61">
            <v>0</v>
          </cell>
          <cell r="AX61">
            <v>0</v>
          </cell>
          <cell r="AY61">
            <v>115.88443170485559</v>
          </cell>
          <cell r="AZ61">
            <v>0</v>
          </cell>
          <cell r="BA61">
            <v>0</v>
          </cell>
          <cell r="BB61">
            <v>0</v>
          </cell>
          <cell r="BC61">
            <v>0</v>
          </cell>
          <cell r="BD61">
            <v>0</v>
          </cell>
          <cell r="BE61">
            <v>0</v>
          </cell>
          <cell r="BF61">
            <v>0</v>
          </cell>
          <cell r="BG61">
            <v>0</v>
          </cell>
          <cell r="BH61">
            <v>96.607379040616138</v>
          </cell>
          <cell r="BI61">
            <v>0</v>
          </cell>
          <cell r="BJ61">
            <v>0</v>
          </cell>
          <cell r="BK61">
            <v>0</v>
          </cell>
          <cell r="BL61">
            <v>99.461867452457994</v>
          </cell>
          <cell r="BM61">
            <v>128.60710381318148</v>
          </cell>
          <cell r="BN61">
            <v>87.045583570359099</v>
          </cell>
          <cell r="BO61">
            <v>90</v>
          </cell>
          <cell r="BP61">
            <v>100</v>
          </cell>
          <cell r="BQ61">
            <v>158.35694330279151</v>
          </cell>
          <cell r="BR61">
            <v>107.18126863530962</v>
          </cell>
          <cell r="BS61">
            <v>110.81911087862065</v>
          </cell>
          <cell r="BT61">
            <v>0.45986295619035777</v>
          </cell>
          <cell r="BU61">
            <v>0.45334338527266449</v>
          </cell>
          <cell r="BV61">
            <v>0.27</v>
          </cell>
          <cell r="BW61">
            <v>82.986301369863014</v>
          </cell>
          <cell r="BX61">
            <v>9.3210604927207452E-2</v>
          </cell>
          <cell r="BY61">
            <v>110.81911087862065</v>
          </cell>
          <cell r="BZ61">
            <v>0.45986295619035777</v>
          </cell>
          <cell r="CA61">
            <v>110.81911087862065</v>
          </cell>
          <cell r="CB61">
            <v>0.45986295619035777</v>
          </cell>
          <cell r="CC61">
            <v>95</v>
          </cell>
          <cell r="CD61">
            <v>0.16651695661705945</v>
          </cell>
          <cell r="CE61">
            <v>227.41158000000001</v>
          </cell>
          <cell r="CF61">
            <v>75.910626000000008</v>
          </cell>
          <cell r="CG61">
            <v>123.13234542068962</v>
          </cell>
        </row>
        <row r="62">
          <cell r="B62">
            <v>887621</v>
          </cell>
          <cell r="C62" t="str">
            <v>TONER 4000</v>
          </cell>
          <cell r="D62">
            <v>87.604165803909936</v>
          </cell>
          <cell r="E62">
            <v>0</v>
          </cell>
          <cell r="F62">
            <v>0</v>
          </cell>
          <cell r="G62">
            <v>0</v>
          </cell>
          <cell r="H62">
            <v>0</v>
          </cell>
          <cell r="I62">
            <v>110.16915443698392</v>
          </cell>
          <cell r="J62">
            <v>0</v>
          </cell>
          <cell r="K62">
            <v>0</v>
          </cell>
          <cell r="L62">
            <v>91.504802063634429</v>
          </cell>
          <cell r="M62">
            <v>99.065912792831043</v>
          </cell>
          <cell r="N62">
            <v>0</v>
          </cell>
          <cell r="O62">
            <v>107.17692248415104</v>
          </cell>
          <cell r="P62">
            <v>87.316727909755116</v>
          </cell>
          <cell r="Q62">
            <v>84.698060978886886</v>
          </cell>
          <cell r="R62">
            <v>125.9420651400616</v>
          </cell>
          <cell r="S62">
            <v>0</v>
          </cell>
          <cell r="T62">
            <v>0</v>
          </cell>
          <cell r="U62">
            <v>93.863395236925712</v>
          </cell>
          <cell r="V62">
            <v>93.863395236925712</v>
          </cell>
          <cell r="W62">
            <v>89.90175583854699</v>
          </cell>
          <cell r="X62">
            <v>0</v>
          </cell>
          <cell r="Y62">
            <v>0</v>
          </cell>
          <cell r="Z62">
            <v>0</v>
          </cell>
          <cell r="AA62">
            <v>0</v>
          </cell>
          <cell r="AB62">
            <v>0</v>
          </cell>
          <cell r="AC62">
            <v>0</v>
          </cell>
          <cell r="AD62">
            <v>0</v>
          </cell>
          <cell r="AE62">
            <v>0</v>
          </cell>
          <cell r="AF62">
            <v>93.613524778556751</v>
          </cell>
          <cell r="AG62">
            <v>0</v>
          </cell>
          <cell r="AH62">
            <v>98.265918540024401</v>
          </cell>
          <cell r="AI62">
            <v>0</v>
          </cell>
          <cell r="AJ62">
            <v>0</v>
          </cell>
          <cell r="AK62">
            <v>96.061614375841032</v>
          </cell>
          <cell r="AL62">
            <v>96.061614375841032</v>
          </cell>
          <cell r="AM62">
            <v>99.284047148074464</v>
          </cell>
          <cell r="AN62">
            <v>99.284047148074464</v>
          </cell>
          <cell r="AO62">
            <v>99.284047148074464</v>
          </cell>
          <cell r="AP62">
            <v>99.284047148074464</v>
          </cell>
          <cell r="AQ62">
            <v>99.284047148074464</v>
          </cell>
          <cell r="AR62">
            <v>99.284047148074464</v>
          </cell>
          <cell r="AS62">
            <v>111.63485673306882</v>
          </cell>
          <cell r="AT62">
            <v>0</v>
          </cell>
          <cell r="AU62">
            <v>111.63485673306882</v>
          </cell>
          <cell r="AV62">
            <v>122.78010114138925</v>
          </cell>
          <cell r="AW62">
            <v>0</v>
          </cell>
          <cell r="AX62">
            <v>0</v>
          </cell>
          <cell r="AY62">
            <v>0</v>
          </cell>
          <cell r="AZ62">
            <v>0</v>
          </cell>
          <cell r="BA62">
            <v>0</v>
          </cell>
          <cell r="BB62">
            <v>0</v>
          </cell>
          <cell r="BC62">
            <v>0</v>
          </cell>
          <cell r="BD62">
            <v>0</v>
          </cell>
          <cell r="BE62">
            <v>0</v>
          </cell>
          <cell r="BF62">
            <v>0</v>
          </cell>
          <cell r="BG62">
            <v>0</v>
          </cell>
          <cell r="BH62">
            <v>101.01959523168695</v>
          </cell>
          <cell r="BI62">
            <v>0</v>
          </cell>
          <cell r="BJ62">
            <v>0</v>
          </cell>
          <cell r="BK62">
            <v>0</v>
          </cell>
          <cell r="BL62">
            <v>102.11727727946335</v>
          </cell>
          <cell r="BM62">
            <v>125.9420651400616</v>
          </cell>
          <cell r="BN62">
            <v>84.698060978886886</v>
          </cell>
          <cell r="BO62">
            <v>90</v>
          </cell>
          <cell r="BP62">
            <v>100</v>
          </cell>
          <cell r="BQ62">
            <v>170.17736070390001</v>
          </cell>
          <cell r="BR62">
            <v>114.44700750377025</v>
          </cell>
          <cell r="BS62">
            <v>121.61117452153849</v>
          </cell>
          <cell r="BT62">
            <v>0.2448568594424565</v>
          </cell>
          <cell r="BU62">
            <v>0.35392450316245816</v>
          </cell>
          <cell r="BV62">
            <v>0.27</v>
          </cell>
          <cell r="BW62">
            <v>107.63013698630137</v>
          </cell>
          <cell r="BX62">
            <v>0.10174179993959886</v>
          </cell>
          <cell r="BY62">
            <v>121.61117452153849</v>
          </cell>
          <cell r="BZ62">
            <v>0.2448568594424565</v>
          </cell>
          <cell r="CA62">
            <v>121.61117452153849</v>
          </cell>
          <cell r="CB62">
            <v>0.2448568594424565</v>
          </cell>
          <cell r="CC62">
            <v>120</v>
          </cell>
          <cell r="CD62">
            <v>1.3426454346153971E-2</v>
          </cell>
          <cell r="CE62">
            <v>198.58476000000002</v>
          </cell>
          <cell r="CF62">
            <v>97.69089000000001</v>
          </cell>
          <cell r="CG62">
            <v>135.12352724615388</v>
          </cell>
        </row>
        <row r="63">
          <cell r="B63">
            <v>887622</v>
          </cell>
          <cell r="C63" t="str">
            <v>TONER 5000</v>
          </cell>
          <cell r="D63">
            <v>91.910292152205827</v>
          </cell>
          <cell r="E63">
            <v>98.758670637841931</v>
          </cell>
          <cell r="F63">
            <v>94.76378318788754</v>
          </cell>
          <cell r="G63">
            <v>0</v>
          </cell>
          <cell r="H63">
            <v>0</v>
          </cell>
          <cell r="I63">
            <v>100.47076525925097</v>
          </cell>
          <cell r="J63">
            <v>0</v>
          </cell>
          <cell r="K63">
            <v>0</v>
          </cell>
          <cell r="L63">
            <v>90.950618729267731</v>
          </cell>
          <cell r="M63">
            <v>92.571325544440654</v>
          </cell>
          <cell r="N63">
            <v>0</v>
          </cell>
          <cell r="O63">
            <v>95.898039533479832</v>
          </cell>
          <cell r="P63">
            <v>90.703622181220652</v>
          </cell>
          <cell r="Q63">
            <v>89.921672233170625</v>
          </cell>
          <cell r="R63">
            <v>103.25341108771701</v>
          </cell>
          <cell r="S63">
            <v>102.44099555727543</v>
          </cell>
          <cell r="T63">
            <v>88.629931539768506</v>
          </cell>
          <cell r="U63">
            <v>92.895113074586817</v>
          </cell>
          <cell r="V63">
            <v>92.895113074586817</v>
          </cell>
          <cell r="W63">
            <v>91.541943491471869</v>
          </cell>
          <cell r="X63">
            <v>93.685371817834536</v>
          </cell>
          <cell r="Y63">
            <v>93.685371817834536</v>
          </cell>
          <cell r="Z63">
            <v>101.07305478269791</v>
          </cell>
          <cell r="AA63">
            <v>0</v>
          </cell>
          <cell r="AB63">
            <v>96.543276252984782</v>
          </cell>
          <cell r="AC63">
            <v>0</v>
          </cell>
          <cell r="AD63">
            <v>0</v>
          </cell>
          <cell r="AE63">
            <v>0</v>
          </cell>
          <cell r="AF63">
            <v>90.557610579468886</v>
          </cell>
          <cell r="AG63">
            <v>92.241529619021875</v>
          </cell>
          <cell r="AH63">
            <v>0</v>
          </cell>
          <cell r="AI63">
            <v>98.977205777233877</v>
          </cell>
          <cell r="AJ63">
            <v>98.23628139983056</v>
          </cell>
          <cell r="AK63">
            <v>92.722649344608456</v>
          </cell>
          <cell r="AL63">
            <v>92.722649344608456</v>
          </cell>
          <cell r="AM63">
            <v>104.8402505575814</v>
          </cell>
          <cell r="AN63">
            <v>104.8402505575814</v>
          </cell>
          <cell r="AO63">
            <v>115.1703541769517</v>
          </cell>
          <cell r="AP63">
            <v>115.1703541769517</v>
          </cell>
          <cell r="AQ63">
            <v>115.1703541769517</v>
          </cell>
          <cell r="AR63">
            <v>105.34415805120922</v>
          </cell>
          <cell r="AS63">
            <v>94.001263167586757</v>
          </cell>
          <cell r="AT63">
            <v>0</v>
          </cell>
          <cell r="AU63">
            <v>94.001263167586757</v>
          </cell>
          <cell r="AV63">
            <v>94.001263167586757</v>
          </cell>
          <cell r="AW63">
            <v>0</v>
          </cell>
          <cell r="AX63">
            <v>109.76838387608936</v>
          </cell>
          <cell r="AY63">
            <v>0</v>
          </cell>
          <cell r="AZ63">
            <v>109.76838387608936</v>
          </cell>
          <cell r="BA63">
            <v>0</v>
          </cell>
          <cell r="BB63">
            <v>0</v>
          </cell>
          <cell r="BC63">
            <v>0</v>
          </cell>
          <cell r="BD63">
            <v>0</v>
          </cell>
          <cell r="BE63">
            <v>0</v>
          </cell>
          <cell r="BF63">
            <v>0</v>
          </cell>
          <cell r="BG63">
            <v>0</v>
          </cell>
          <cell r="BH63">
            <v>0</v>
          </cell>
          <cell r="BI63">
            <v>124.02898852004128</v>
          </cell>
          <cell r="BJ63">
            <v>122.92221725374833</v>
          </cell>
          <cell r="BK63">
            <v>0</v>
          </cell>
          <cell r="BL63">
            <v>122.92221725374833</v>
          </cell>
          <cell r="BM63">
            <v>124.02898852004128</v>
          </cell>
          <cell r="BN63">
            <v>88.629931539768506</v>
          </cell>
          <cell r="BO63">
            <v>90</v>
          </cell>
          <cell r="BP63">
            <v>100</v>
          </cell>
          <cell r="BQ63">
            <v>173.97891946313783</v>
          </cell>
          <cell r="BR63">
            <v>124.32367550017712</v>
          </cell>
          <cell r="BS63">
            <v>126.24550871953845</v>
          </cell>
          <cell r="BT63">
            <v>0.45981541633264245</v>
          </cell>
          <cell r="BU63">
            <v>0.41352369085474505</v>
          </cell>
          <cell r="BV63">
            <v>0.27</v>
          </cell>
          <cell r="BW63">
            <v>101.42465753424659</v>
          </cell>
          <cell r="BX63">
            <v>0.17280432521111222</v>
          </cell>
          <cell r="BY63">
            <v>126.24550871953845</v>
          </cell>
          <cell r="BZ63">
            <v>0.45981541633264245</v>
          </cell>
          <cell r="CA63">
            <v>101.42</v>
          </cell>
          <cell r="CB63">
            <v>0.17275046871859834</v>
          </cell>
          <cell r="CC63">
            <v>107</v>
          </cell>
          <cell r="CD63">
            <v>0.17986456747232205</v>
          </cell>
          <cell r="CE63">
            <v>253.95505979999999</v>
          </cell>
          <cell r="CF63">
            <v>86.480460000000008</v>
          </cell>
          <cell r="CG63">
            <v>140.27278746615383</v>
          </cell>
        </row>
        <row r="64">
          <cell r="B64">
            <v>887637</v>
          </cell>
          <cell r="C64" t="str">
            <v>DEVELOPER TYPE 2 (AFICIO400)</v>
          </cell>
          <cell r="D64">
            <v>0</v>
          </cell>
          <cell r="E64">
            <v>93.557119906604768</v>
          </cell>
          <cell r="F64">
            <v>99.660366674936469</v>
          </cell>
          <cell r="G64">
            <v>0</v>
          </cell>
          <cell r="H64">
            <v>0</v>
          </cell>
          <cell r="I64">
            <v>105.76361344326816</v>
          </cell>
          <cell r="J64">
            <v>109.42556150426716</v>
          </cell>
          <cell r="K64">
            <v>0</v>
          </cell>
          <cell r="L64">
            <v>0</v>
          </cell>
          <cell r="M64">
            <v>108.46967493298962</v>
          </cell>
          <cell r="N64">
            <v>108.46967493298962</v>
          </cell>
          <cell r="O64">
            <v>118.03045430894538</v>
          </cell>
          <cell r="P64">
            <v>0</v>
          </cell>
          <cell r="Q64">
            <v>88.242495309891297</v>
          </cell>
          <cell r="R64">
            <v>106.23559444745106</v>
          </cell>
          <cell r="S64">
            <v>0</v>
          </cell>
          <cell r="T64">
            <v>108.88411137657785</v>
          </cell>
          <cell r="U64">
            <v>88.242495309891297</v>
          </cell>
          <cell r="V64">
            <v>0</v>
          </cell>
          <cell r="W64">
            <v>96.065880989906461</v>
          </cell>
          <cell r="X64">
            <v>96.269965844185492</v>
          </cell>
          <cell r="Y64">
            <v>96.012641462703229</v>
          </cell>
          <cell r="Z64">
            <v>100.92842447446777</v>
          </cell>
          <cell r="AA64">
            <v>100.92842447446777</v>
          </cell>
          <cell r="AB64">
            <v>97.417573430566151</v>
          </cell>
          <cell r="AC64">
            <v>97.417573430566151</v>
          </cell>
          <cell r="AD64">
            <v>97.417573430566151</v>
          </cell>
          <cell r="AE64">
            <v>97.713348581695172</v>
          </cell>
          <cell r="AF64">
            <v>0</v>
          </cell>
          <cell r="AG64">
            <v>0</v>
          </cell>
          <cell r="AH64">
            <v>115.68598328346073</v>
          </cell>
          <cell r="AI64">
            <v>0</v>
          </cell>
          <cell r="AJ64">
            <v>122.2138283356236</v>
          </cell>
          <cell r="AK64">
            <v>0</v>
          </cell>
          <cell r="AL64">
            <v>0</v>
          </cell>
          <cell r="AM64">
            <v>100.7068306783608</v>
          </cell>
          <cell r="AN64">
            <v>100.7068306783608</v>
          </cell>
          <cell r="AO64">
            <v>107.97323946590589</v>
          </cell>
          <cell r="AP64">
            <v>107.97323946590589</v>
          </cell>
          <cell r="AQ64">
            <v>107.97323946590589</v>
          </cell>
          <cell r="AR64">
            <v>105.57428154083119</v>
          </cell>
          <cell r="AS64">
            <v>93.398802997960431</v>
          </cell>
          <cell r="AT64">
            <v>93.398802997960431</v>
          </cell>
          <cell r="AU64">
            <v>93.398802997960431</v>
          </cell>
          <cell r="AV64">
            <v>93.398802997960431</v>
          </cell>
          <cell r="AW64">
            <v>0</v>
          </cell>
          <cell r="AX64">
            <v>0</v>
          </cell>
          <cell r="AY64">
            <v>0</v>
          </cell>
          <cell r="AZ64">
            <v>71.068936735815043</v>
          </cell>
          <cell r="BA64">
            <v>93.398802997960431</v>
          </cell>
          <cell r="BB64">
            <v>71.068936735815043</v>
          </cell>
          <cell r="BC64">
            <v>0</v>
          </cell>
          <cell r="BD64">
            <v>0</v>
          </cell>
          <cell r="BE64">
            <v>103.44809653545876</v>
          </cell>
          <cell r="BF64">
            <v>0</v>
          </cell>
          <cell r="BG64">
            <v>0</v>
          </cell>
          <cell r="BH64">
            <v>95.659113269320017</v>
          </cell>
          <cell r="BI64">
            <v>101.6506388586575</v>
          </cell>
          <cell r="BJ64">
            <v>101.6506388586575</v>
          </cell>
          <cell r="BK64">
            <v>102.84894397652502</v>
          </cell>
          <cell r="BL64">
            <v>101.6506388586575</v>
          </cell>
          <cell r="BM64">
            <v>122.2138283356236</v>
          </cell>
          <cell r="BN64">
            <v>71.068936735815043</v>
          </cell>
          <cell r="BO64">
            <v>90</v>
          </cell>
          <cell r="BP64">
            <v>100</v>
          </cell>
          <cell r="BQ64">
            <v>1029.2546286161457</v>
          </cell>
          <cell r="BR64">
            <v>598.52500394052424</v>
          </cell>
          <cell r="BS64">
            <v>757.95773552780474</v>
          </cell>
          <cell r="BT64">
            <v>0.88861582437296627</v>
          </cell>
          <cell r="BU64">
            <v>0.33919798357724318</v>
          </cell>
          <cell r="BV64">
            <v>0.27</v>
          </cell>
          <cell r="BW64">
            <v>686.10958904109589</v>
          </cell>
          <cell r="BX64">
            <v>0.70959060958025111</v>
          </cell>
          <cell r="BY64">
            <v>757.95773552780474</v>
          </cell>
          <cell r="BZ64">
            <v>0.88861582437296627</v>
          </cell>
          <cell r="CA64">
            <v>757.95773552780474</v>
          </cell>
          <cell r="CB64">
            <v>0.88861582437296627</v>
          </cell>
          <cell r="CD64">
            <v>0</v>
          </cell>
          <cell r="CE64">
            <v>1180.6649399999999</v>
          </cell>
          <cell r="CF64">
            <v>401.32976000000002</v>
          </cell>
          <cell r="CG64">
            <v>842.17526169756081</v>
          </cell>
        </row>
        <row r="65">
          <cell r="B65">
            <v>887642</v>
          </cell>
          <cell r="C65" t="str">
            <v>TONER 610</v>
          </cell>
          <cell r="D65">
            <v>102.7680121980526</v>
          </cell>
          <cell r="E65">
            <v>90.290310127028434</v>
          </cell>
          <cell r="F65">
            <v>94.014522224757584</v>
          </cell>
          <cell r="G65">
            <v>0</v>
          </cell>
          <cell r="H65">
            <v>109.00686323356469</v>
          </cell>
          <cell r="I65">
            <v>102.7680121980526</v>
          </cell>
          <cell r="J65">
            <v>0</v>
          </cell>
          <cell r="K65">
            <v>0</v>
          </cell>
          <cell r="L65">
            <v>87.480280691237581</v>
          </cell>
          <cell r="M65">
            <v>107.41247392204336</v>
          </cell>
          <cell r="N65">
            <v>0</v>
          </cell>
          <cell r="O65">
            <v>117.47491303963596</v>
          </cell>
          <cell r="P65">
            <v>86.966201950578238</v>
          </cell>
          <cell r="Q65">
            <v>86.972319169483256</v>
          </cell>
          <cell r="R65">
            <v>113.48026775789332</v>
          </cell>
          <cell r="S65">
            <v>110.72751925063535</v>
          </cell>
          <cell r="T65">
            <v>113.48026775789332</v>
          </cell>
          <cell r="U65">
            <v>96.148147527009812</v>
          </cell>
          <cell r="V65">
            <v>96.148147527009812</v>
          </cell>
          <cell r="W65">
            <v>84.242540456532666</v>
          </cell>
          <cell r="X65">
            <v>83.905408352715938</v>
          </cell>
          <cell r="Y65">
            <v>84.364481855785527</v>
          </cell>
          <cell r="Z65">
            <v>88.582219665237261</v>
          </cell>
          <cell r="AA65">
            <v>88.582219665237261</v>
          </cell>
          <cell r="AB65">
            <v>98.480992075174996</v>
          </cell>
          <cell r="AC65">
            <v>85.569549801343157</v>
          </cell>
          <cell r="AD65">
            <v>85.569549801343157</v>
          </cell>
          <cell r="AE65">
            <v>0</v>
          </cell>
          <cell r="AF65">
            <v>93.813908150005972</v>
          </cell>
          <cell r="AG65">
            <v>101.05925137808383</v>
          </cell>
          <cell r="AH65">
            <v>119.17260944827849</v>
          </cell>
          <cell r="AI65">
            <v>125.33115119214469</v>
          </cell>
          <cell r="AJ65">
            <v>112.83293412371037</v>
          </cell>
          <cell r="AK65">
            <v>101.05925137808383</v>
          </cell>
          <cell r="AL65">
            <v>95.625243957025447</v>
          </cell>
          <cell r="AM65">
            <v>95.859955262538477</v>
          </cell>
          <cell r="AN65">
            <v>95.859955262538477</v>
          </cell>
          <cell r="AO65">
            <v>95.185420874458146</v>
          </cell>
          <cell r="AP65">
            <v>95.640731586412372</v>
          </cell>
          <cell r="AQ65">
            <v>100.24442878506059</v>
          </cell>
          <cell r="AR65">
            <v>95.859955262538477</v>
          </cell>
          <cell r="AS65">
            <v>104.60002215684536</v>
          </cell>
          <cell r="AT65">
            <v>104.60002215684536</v>
          </cell>
          <cell r="AU65">
            <v>92.103056041705415</v>
          </cell>
          <cell r="AV65">
            <v>104.60002215684536</v>
          </cell>
          <cell r="AW65">
            <v>0</v>
          </cell>
          <cell r="AX65">
            <v>104.60002215684536</v>
          </cell>
          <cell r="AY65">
            <v>114.14631571702171</v>
          </cell>
          <cell r="AZ65">
            <v>104.60002215684536</v>
          </cell>
          <cell r="BA65">
            <v>0</v>
          </cell>
          <cell r="BB65">
            <v>104.60002215684536</v>
          </cell>
          <cell r="BC65">
            <v>0</v>
          </cell>
          <cell r="BD65">
            <v>0</v>
          </cell>
          <cell r="BE65">
            <v>106.02278360482002</v>
          </cell>
          <cell r="BF65">
            <v>0</v>
          </cell>
          <cell r="BG65">
            <v>0</v>
          </cell>
          <cell r="BH65">
            <v>96.791697107054489</v>
          </cell>
          <cell r="BI65">
            <v>105.33899941980036</v>
          </cell>
          <cell r="BJ65">
            <v>105.33899941980036</v>
          </cell>
          <cell r="BK65">
            <v>105.33899941980036</v>
          </cell>
          <cell r="BL65">
            <v>105.33899941980036</v>
          </cell>
          <cell r="BM65">
            <v>125.33115119214469</v>
          </cell>
          <cell r="BN65">
            <v>83.905408352715938</v>
          </cell>
          <cell r="BO65">
            <v>90</v>
          </cell>
          <cell r="BP65">
            <v>100</v>
          </cell>
          <cell r="BQ65">
            <v>469.50052268397872</v>
          </cell>
          <cell r="BR65">
            <v>314.31637468340637</v>
          </cell>
          <cell r="BS65">
            <v>337.14720274752</v>
          </cell>
          <cell r="BT65">
            <v>0.23279335559156089</v>
          </cell>
          <cell r="BU65">
            <v>0.33047049431092923</v>
          </cell>
          <cell r="BV65">
            <v>0.27</v>
          </cell>
          <cell r="BW65">
            <v>309.21917808219177</v>
          </cell>
          <cell r="BX65">
            <v>0.13067332326847758</v>
          </cell>
          <cell r="BY65">
            <v>337.14720274752</v>
          </cell>
          <cell r="BZ65">
            <v>0.23279335559156089</v>
          </cell>
          <cell r="CA65">
            <v>337.14720274752</v>
          </cell>
          <cell r="CB65">
            <v>0.23279335559156089</v>
          </cell>
          <cell r="CC65">
            <v>350</v>
          </cell>
          <cell r="CD65">
            <v>-3.6722277864228547E-2</v>
          </cell>
          <cell r="CE65">
            <v>533.76890000000003</v>
          </cell>
          <cell r="CF65">
            <v>273.48233279999999</v>
          </cell>
          <cell r="CG65">
            <v>374.60800305279997</v>
          </cell>
        </row>
        <row r="66">
          <cell r="B66">
            <v>887655</v>
          </cell>
          <cell r="C66" t="str">
            <v>TONER 5010</v>
          </cell>
          <cell r="D66">
            <v>87.883604542663193</v>
          </cell>
          <cell r="E66">
            <v>0</v>
          </cell>
          <cell r="F66">
            <v>94.813577606409453</v>
          </cell>
          <cell r="G66">
            <v>0</v>
          </cell>
          <cell r="H66">
            <v>0</v>
          </cell>
          <cell r="I66">
            <v>119.36212625595131</v>
          </cell>
          <cell r="J66">
            <v>0</v>
          </cell>
          <cell r="K66">
            <v>0</v>
          </cell>
          <cell r="L66">
            <v>0</v>
          </cell>
          <cell r="M66">
            <v>109.39057626880975</v>
          </cell>
          <cell r="N66">
            <v>0</v>
          </cell>
          <cell r="O66">
            <v>118.23876587660098</v>
          </cell>
          <cell r="P66">
            <v>0</v>
          </cell>
          <cell r="Q66">
            <v>85.285116002103365</v>
          </cell>
          <cell r="R66">
            <v>119.89670907637553</v>
          </cell>
          <cell r="S66">
            <v>110.49138487141026</v>
          </cell>
          <cell r="T66">
            <v>0</v>
          </cell>
          <cell r="U66">
            <v>97.323930984458897</v>
          </cell>
          <cell r="V66">
            <v>97.323930984458897</v>
          </cell>
          <cell r="W66">
            <v>88.676980747008628</v>
          </cell>
          <cell r="X66">
            <v>95.294165365521735</v>
          </cell>
          <cell r="Y66">
            <v>108.52853460254795</v>
          </cell>
          <cell r="Z66">
            <v>107.20509767884533</v>
          </cell>
          <cell r="AA66">
            <v>0</v>
          </cell>
          <cell r="AB66">
            <v>103.23478690773746</v>
          </cell>
          <cell r="AC66">
            <v>0</v>
          </cell>
          <cell r="AD66">
            <v>0</v>
          </cell>
          <cell r="AE66">
            <v>0</v>
          </cell>
          <cell r="AF66">
            <v>87.727151591461322</v>
          </cell>
          <cell r="AG66">
            <v>96.549899976106673</v>
          </cell>
          <cell r="AH66">
            <v>0</v>
          </cell>
          <cell r="AI66">
            <v>105.90736038406385</v>
          </cell>
          <cell r="AJ66">
            <v>104.30322431412833</v>
          </cell>
          <cell r="AK66">
            <v>91.73749176630011</v>
          </cell>
          <cell r="AL66">
            <v>91.73749176630011</v>
          </cell>
          <cell r="AM66">
            <v>92.766868790617281</v>
          </cell>
          <cell r="AN66">
            <v>92.766868790617281</v>
          </cell>
          <cell r="AO66">
            <v>93.855831837565603</v>
          </cell>
          <cell r="AP66">
            <v>98.989514773179138</v>
          </cell>
          <cell r="AQ66">
            <v>98.989514773179138</v>
          </cell>
          <cell r="AR66">
            <v>93.855831837565603</v>
          </cell>
          <cell r="AS66">
            <v>91.287795243048265</v>
          </cell>
          <cell r="AT66">
            <v>0</v>
          </cell>
          <cell r="AU66">
            <v>91.287795243048265</v>
          </cell>
          <cell r="AV66">
            <v>95.130653238368495</v>
          </cell>
          <cell r="AW66">
            <v>0</v>
          </cell>
          <cell r="AX66">
            <v>0</v>
          </cell>
          <cell r="AY66">
            <v>0</v>
          </cell>
          <cell r="AZ66">
            <v>91.287795243048265</v>
          </cell>
          <cell r="BA66">
            <v>0</v>
          </cell>
          <cell r="BB66">
            <v>0</v>
          </cell>
          <cell r="BC66">
            <v>0</v>
          </cell>
          <cell r="BD66">
            <v>109.43458747062306</v>
          </cell>
          <cell r="BE66">
            <v>0</v>
          </cell>
          <cell r="BF66">
            <v>0</v>
          </cell>
          <cell r="BG66">
            <v>0</v>
          </cell>
          <cell r="BH66">
            <v>0</v>
          </cell>
          <cell r="BI66">
            <v>0</v>
          </cell>
          <cell r="BJ66">
            <v>0</v>
          </cell>
          <cell r="BK66">
            <v>114.71751759493822</v>
          </cell>
          <cell r="BL66">
            <v>114.71751759493822</v>
          </cell>
          <cell r="BM66">
            <v>119.89670907637553</v>
          </cell>
          <cell r="BN66">
            <v>85.285116002103365</v>
          </cell>
          <cell r="BO66">
            <v>90</v>
          </cell>
          <cell r="BP66">
            <v>100</v>
          </cell>
          <cell r="BQ66">
            <v>253.67497527244493</v>
          </cell>
          <cell r="BR66">
            <v>180.44448308551677</v>
          </cell>
          <cell r="BS66">
            <v>190.42013705294119</v>
          </cell>
          <cell r="BT66">
            <v>0.27851460540369888</v>
          </cell>
          <cell r="BU66">
            <v>0.35763096333665478</v>
          </cell>
          <cell r="BV66">
            <v>0.27</v>
          </cell>
          <cell r="BW66">
            <v>167.56164383561642</v>
          </cell>
          <cell r="BX66">
            <v>0.12503862388108344</v>
          </cell>
          <cell r="BY66">
            <v>190.42013705294119</v>
          </cell>
          <cell r="BZ66">
            <v>0.27851460540369888</v>
          </cell>
          <cell r="CA66">
            <v>167.56</v>
          </cell>
          <cell r="CB66">
            <v>0.12502758687692528</v>
          </cell>
          <cell r="CC66">
            <v>200</v>
          </cell>
          <cell r="CD66">
            <v>-4.7899314735294074E-2</v>
          </cell>
          <cell r="CE66">
            <v>296.27565000000004</v>
          </cell>
          <cell r="CF66">
            <v>148.93857</v>
          </cell>
          <cell r="CG66">
            <v>211.57793005882354</v>
          </cell>
        </row>
        <row r="67">
          <cell r="B67">
            <v>887656</v>
          </cell>
          <cell r="C67" t="str">
            <v>TONER 7770</v>
          </cell>
          <cell r="D67">
            <v>98.258055682348996</v>
          </cell>
          <cell r="E67">
            <v>0</v>
          </cell>
          <cell r="F67">
            <v>86.479852745447999</v>
          </cell>
          <cell r="G67">
            <v>0</v>
          </cell>
          <cell r="H67">
            <v>0</v>
          </cell>
          <cell r="I67">
            <v>0</v>
          </cell>
          <cell r="J67">
            <v>0</v>
          </cell>
          <cell r="K67">
            <v>0</v>
          </cell>
          <cell r="L67">
            <v>0</v>
          </cell>
          <cell r="M67">
            <v>91.525419936896142</v>
          </cell>
          <cell r="N67">
            <v>0</v>
          </cell>
          <cell r="O67">
            <v>0</v>
          </cell>
          <cell r="P67">
            <v>0</v>
          </cell>
          <cell r="Q67">
            <v>88.905769943685044</v>
          </cell>
          <cell r="R67">
            <v>0</v>
          </cell>
          <cell r="S67">
            <v>0</v>
          </cell>
          <cell r="T67">
            <v>0</v>
          </cell>
          <cell r="U67">
            <v>81.529305164359755</v>
          </cell>
          <cell r="V67">
            <v>0</v>
          </cell>
          <cell r="W67">
            <v>107.21906206211389</v>
          </cell>
          <cell r="X67">
            <v>109.69037907833808</v>
          </cell>
          <cell r="Y67">
            <v>109.69037907833808</v>
          </cell>
          <cell r="Z67">
            <v>0</v>
          </cell>
          <cell r="AA67">
            <v>0</v>
          </cell>
          <cell r="AB67">
            <v>0</v>
          </cell>
          <cell r="AC67">
            <v>0</v>
          </cell>
          <cell r="AD67">
            <v>0</v>
          </cell>
          <cell r="AE67">
            <v>0</v>
          </cell>
          <cell r="AF67">
            <v>0</v>
          </cell>
          <cell r="AG67">
            <v>0</v>
          </cell>
          <cell r="AH67">
            <v>0</v>
          </cell>
          <cell r="AI67">
            <v>0</v>
          </cell>
          <cell r="AJ67">
            <v>0</v>
          </cell>
          <cell r="AK67">
            <v>0</v>
          </cell>
          <cell r="AL67">
            <v>0</v>
          </cell>
          <cell r="AM67">
            <v>92.715728525366856</v>
          </cell>
          <cell r="AN67">
            <v>92.715728525366856</v>
          </cell>
          <cell r="AO67">
            <v>98.627324277759641</v>
          </cell>
          <cell r="AP67">
            <v>98.627324277759641</v>
          </cell>
          <cell r="AQ67">
            <v>98.627324277759641</v>
          </cell>
          <cell r="AR67">
            <v>98.627324277759641</v>
          </cell>
          <cell r="AS67">
            <v>114.23773808244661</v>
          </cell>
          <cell r="AT67">
            <v>0</v>
          </cell>
          <cell r="AU67">
            <v>114.23773808244661</v>
          </cell>
          <cell r="AV67">
            <v>114.23773808244661</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104.04780789936002</v>
          </cell>
          <cell r="BM67">
            <v>114.23773808244661</v>
          </cell>
          <cell r="BN67">
            <v>81.529305164359755</v>
          </cell>
          <cell r="BO67">
            <v>90</v>
          </cell>
          <cell r="BP67">
            <v>100</v>
          </cell>
          <cell r="BQ67">
            <v>373.86035747956475</v>
          </cell>
          <cell r="BR67">
            <v>266.8170403707565</v>
          </cell>
          <cell r="BS67">
            <v>294.53867642999995</v>
          </cell>
          <cell r="BT67">
            <v>6.4325240457497213E-2</v>
          </cell>
          <cell r="BU67">
            <v>0.49249449406171486</v>
          </cell>
          <cell r="BV67">
            <v>0.27</v>
          </cell>
          <cell r="BW67">
            <v>204.76712328767121</v>
          </cell>
          <cell r="BX67">
            <v>-0.26006723336812443</v>
          </cell>
          <cell r="BY67">
            <v>294.53867642999995</v>
          </cell>
          <cell r="BZ67">
            <v>6.4325240457497213E-2</v>
          </cell>
          <cell r="CA67">
            <v>294.53867642999995</v>
          </cell>
          <cell r="CB67">
            <v>6.4325240457497213E-2</v>
          </cell>
          <cell r="CC67">
            <v>300</v>
          </cell>
          <cell r="CD67">
            <v>-1.8204411900000106E-2</v>
          </cell>
          <cell r="CE67">
            <v>366.21340600000002</v>
          </cell>
          <cell r="CF67">
            <v>276.73747200000003</v>
          </cell>
          <cell r="CG67">
            <v>327.26519603333332</v>
          </cell>
        </row>
        <row r="68">
          <cell r="B68">
            <v>887659</v>
          </cell>
          <cell r="C68" t="str">
            <v>TONER M5</v>
          </cell>
          <cell r="D68">
            <v>100.25138522134279</v>
          </cell>
          <cell r="E68">
            <v>91.144260384533737</v>
          </cell>
          <cell r="F68">
            <v>112.39421833708818</v>
          </cell>
          <cell r="G68">
            <v>0</v>
          </cell>
          <cell r="H68">
            <v>112.39421833708818</v>
          </cell>
          <cell r="I68">
            <v>101.43193844092914</v>
          </cell>
          <cell r="J68">
            <v>111.75334658931273</v>
          </cell>
          <cell r="K68">
            <v>0</v>
          </cell>
          <cell r="L68">
            <v>83.768231328742147</v>
          </cell>
          <cell r="M68">
            <v>103.278930818018</v>
          </cell>
          <cell r="N68">
            <v>103.278930818018</v>
          </cell>
          <cell r="O68">
            <v>114.50892645428723</v>
          </cell>
          <cell r="P68">
            <v>83.559709033013391</v>
          </cell>
          <cell r="Q68">
            <v>81.750092464905265</v>
          </cell>
          <cell r="R68">
            <v>108.7592949739818</v>
          </cell>
          <cell r="S68">
            <v>103.35745447216648</v>
          </cell>
          <cell r="T68">
            <v>108.7592949739818</v>
          </cell>
          <cell r="U68">
            <v>95.254693719443523</v>
          </cell>
          <cell r="V68">
            <v>95.254693719443523</v>
          </cell>
          <cell r="W68">
            <v>84.663243129204389</v>
          </cell>
          <cell r="X68">
            <v>102.63962886872368</v>
          </cell>
          <cell r="Y68">
            <v>102.63962886872368</v>
          </cell>
          <cell r="Z68">
            <v>100.35932623791784</v>
          </cell>
          <cell r="AA68">
            <v>0</v>
          </cell>
          <cell r="AB68">
            <v>92.340261986250681</v>
          </cell>
          <cell r="AC68">
            <v>104.69190123644891</v>
          </cell>
          <cell r="AD68">
            <v>98.041018563265254</v>
          </cell>
          <cell r="AE68">
            <v>0</v>
          </cell>
          <cell r="AF68">
            <v>89.152835753551486</v>
          </cell>
          <cell r="AG68">
            <v>0</v>
          </cell>
          <cell r="AH68">
            <v>0</v>
          </cell>
          <cell r="AI68">
            <v>118.90370446465738</v>
          </cell>
          <cell r="AJ68">
            <v>99.709595618782615</v>
          </cell>
          <cell r="AK68">
            <v>90.112541195845225</v>
          </cell>
          <cell r="AL68">
            <v>89.152835753551486</v>
          </cell>
          <cell r="AM68">
            <v>112.16520787753441</v>
          </cell>
          <cell r="AN68">
            <v>112.16520787753441</v>
          </cell>
          <cell r="AO68">
            <v>112.16520787753441</v>
          </cell>
          <cell r="AP68">
            <v>112.16520787753441</v>
          </cell>
          <cell r="AQ68">
            <v>112.16520787753441</v>
          </cell>
          <cell r="AR68">
            <v>84.199396348608673</v>
          </cell>
          <cell r="AS68">
            <v>88.426981039011807</v>
          </cell>
          <cell r="AT68">
            <v>0</v>
          </cell>
          <cell r="AU68">
            <v>88.426981039011807</v>
          </cell>
          <cell r="AV68">
            <v>97.623237643899628</v>
          </cell>
          <cell r="AW68">
            <v>97.623237643899628</v>
          </cell>
          <cell r="AX68">
            <v>0</v>
          </cell>
          <cell r="AY68">
            <v>97.623237643899628</v>
          </cell>
          <cell r="AZ68">
            <v>88.426981039011807</v>
          </cell>
          <cell r="BA68">
            <v>97.623237643899628</v>
          </cell>
          <cell r="BB68">
            <v>88.426981039011807</v>
          </cell>
          <cell r="BC68">
            <v>0</v>
          </cell>
          <cell r="BD68">
            <v>0</v>
          </cell>
          <cell r="BE68">
            <v>108.726460820697</v>
          </cell>
          <cell r="BF68">
            <v>0</v>
          </cell>
          <cell r="BG68">
            <v>0</v>
          </cell>
          <cell r="BH68">
            <v>0</v>
          </cell>
          <cell r="BI68">
            <v>0</v>
          </cell>
          <cell r="BJ68">
            <v>106.24702898271907</v>
          </cell>
          <cell r="BK68">
            <v>106.24702898271907</v>
          </cell>
          <cell r="BL68">
            <v>106.24702898271907</v>
          </cell>
          <cell r="BM68">
            <v>118.90370446465738</v>
          </cell>
          <cell r="BN68">
            <v>81.750092464905265</v>
          </cell>
          <cell r="BO68">
            <v>90</v>
          </cell>
          <cell r="BP68">
            <v>100</v>
          </cell>
          <cell r="BQ68">
            <v>101.90271738365453</v>
          </cell>
          <cell r="BR68">
            <v>70.06137114100612</v>
          </cell>
          <cell r="BS68">
            <v>77.131697501106402</v>
          </cell>
          <cell r="BT68">
            <v>0.20406149119111583</v>
          </cell>
          <cell r="BU68">
            <v>0.34099725992325169</v>
          </cell>
          <cell r="BV68">
            <v>0.27</v>
          </cell>
          <cell r="BW68">
            <v>69.630136986301366</v>
          </cell>
          <cell r="BX68">
            <v>8.695866015868603E-2</v>
          </cell>
          <cell r="BY68">
            <v>77.131697501106402</v>
          </cell>
          <cell r="BZ68">
            <v>0.20406149119111583</v>
          </cell>
          <cell r="CA68">
            <v>77.131697501106402</v>
          </cell>
          <cell r="CB68">
            <v>0.20406149119111583</v>
          </cell>
          <cell r="CC68">
            <v>80</v>
          </cell>
          <cell r="CD68">
            <v>-3.5853781236170001E-2</v>
          </cell>
          <cell r="CE68">
            <v>108.1195</v>
          </cell>
          <cell r="CF68">
            <v>64.059600000000003</v>
          </cell>
          <cell r="CG68">
            <v>85.701886112340446</v>
          </cell>
        </row>
        <row r="69">
          <cell r="B69">
            <v>887660</v>
          </cell>
          <cell r="C69" t="str">
            <v>TONER M10</v>
          </cell>
          <cell r="D69">
            <v>91.44416687879577</v>
          </cell>
          <cell r="E69">
            <v>0</v>
          </cell>
          <cell r="F69">
            <v>0</v>
          </cell>
          <cell r="G69">
            <v>0</v>
          </cell>
          <cell r="H69">
            <v>0</v>
          </cell>
          <cell r="I69">
            <v>0</v>
          </cell>
          <cell r="J69">
            <v>0</v>
          </cell>
          <cell r="K69">
            <v>0</v>
          </cell>
          <cell r="L69">
            <v>0</v>
          </cell>
          <cell r="M69">
            <v>0</v>
          </cell>
          <cell r="N69">
            <v>0</v>
          </cell>
          <cell r="O69">
            <v>0</v>
          </cell>
          <cell r="P69">
            <v>0</v>
          </cell>
          <cell r="Q69">
            <v>95.785721137515537</v>
          </cell>
          <cell r="R69">
            <v>112.41775944792758</v>
          </cell>
          <cell r="S69">
            <v>95.785721137515537</v>
          </cell>
          <cell r="T69">
            <v>0</v>
          </cell>
          <cell r="U69">
            <v>95.785721137515537</v>
          </cell>
          <cell r="V69">
            <v>95.785721137515537</v>
          </cell>
          <cell r="W69">
            <v>82.486932740971241</v>
          </cell>
          <cell r="X69">
            <v>0</v>
          </cell>
          <cell r="Y69">
            <v>0</v>
          </cell>
          <cell r="Z69">
            <v>0</v>
          </cell>
          <cell r="AA69">
            <v>0</v>
          </cell>
          <cell r="AB69">
            <v>0</v>
          </cell>
          <cell r="AC69">
            <v>0</v>
          </cell>
          <cell r="AD69">
            <v>0</v>
          </cell>
          <cell r="AE69">
            <v>0</v>
          </cell>
          <cell r="AF69">
            <v>0</v>
          </cell>
          <cell r="AG69">
            <v>131.55744552323696</v>
          </cell>
          <cell r="AH69">
            <v>0</v>
          </cell>
          <cell r="AI69">
            <v>0</v>
          </cell>
          <cell r="AJ69">
            <v>101.28487395327257</v>
          </cell>
          <cell r="AK69">
            <v>86.48025976915649</v>
          </cell>
          <cell r="AL69">
            <v>0</v>
          </cell>
          <cell r="AM69">
            <v>101.05428203535362</v>
          </cell>
          <cell r="AN69">
            <v>101.05428203535362</v>
          </cell>
          <cell r="AO69">
            <v>101.05428203535362</v>
          </cell>
          <cell r="AP69">
            <v>101.05428203535362</v>
          </cell>
          <cell r="AQ69">
            <v>101.05428203535362</v>
          </cell>
          <cell r="AR69">
            <v>101.05428203535362</v>
          </cell>
          <cell r="AS69">
            <v>101.61999497481852</v>
          </cell>
          <cell r="AT69">
            <v>0</v>
          </cell>
          <cell r="AU69">
            <v>101.61999497481852</v>
          </cell>
          <cell r="AV69">
            <v>101.61999497481852</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131.55744552323696</v>
          </cell>
          <cell r="BN69">
            <v>82.486932740971241</v>
          </cell>
          <cell r="BO69">
            <v>90</v>
          </cell>
          <cell r="BP69">
            <v>100</v>
          </cell>
          <cell r="BQ69">
            <v>113.74309212804474</v>
          </cell>
          <cell r="BR69">
            <v>71.317277048062806</v>
          </cell>
          <cell r="BS69">
            <v>77.812990749473684</v>
          </cell>
          <cell r="BT69">
            <v>6.2465994468366537E-2</v>
          </cell>
          <cell r="BU69">
            <v>0.34676717203105567</v>
          </cell>
          <cell r="BV69">
            <v>0.27</v>
          </cell>
          <cell r="BW69">
            <v>69.630136986301366</v>
          </cell>
          <cell r="BX69">
            <v>-4.9263470976153578E-2</v>
          </cell>
          <cell r="BY69">
            <v>77.812990749473684</v>
          </cell>
          <cell r="BZ69">
            <v>6.2465994468366537E-2</v>
          </cell>
          <cell r="CA69">
            <v>77.812990749473684</v>
          </cell>
          <cell r="CB69">
            <v>6.2465994468366537E-2</v>
          </cell>
          <cell r="CC69">
            <v>83</v>
          </cell>
          <cell r="CD69">
            <v>-6.2494087355738692E-2</v>
          </cell>
          <cell r="CE69">
            <v>110.28188999999999</v>
          </cell>
          <cell r="CF69">
            <v>73.238100000000003</v>
          </cell>
          <cell r="CG69">
            <v>86.458878610526313</v>
          </cell>
        </row>
        <row r="70">
          <cell r="B70">
            <v>887661</v>
          </cell>
          <cell r="C70" t="str">
            <v>TONER 2050</v>
          </cell>
          <cell r="D70">
            <v>0</v>
          </cell>
          <cell r="E70">
            <v>97.547142408078756</v>
          </cell>
          <cell r="F70">
            <v>104.47469724679326</v>
          </cell>
          <cell r="G70">
            <v>0</v>
          </cell>
          <cell r="H70">
            <v>0</v>
          </cell>
          <cell r="I70">
            <v>112.94170871633322</v>
          </cell>
          <cell r="J70">
            <v>117.56007860880956</v>
          </cell>
          <cell r="K70">
            <v>0</v>
          </cell>
          <cell r="L70">
            <v>78.368299735342589</v>
          </cell>
          <cell r="M70">
            <v>100.14821363999258</v>
          </cell>
          <cell r="N70">
            <v>0</v>
          </cell>
          <cell r="O70">
            <v>109.78850340106715</v>
          </cell>
          <cell r="P70">
            <v>89.103023720333397</v>
          </cell>
          <cell r="Q70">
            <v>84.325201262982489</v>
          </cell>
          <cell r="R70">
            <v>108.911433552411</v>
          </cell>
          <cell r="S70">
            <v>101.8552188911988</v>
          </cell>
          <cell r="T70">
            <v>109.08146282135587</v>
          </cell>
          <cell r="U70">
            <v>98.879706684663546</v>
          </cell>
          <cell r="V70">
            <v>88.252877375609046</v>
          </cell>
          <cell r="W70">
            <v>83.041446679826379</v>
          </cell>
          <cell r="X70">
            <v>112.37956020217391</v>
          </cell>
          <cell r="Y70">
            <v>112.37956020217391</v>
          </cell>
          <cell r="Z70">
            <v>101.76281167981573</v>
          </cell>
          <cell r="AA70">
            <v>0</v>
          </cell>
          <cell r="AB70">
            <v>101.76281167981573</v>
          </cell>
          <cell r="AC70">
            <v>114.47300357277973</v>
          </cell>
          <cell r="AD70">
            <v>0</v>
          </cell>
          <cell r="AE70">
            <v>0</v>
          </cell>
          <cell r="AF70">
            <v>85.056641593275813</v>
          </cell>
          <cell r="AG70">
            <v>87.322230720270355</v>
          </cell>
          <cell r="AH70">
            <v>96.384587228248506</v>
          </cell>
          <cell r="AI70">
            <v>98.650176355243033</v>
          </cell>
          <cell r="AJ70">
            <v>93.9830627536343</v>
          </cell>
          <cell r="AK70">
            <v>87.322230720270355</v>
          </cell>
          <cell r="AL70">
            <v>86.567034344605517</v>
          </cell>
          <cell r="AM70">
            <v>89.578762268380942</v>
          </cell>
          <cell r="AN70">
            <v>89.578762268380942</v>
          </cell>
          <cell r="AO70">
            <v>95.730716295483234</v>
          </cell>
          <cell r="AP70">
            <v>103.53490940415016</v>
          </cell>
          <cell r="AQ70">
            <v>103.53490940415016</v>
          </cell>
          <cell r="AR70">
            <v>89.578762268380942</v>
          </cell>
          <cell r="AS70">
            <v>98.203415424035214</v>
          </cell>
          <cell r="AT70">
            <v>98.203415424035214</v>
          </cell>
          <cell r="AU70">
            <v>98.203415424035214</v>
          </cell>
          <cell r="AV70">
            <v>115.57119354002805</v>
          </cell>
          <cell r="AW70">
            <v>106.59784151343175</v>
          </cell>
          <cell r="AX70">
            <v>0</v>
          </cell>
          <cell r="AY70">
            <v>106.59784151343175</v>
          </cell>
          <cell r="AZ70">
            <v>0</v>
          </cell>
          <cell r="BA70">
            <v>0</v>
          </cell>
          <cell r="BB70">
            <v>98.203415424035214</v>
          </cell>
          <cell r="BC70">
            <v>0</v>
          </cell>
          <cell r="BD70">
            <v>0</v>
          </cell>
          <cell r="BE70">
            <v>111.69555838721358</v>
          </cell>
          <cell r="BF70">
            <v>0</v>
          </cell>
          <cell r="BG70">
            <v>0</v>
          </cell>
          <cell r="BH70">
            <v>97.441124276690715</v>
          </cell>
          <cell r="BI70">
            <v>111.69555838721358</v>
          </cell>
          <cell r="BJ70">
            <v>107.90922432660594</v>
          </cell>
          <cell r="BK70">
            <v>107.90922432660594</v>
          </cell>
          <cell r="BL70">
            <v>107.90922432660594</v>
          </cell>
          <cell r="BM70">
            <v>117.56007860880956</v>
          </cell>
          <cell r="BN70">
            <v>78.368299735342589</v>
          </cell>
          <cell r="BO70">
            <v>90</v>
          </cell>
          <cell r="BP70">
            <v>100</v>
          </cell>
          <cell r="BQ70">
            <v>113.4413827723334</v>
          </cell>
          <cell r="BR70">
            <v>75.622680698239591</v>
          </cell>
          <cell r="BS70">
            <v>86.846866473130461</v>
          </cell>
          <cell r="BT70">
            <v>0.35916970238243517</v>
          </cell>
          <cell r="BU70">
            <v>0.31972214543539401</v>
          </cell>
          <cell r="BV70">
            <v>0.27</v>
          </cell>
          <cell r="BW70">
            <v>80.93150684931507</v>
          </cell>
          <cell r="BX70">
            <v>0.26659321798073576</v>
          </cell>
          <cell r="BY70">
            <v>86.846866473130461</v>
          </cell>
          <cell r="BZ70">
            <v>0.35916970238243517</v>
          </cell>
          <cell r="CA70">
            <v>86.846866473130461</v>
          </cell>
          <cell r="CB70">
            <v>0.35916970238243517</v>
          </cell>
          <cell r="CC70">
            <v>95</v>
          </cell>
          <cell r="CD70">
            <v>-8.5822458177574057E-2</v>
          </cell>
          <cell r="CE70">
            <v>122.96</v>
          </cell>
          <cell r="CF70">
            <v>63.896999999999998</v>
          </cell>
          <cell r="CG70">
            <v>96.496518303478297</v>
          </cell>
        </row>
        <row r="71">
          <cell r="B71">
            <v>887664</v>
          </cell>
          <cell r="C71" t="str">
            <v>TONER M6</v>
          </cell>
          <cell r="D71">
            <v>95.815825360233433</v>
          </cell>
          <cell r="E71">
            <v>87.993613717090113</v>
          </cell>
          <cell r="F71">
            <v>91.90471953866178</v>
          </cell>
          <cell r="G71">
            <v>0</v>
          </cell>
          <cell r="H71">
            <v>0</v>
          </cell>
          <cell r="I71">
            <v>95.177277470997254</v>
          </cell>
          <cell r="J71">
            <v>0</v>
          </cell>
          <cell r="K71">
            <v>0</v>
          </cell>
          <cell r="L71">
            <v>96.969202485166306</v>
          </cell>
          <cell r="M71">
            <v>117.5309074657913</v>
          </cell>
          <cell r="N71">
            <v>117.5309074657913</v>
          </cell>
          <cell r="O71">
            <v>126.65751280967186</v>
          </cell>
          <cell r="P71">
            <v>86.872294888936352</v>
          </cell>
          <cell r="Q71">
            <v>84.827038770670626</v>
          </cell>
          <cell r="R71">
            <v>105.27959995332793</v>
          </cell>
          <cell r="S71">
            <v>105.27959995332793</v>
          </cell>
          <cell r="T71">
            <v>105.27959995332793</v>
          </cell>
          <cell r="U71">
            <v>84.827038770670626</v>
          </cell>
          <cell r="V71">
            <v>84.827038770670626</v>
          </cell>
          <cell r="W71">
            <v>87.174637097723462</v>
          </cell>
          <cell r="X71">
            <v>98.72225014964711</v>
          </cell>
          <cell r="Y71">
            <v>0</v>
          </cell>
          <cell r="Z71">
            <v>0</v>
          </cell>
          <cell r="AA71">
            <v>0</v>
          </cell>
          <cell r="AB71">
            <v>99.873414067595888</v>
          </cell>
          <cell r="AC71">
            <v>99.873414067595888</v>
          </cell>
          <cell r="AD71">
            <v>0</v>
          </cell>
          <cell r="AE71">
            <v>0</v>
          </cell>
          <cell r="AF71">
            <v>0</v>
          </cell>
          <cell r="AG71">
            <v>107.31933482736014</v>
          </cell>
          <cell r="AH71">
            <v>0</v>
          </cell>
          <cell r="AI71">
            <v>113.74409419267459</v>
          </cell>
          <cell r="AJ71">
            <v>113.74409419267459</v>
          </cell>
          <cell r="AK71">
            <v>99.854441213436942</v>
          </cell>
          <cell r="AL71">
            <v>0</v>
          </cell>
          <cell r="AM71">
            <v>0</v>
          </cell>
          <cell r="AN71">
            <v>0</v>
          </cell>
          <cell r="AO71">
            <v>0</v>
          </cell>
          <cell r="AP71">
            <v>0</v>
          </cell>
          <cell r="AQ71">
            <v>0</v>
          </cell>
          <cell r="AR71">
            <v>0</v>
          </cell>
          <cell r="AS71">
            <v>91.697921015623464</v>
          </cell>
          <cell r="AT71">
            <v>0</v>
          </cell>
          <cell r="AU71">
            <v>91.697921015623464</v>
          </cell>
          <cell r="AV71">
            <v>102.40478152842475</v>
          </cell>
          <cell r="AW71">
            <v>102.40478152842475</v>
          </cell>
          <cell r="AX71">
            <v>0</v>
          </cell>
          <cell r="AY71">
            <v>0</v>
          </cell>
          <cell r="AZ71">
            <v>0</v>
          </cell>
          <cell r="BA71">
            <v>0</v>
          </cell>
          <cell r="BB71">
            <v>102.40478152842475</v>
          </cell>
          <cell r="BC71">
            <v>0</v>
          </cell>
          <cell r="BD71">
            <v>0</v>
          </cell>
          <cell r="BE71">
            <v>100.99080973733666</v>
          </cell>
          <cell r="BF71">
            <v>96.891738644353339</v>
          </cell>
          <cell r="BG71">
            <v>0</v>
          </cell>
          <cell r="BH71">
            <v>0</v>
          </cell>
          <cell r="BI71">
            <v>100.99080973733666</v>
          </cell>
          <cell r="BJ71">
            <v>100.99080973733666</v>
          </cell>
          <cell r="BK71">
            <v>101.45697860673476</v>
          </cell>
          <cell r="BL71">
            <v>100.99080973733666</v>
          </cell>
          <cell r="BM71">
            <v>126.65751280967186</v>
          </cell>
          <cell r="BN71">
            <v>84.827038770670626</v>
          </cell>
          <cell r="BO71">
            <v>90</v>
          </cell>
          <cell r="BP71">
            <v>100</v>
          </cell>
          <cell r="BQ71">
            <v>137.40342054032556</v>
          </cell>
          <cell r="BR71">
            <v>92.023955175179424</v>
          </cell>
          <cell r="BS71">
            <v>97.635802048411776</v>
          </cell>
          <cell r="BT71">
            <v>0.38558186507581516</v>
          </cell>
          <cell r="BU71">
            <v>0.43606751985609715</v>
          </cell>
          <cell r="BV71">
            <v>0.27</v>
          </cell>
          <cell r="BW71">
            <v>75.424657534246577</v>
          </cell>
          <cell r="BX71">
            <v>7.0376188513176841E-2</v>
          </cell>
          <cell r="BY71">
            <v>97.635802048411776</v>
          </cell>
          <cell r="BZ71">
            <v>0.38558186507581516</v>
          </cell>
          <cell r="CA71">
            <v>75.42</v>
          </cell>
          <cell r="CB71">
            <v>7.0310091908728056E-2</v>
          </cell>
          <cell r="CD71">
            <v>0</v>
          </cell>
          <cell r="CE71">
            <v>175.27956</v>
          </cell>
          <cell r="CF71">
            <v>70.465560000000011</v>
          </cell>
          <cell r="CG71">
            <v>108.48422449823531</v>
          </cell>
        </row>
        <row r="72">
          <cell r="B72">
            <v>887675</v>
          </cell>
          <cell r="C72" t="str">
            <v>TONER MV310</v>
          </cell>
          <cell r="D72">
            <v>93.054770870579276</v>
          </cell>
          <cell r="E72">
            <v>83.02170247539047</v>
          </cell>
          <cell r="F72">
            <v>83.02170247539047</v>
          </cell>
          <cell r="G72">
            <v>0</v>
          </cell>
          <cell r="H72">
            <v>99.325438617572289</v>
          </cell>
          <cell r="I72">
            <v>99.325438617572289</v>
          </cell>
          <cell r="J72">
            <v>99.325438617572289</v>
          </cell>
          <cell r="K72">
            <v>95.563037969376481</v>
          </cell>
          <cell r="L72">
            <v>97.942129312585635</v>
          </cell>
          <cell r="M72">
            <v>0</v>
          </cell>
          <cell r="N72">
            <v>0</v>
          </cell>
          <cell r="O72">
            <v>0</v>
          </cell>
          <cell r="P72">
            <v>86.336175280122816</v>
          </cell>
          <cell r="Q72">
            <v>86.336175280122816</v>
          </cell>
          <cell r="R72">
            <v>114.31031728415404</v>
          </cell>
          <cell r="S72">
            <v>114.31031728415404</v>
          </cell>
          <cell r="T72">
            <v>114.31031728415404</v>
          </cell>
          <cell r="U72">
            <v>113.81221366432351</v>
          </cell>
          <cell r="V72">
            <v>86.336175280122816</v>
          </cell>
          <cell r="W72">
            <v>87.047797243682822</v>
          </cell>
          <cell r="X72">
            <v>0</v>
          </cell>
          <cell r="Y72">
            <v>97.708091136712952</v>
          </cell>
          <cell r="Z72">
            <v>0</v>
          </cell>
          <cell r="AA72">
            <v>98.572897587207962</v>
          </cell>
          <cell r="AB72">
            <v>101.17862159817662</v>
          </cell>
          <cell r="AC72">
            <v>101.17862159817662</v>
          </cell>
          <cell r="AD72">
            <v>92.841435229025279</v>
          </cell>
          <cell r="AE72">
            <v>84.50424885987394</v>
          </cell>
          <cell r="AF72">
            <v>0</v>
          </cell>
          <cell r="AG72">
            <v>107.70709969771917</v>
          </cell>
          <cell r="AH72">
            <v>110.58316842374883</v>
          </cell>
          <cell r="AI72">
            <v>119.1185981913207</v>
          </cell>
          <cell r="AJ72">
            <v>119.1185981913207</v>
          </cell>
          <cell r="AK72">
            <v>0</v>
          </cell>
          <cell r="AL72">
            <v>0</v>
          </cell>
          <cell r="AM72">
            <v>96.706023932959624</v>
          </cell>
          <cell r="AN72">
            <v>96.706023932959624</v>
          </cell>
          <cell r="AO72">
            <v>100.85861688171208</v>
          </cell>
          <cell r="AP72">
            <v>100.85861688171208</v>
          </cell>
          <cell r="AQ72">
            <v>100.85861688171208</v>
          </cell>
          <cell r="AR72">
            <v>100.85861688171208</v>
          </cell>
          <cell r="AS72">
            <v>97.818402767269717</v>
          </cell>
          <cell r="AT72">
            <v>97.818402767269717</v>
          </cell>
          <cell r="AU72">
            <v>86.192779155044832</v>
          </cell>
          <cell r="AV72">
            <v>89.612080217463912</v>
          </cell>
          <cell r="AW72">
            <v>0</v>
          </cell>
          <cell r="AX72">
            <v>0</v>
          </cell>
          <cell r="AY72">
            <v>0</v>
          </cell>
          <cell r="AZ72">
            <v>97.818402767269717</v>
          </cell>
          <cell r="BA72">
            <v>0</v>
          </cell>
          <cell r="BB72">
            <v>97.818402767269717</v>
          </cell>
          <cell r="BC72">
            <v>99.471773428383202</v>
          </cell>
          <cell r="BD72">
            <v>0</v>
          </cell>
          <cell r="BE72">
            <v>112.94229145258446</v>
          </cell>
          <cell r="BF72">
            <v>99.471773428383202</v>
          </cell>
          <cell r="BG72">
            <v>0</v>
          </cell>
          <cell r="BH72">
            <v>99.471773428383202</v>
          </cell>
          <cell r="BI72">
            <v>112.94229145258446</v>
          </cell>
          <cell r="BJ72">
            <v>112.94229145258446</v>
          </cell>
          <cell r="BK72">
            <v>0</v>
          </cell>
          <cell r="BL72">
            <v>112.94229145258446</v>
          </cell>
          <cell r="BM72">
            <v>119.1185981913207</v>
          </cell>
          <cell r="BN72">
            <v>83.02170247539047</v>
          </cell>
          <cell r="BO72">
            <v>90</v>
          </cell>
          <cell r="BP72">
            <v>100</v>
          </cell>
          <cell r="BQ72">
            <v>780.67792570042639</v>
          </cell>
          <cell r="BR72">
            <v>544.10655817580175</v>
          </cell>
          <cell r="BS72">
            <v>589.8408340919998</v>
          </cell>
          <cell r="BT72">
            <v>0.13430929633076882</v>
          </cell>
          <cell r="BU72">
            <v>0.25420558466898713</v>
          </cell>
          <cell r="BV72">
            <v>0.27</v>
          </cell>
          <cell r="BW72">
            <v>602.60273972602738</v>
          </cell>
          <cell r="BX72">
            <v>0.15885142255005258</v>
          </cell>
          <cell r="BY72">
            <v>602.60273972602738</v>
          </cell>
          <cell r="BZ72">
            <v>0.15885142255005258</v>
          </cell>
          <cell r="CA72">
            <v>602.60273972602738</v>
          </cell>
          <cell r="CB72">
            <v>0.15885142255005258</v>
          </cell>
          <cell r="CD72">
            <v>0</v>
          </cell>
          <cell r="CE72">
            <v>807.82337999999993</v>
          </cell>
          <cell r="CF72">
            <v>520</v>
          </cell>
          <cell r="CG72">
            <v>655.37870454666643</v>
          </cell>
        </row>
        <row r="73">
          <cell r="B73">
            <v>887681</v>
          </cell>
          <cell r="C73" t="str">
            <v>TONER 320</v>
          </cell>
          <cell r="D73">
            <v>94.255555342050997</v>
          </cell>
          <cell r="E73">
            <v>94.804662909311105</v>
          </cell>
          <cell r="F73">
            <v>96.92101499145943</v>
          </cell>
          <cell r="G73">
            <v>0</v>
          </cell>
          <cell r="H73">
            <v>102.35489195913757</v>
          </cell>
          <cell r="I73">
            <v>98.922969663761904</v>
          </cell>
          <cell r="J73">
            <v>101.80578439187747</v>
          </cell>
          <cell r="K73">
            <v>104.27676844454795</v>
          </cell>
          <cell r="L73">
            <v>93.794648177782051</v>
          </cell>
          <cell r="M73">
            <v>100.69265069113925</v>
          </cell>
          <cell r="N73">
            <v>0</v>
          </cell>
          <cell r="O73">
            <v>101.80448712524982</v>
          </cell>
          <cell r="P73">
            <v>94.729251221561441</v>
          </cell>
          <cell r="Q73">
            <v>94.619327436825017</v>
          </cell>
          <cell r="R73">
            <v>100.18879919680381</v>
          </cell>
          <cell r="S73">
            <v>100.07887541206739</v>
          </cell>
          <cell r="T73">
            <v>97.774140058760366</v>
          </cell>
          <cell r="U73">
            <v>95.828489068925677</v>
          </cell>
          <cell r="V73">
            <v>95.828489068925677</v>
          </cell>
          <cell r="W73">
            <v>93.990546008878169</v>
          </cell>
          <cell r="X73">
            <v>95.117098251237522</v>
          </cell>
          <cell r="Y73">
            <v>95.117098251237522</v>
          </cell>
          <cell r="Z73">
            <v>97.780092453427912</v>
          </cell>
          <cell r="AA73">
            <v>0</v>
          </cell>
          <cell r="AB73">
            <v>97.888365208986485</v>
          </cell>
          <cell r="AC73">
            <v>97.888365208986485</v>
          </cell>
          <cell r="AD73">
            <v>97.888365208986485</v>
          </cell>
          <cell r="AE73">
            <v>0</v>
          </cell>
          <cell r="AF73">
            <v>104.44026522269965</v>
          </cell>
          <cell r="AG73">
            <v>122.6676621230792</v>
          </cell>
          <cell r="AH73">
            <v>111.9916153671426</v>
          </cell>
          <cell r="AI73">
            <v>139.50326707442264</v>
          </cell>
          <cell r="AJ73">
            <v>111.9916153671426</v>
          </cell>
          <cell r="AK73">
            <v>103.65909106982623</v>
          </cell>
          <cell r="AL73">
            <v>103.39869968553511</v>
          </cell>
          <cell r="AM73">
            <v>95.133143631942488</v>
          </cell>
          <cell r="AN73">
            <v>95.133143631942488</v>
          </cell>
          <cell r="AO73">
            <v>96.042225528764561</v>
          </cell>
          <cell r="AP73">
            <v>97.445241922859935</v>
          </cell>
          <cell r="AQ73">
            <v>96.345252827705238</v>
          </cell>
          <cell r="AR73">
            <v>96.193739178234907</v>
          </cell>
          <cell r="AS73">
            <v>95.363728771098295</v>
          </cell>
          <cell r="AT73">
            <v>95.363728771098295</v>
          </cell>
          <cell r="AU73">
            <v>94.739936854820314</v>
          </cell>
          <cell r="AV73">
            <v>100.97785601760006</v>
          </cell>
          <cell r="AW73">
            <v>95.363728771098295</v>
          </cell>
          <cell r="AX73">
            <v>94.739936854820314</v>
          </cell>
          <cell r="AY73">
            <v>95.363728771098295</v>
          </cell>
          <cell r="AZ73">
            <v>103.07379685629405</v>
          </cell>
          <cell r="BA73">
            <v>147.1384578221701</v>
          </cell>
          <cell r="BB73">
            <v>95.363728771098295</v>
          </cell>
          <cell r="BC73">
            <v>0</v>
          </cell>
          <cell r="BD73">
            <v>94.780409285654869</v>
          </cell>
          <cell r="BE73">
            <v>95.880123245887091</v>
          </cell>
          <cell r="BF73">
            <v>94.780409285654869</v>
          </cell>
          <cell r="BG73">
            <v>0</v>
          </cell>
          <cell r="BH73">
            <v>95.164387623724778</v>
          </cell>
          <cell r="BI73">
            <v>96.239526970320526</v>
          </cell>
          <cell r="BJ73">
            <v>95.790272314778733</v>
          </cell>
          <cell r="BK73">
            <v>95.790272314778733</v>
          </cell>
          <cell r="BL73">
            <v>95.790272314778733</v>
          </cell>
          <cell r="BM73">
            <v>147.1384578221701</v>
          </cell>
          <cell r="BN73">
            <v>93.794648177782051</v>
          </cell>
          <cell r="BO73">
            <v>90</v>
          </cell>
          <cell r="BP73">
            <v>100</v>
          </cell>
          <cell r="BQ73">
            <v>163.93403911092486</v>
          </cell>
          <cell r="BR73">
            <v>104.50113281298209</v>
          </cell>
          <cell r="BS73">
            <v>100.27333260360002</v>
          </cell>
          <cell r="BT73">
            <v>0.75391951520176348</v>
          </cell>
          <cell r="BU73">
            <v>0.57645767925264679</v>
          </cell>
          <cell r="BV73">
            <v>0.27</v>
          </cell>
          <cell r="BW73">
            <v>58.178082191780824</v>
          </cell>
          <cell r="BX73">
            <v>1.7615262839216106E-2</v>
          </cell>
          <cell r="BY73">
            <v>100.27333260360002</v>
          </cell>
          <cell r="BZ73">
            <v>0.75391951520176348</v>
          </cell>
          <cell r="CA73">
            <v>100.27333260360002</v>
          </cell>
          <cell r="CB73">
            <v>0.75391951520176348</v>
          </cell>
          <cell r="CC73">
            <v>75</v>
          </cell>
          <cell r="CD73">
            <v>0.33697776804800039</v>
          </cell>
          <cell r="CE73">
            <v>523.47360000000003</v>
          </cell>
          <cell r="CF73">
            <v>57.170999999999999</v>
          </cell>
          <cell r="CG73">
            <v>111.41481400400004</v>
          </cell>
        </row>
        <row r="74">
          <cell r="B74">
            <v>887695</v>
          </cell>
          <cell r="C74" t="str">
            <v>TONER 8800</v>
          </cell>
          <cell r="D74">
            <v>0</v>
          </cell>
          <cell r="E74">
            <v>112.44082864233073</v>
          </cell>
          <cell r="F74">
            <v>103.67764190274148</v>
          </cell>
          <cell r="G74">
            <v>0</v>
          </cell>
          <cell r="H74">
            <v>0</v>
          </cell>
          <cell r="I74">
            <v>0</v>
          </cell>
          <cell r="J74">
            <v>0</v>
          </cell>
          <cell r="K74">
            <v>0</v>
          </cell>
          <cell r="L74">
            <v>0</v>
          </cell>
          <cell r="M74">
            <v>110.65873776256078</v>
          </cell>
          <cell r="N74">
            <v>0</v>
          </cell>
          <cell r="O74">
            <v>122.71066085365047</v>
          </cell>
          <cell r="P74">
            <v>0</v>
          </cell>
          <cell r="Q74">
            <v>92.980259345041461</v>
          </cell>
          <cell r="R74">
            <v>0</v>
          </cell>
          <cell r="S74">
            <v>0</v>
          </cell>
          <cell r="T74">
            <v>0</v>
          </cell>
          <cell r="U74">
            <v>0</v>
          </cell>
          <cell r="V74">
            <v>0</v>
          </cell>
          <cell r="W74">
            <v>102.23030669354934</v>
          </cell>
          <cell r="X74">
            <v>95.911053556291861</v>
          </cell>
          <cell r="Y74">
            <v>92.896936105955263</v>
          </cell>
          <cell r="Z74">
            <v>0</v>
          </cell>
          <cell r="AA74">
            <v>101.67945074572918</v>
          </cell>
          <cell r="AB74">
            <v>0</v>
          </cell>
          <cell r="AC74">
            <v>97.709130518044404</v>
          </cell>
          <cell r="AD74">
            <v>97.709130518044404</v>
          </cell>
          <cell r="AE74">
            <v>0</v>
          </cell>
          <cell r="AF74">
            <v>0</v>
          </cell>
          <cell r="AG74">
            <v>104.52064028869945</v>
          </cell>
          <cell r="AH74">
            <v>0</v>
          </cell>
          <cell r="AI74">
            <v>113.93630105096824</v>
          </cell>
          <cell r="AJ74">
            <v>108.81838091537963</v>
          </cell>
          <cell r="AK74">
            <v>0</v>
          </cell>
          <cell r="AL74">
            <v>0</v>
          </cell>
          <cell r="AM74">
            <v>82.877849200042647</v>
          </cell>
          <cell r="AN74">
            <v>82.877849200042647</v>
          </cell>
          <cell r="AO74">
            <v>90.819072084476161</v>
          </cell>
          <cell r="AP74">
            <v>110.57439116775151</v>
          </cell>
          <cell r="AQ74">
            <v>110.57439116775151</v>
          </cell>
          <cell r="AR74">
            <v>93.873388578489042</v>
          </cell>
          <cell r="AS74">
            <v>105.79256783928815</v>
          </cell>
          <cell r="AT74">
            <v>0</v>
          </cell>
          <cell r="AU74">
            <v>105.79256783928815</v>
          </cell>
          <cell r="AV74">
            <v>0</v>
          </cell>
          <cell r="AW74">
            <v>0</v>
          </cell>
          <cell r="AX74">
            <v>0</v>
          </cell>
          <cell r="AY74">
            <v>0</v>
          </cell>
          <cell r="AZ74">
            <v>0</v>
          </cell>
          <cell r="BA74">
            <v>0</v>
          </cell>
          <cell r="BB74">
            <v>0</v>
          </cell>
          <cell r="BC74">
            <v>0</v>
          </cell>
          <cell r="BD74">
            <v>0</v>
          </cell>
          <cell r="BE74">
            <v>93.506083757282354</v>
          </cell>
          <cell r="BF74">
            <v>0</v>
          </cell>
          <cell r="BG74">
            <v>0</v>
          </cell>
          <cell r="BH74">
            <v>86.230013958384589</v>
          </cell>
          <cell r="BI74">
            <v>92.848141275467128</v>
          </cell>
          <cell r="BJ74">
            <v>0</v>
          </cell>
          <cell r="BK74">
            <v>93.506083757282354</v>
          </cell>
          <cell r="BL74">
            <v>92.848141275467128</v>
          </cell>
          <cell r="BM74">
            <v>122.71066085365047</v>
          </cell>
          <cell r="BN74">
            <v>82.877849200042647</v>
          </cell>
          <cell r="BO74">
            <v>90</v>
          </cell>
          <cell r="BP74">
            <v>100</v>
          </cell>
          <cell r="BQ74">
            <v>1111.9520785266961</v>
          </cell>
          <cell r="BR74">
            <v>751.00399623565374</v>
          </cell>
          <cell r="BS74">
            <v>815.54191274999994</v>
          </cell>
          <cell r="BT74">
            <v>0.19333125663395156</v>
          </cell>
          <cell r="BU74">
            <v>0.27948522226333605</v>
          </cell>
          <cell r="BV74">
            <v>0.27</v>
          </cell>
          <cell r="BW74">
            <v>804.94520547945206</v>
          </cell>
          <cell r="BX74">
            <v>0.17782576046551446</v>
          </cell>
          <cell r="BY74">
            <v>815.54191274999994</v>
          </cell>
          <cell r="BZ74">
            <v>0.19333125663395156</v>
          </cell>
          <cell r="CA74">
            <v>815.54191274999994</v>
          </cell>
          <cell r="CB74">
            <v>0.19333125663395156</v>
          </cell>
          <cell r="CD74">
            <v>0</v>
          </cell>
          <cell r="CE74">
            <v>1201.5998999999999</v>
          </cell>
          <cell r="CF74">
            <v>683.4162</v>
          </cell>
          <cell r="CG74">
            <v>906.1576808333333</v>
          </cell>
        </row>
        <row r="75">
          <cell r="B75">
            <v>887733</v>
          </cell>
          <cell r="C75" t="str">
            <v>DEVELOPER TYPE 5 (AF 3X0)</v>
          </cell>
          <cell r="D75">
            <v>0</v>
          </cell>
          <cell r="E75">
            <v>0</v>
          </cell>
          <cell r="F75">
            <v>0</v>
          </cell>
          <cell r="G75">
            <v>0</v>
          </cell>
          <cell r="H75">
            <v>0</v>
          </cell>
          <cell r="I75">
            <v>0</v>
          </cell>
          <cell r="J75">
            <v>0</v>
          </cell>
          <cell r="K75">
            <v>0</v>
          </cell>
          <cell r="L75">
            <v>0</v>
          </cell>
          <cell r="M75">
            <v>0</v>
          </cell>
          <cell r="N75">
            <v>86.039078150318815</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99.033148745359455</v>
          </cell>
          <cell r="AN75">
            <v>99.033148745359455</v>
          </cell>
          <cell r="AO75">
            <v>99.033148745359455</v>
          </cell>
          <cell r="AP75">
            <v>99.033148745359455</v>
          </cell>
          <cell r="AQ75">
            <v>99.033148745359455</v>
          </cell>
          <cell r="AR75">
            <v>99.033148745359455</v>
          </cell>
          <cell r="AS75">
            <v>0</v>
          </cell>
          <cell r="AT75">
            <v>87.253998986384161</v>
          </cell>
          <cell r="AU75">
            <v>0</v>
          </cell>
          <cell r="AV75">
            <v>0</v>
          </cell>
          <cell r="AW75">
            <v>0</v>
          </cell>
          <cell r="AX75">
            <v>130.55478081204566</v>
          </cell>
          <cell r="AY75">
            <v>0</v>
          </cell>
          <cell r="AZ75">
            <v>100.59597657972525</v>
          </cell>
          <cell r="BA75">
            <v>0</v>
          </cell>
          <cell r="BB75">
            <v>0</v>
          </cell>
          <cell r="BC75">
            <v>0</v>
          </cell>
          <cell r="BD75">
            <v>0</v>
          </cell>
          <cell r="BE75">
            <v>101.11703825592507</v>
          </cell>
          <cell r="BF75">
            <v>0</v>
          </cell>
          <cell r="BG75">
            <v>0</v>
          </cell>
          <cell r="BH75">
            <v>0</v>
          </cell>
          <cell r="BI75">
            <v>99.872686246192686</v>
          </cell>
          <cell r="BJ75">
            <v>99.250510241326481</v>
          </cell>
          <cell r="BK75">
            <v>101.11703825592507</v>
          </cell>
          <cell r="BL75">
            <v>0</v>
          </cell>
          <cell r="BM75">
            <v>130.55478081204566</v>
          </cell>
          <cell r="BN75">
            <v>86.039078150318815</v>
          </cell>
          <cell r="BO75">
            <v>90</v>
          </cell>
          <cell r="BP75">
            <v>100</v>
          </cell>
          <cell r="BQ75">
            <v>860.68702794415719</v>
          </cell>
          <cell r="BR75">
            <v>567.21567758490301</v>
          </cell>
          <cell r="BS75">
            <v>593.32819551428577</v>
          </cell>
          <cell r="BT75">
            <v>0.16654487737190915</v>
          </cell>
          <cell r="BU75">
            <v>0.3595955781763428</v>
          </cell>
          <cell r="BV75">
            <v>0.27</v>
          </cell>
          <cell r="BW75">
            <v>520.50684931506851</v>
          </cell>
          <cell r="BX75">
            <v>2.3370544828365203E-2</v>
          </cell>
          <cell r="BY75">
            <v>593.32819551428577</v>
          </cell>
          <cell r="BZ75">
            <v>0.16654487737190915</v>
          </cell>
          <cell r="CA75">
            <v>593.32819551428577</v>
          </cell>
          <cell r="CB75">
            <v>0.16654487737190915</v>
          </cell>
          <cell r="CD75">
            <v>0</v>
          </cell>
          <cell r="CE75">
            <v>988.92887600000006</v>
          </cell>
          <cell r="CF75">
            <v>508.62012000000004</v>
          </cell>
          <cell r="CG75">
            <v>659.2535505714286</v>
          </cell>
        </row>
        <row r="76">
          <cell r="B76">
            <v>887741</v>
          </cell>
          <cell r="C76" t="str">
            <v>5200DTONER</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100</v>
          </cell>
          <cell r="AN76">
            <v>100</v>
          </cell>
          <cell r="AO76">
            <v>100</v>
          </cell>
          <cell r="AP76">
            <v>100</v>
          </cell>
          <cell r="AQ76">
            <v>100</v>
          </cell>
          <cell r="AR76">
            <v>100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100</v>
          </cell>
          <cell r="BN76">
            <v>100</v>
          </cell>
          <cell r="BO76">
            <v>90</v>
          </cell>
          <cell r="BP76">
            <v>100</v>
          </cell>
          <cell r="BQ76">
            <v>516.00572</v>
          </cell>
          <cell r="BR76">
            <v>516.00572</v>
          </cell>
          <cell r="BS76">
            <v>464.405148</v>
          </cell>
          <cell r="BT76">
            <v>-0.1</v>
          </cell>
          <cell r="BU76">
            <v>0.42834397692766313</v>
          </cell>
          <cell r="BV76">
            <v>0.27</v>
          </cell>
          <cell r="BW76">
            <v>363.67123287671234</v>
          </cell>
          <cell r="BX76">
            <v>-0.29521860169163949</v>
          </cell>
          <cell r="BY76">
            <v>464.405148</v>
          </cell>
          <cell r="BZ76">
            <v>-0.1</v>
          </cell>
          <cell r="CA76">
            <v>464.405148</v>
          </cell>
          <cell r="CB76">
            <v>-0.1</v>
          </cell>
          <cell r="CE76">
            <v>516.00572</v>
          </cell>
          <cell r="CF76">
            <v>516.00572</v>
          </cell>
          <cell r="CG76">
            <v>516.00572</v>
          </cell>
        </row>
        <row r="77">
          <cell r="B77">
            <v>887748</v>
          </cell>
          <cell r="C77" t="str">
            <v>DEVELOPER TYPE 7</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100.00000011780402</v>
          </cell>
          <cell r="AN77">
            <v>100.00000011780402</v>
          </cell>
          <cell r="AO77">
            <v>100.00000011780402</v>
          </cell>
          <cell r="AP77">
            <v>100.00000011780402</v>
          </cell>
          <cell r="AQ77">
            <v>100.00000011780402</v>
          </cell>
          <cell r="AR77">
            <v>100.00000011780402</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100.00000011780402</v>
          </cell>
          <cell r="BN77">
            <v>100.00000011780402</v>
          </cell>
          <cell r="BO77">
            <v>90</v>
          </cell>
          <cell r="BP77">
            <v>100</v>
          </cell>
          <cell r="BQ77">
            <v>791.38536493228366</v>
          </cell>
          <cell r="BR77">
            <v>791.38536493228366</v>
          </cell>
          <cell r="BS77">
            <v>712.24682759999985</v>
          </cell>
          <cell r="BT77">
            <v>-0.1</v>
          </cell>
          <cell r="BU77">
            <v>0.41054142506369506</v>
          </cell>
          <cell r="BV77">
            <v>0.27</v>
          </cell>
          <cell r="BW77">
            <v>575.1232876712329</v>
          </cell>
          <cell r="BX77">
            <v>-0.27327025007852823</v>
          </cell>
          <cell r="BY77">
            <v>712.24682759999985</v>
          </cell>
          <cell r="BZ77">
            <v>-0.1</v>
          </cell>
          <cell r="CA77">
            <v>712.24682759999985</v>
          </cell>
          <cell r="CB77">
            <v>-0.1</v>
          </cell>
          <cell r="CE77">
            <v>791.38536399999998</v>
          </cell>
          <cell r="CF77">
            <v>791.38536399999998</v>
          </cell>
          <cell r="CG77">
            <v>791.38536399999987</v>
          </cell>
        </row>
        <row r="78">
          <cell r="B78">
            <v>887754</v>
          </cell>
          <cell r="C78" t="str">
            <v>1215TONER(PLOVER)</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79.91921781958051</v>
          </cell>
          <cell r="AY78">
            <v>115.62964708085089</v>
          </cell>
          <cell r="AZ78">
            <v>0</v>
          </cell>
          <cell r="BA78">
            <v>0</v>
          </cell>
          <cell r="BB78">
            <v>0</v>
          </cell>
          <cell r="BC78">
            <v>0</v>
          </cell>
          <cell r="BD78">
            <v>0</v>
          </cell>
          <cell r="BE78">
            <v>102.42949007381735</v>
          </cell>
          <cell r="BF78">
            <v>96.710959718048798</v>
          </cell>
          <cell r="BG78">
            <v>0</v>
          </cell>
          <cell r="BH78">
            <v>96.710959718048798</v>
          </cell>
          <cell r="BI78">
            <v>0</v>
          </cell>
          <cell r="BJ78">
            <v>103.0851177579182</v>
          </cell>
          <cell r="BK78">
            <v>102.42949007381735</v>
          </cell>
          <cell r="BL78">
            <v>103.0851177579182</v>
          </cell>
          <cell r="BM78">
            <v>115.62964708085089</v>
          </cell>
          <cell r="BN78">
            <v>79.91921781958051</v>
          </cell>
          <cell r="BO78">
            <v>90</v>
          </cell>
          <cell r="BP78">
            <v>100</v>
          </cell>
          <cell r="BQ78">
            <v>126.57175369095614</v>
          </cell>
          <cell r="BR78">
            <v>87.482023930772854</v>
          </cell>
          <cell r="BS78">
            <v>98.516756902499964</v>
          </cell>
          <cell r="BT78">
            <v>1.779541733010471</v>
          </cell>
          <cell r="BU78">
            <v>9.8935015818132688E-2</v>
          </cell>
          <cell r="BV78">
            <v>0.27</v>
          </cell>
          <cell r="BW78">
            <v>121.60273972602739</v>
          </cell>
          <cell r="BX78">
            <v>2.4308872982026304</v>
          </cell>
          <cell r="BY78">
            <v>121.60273972602739</v>
          </cell>
          <cell r="BZ78">
            <v>2.4308872982026304</v>
          </cell>
          <cell r="CA78">
            <v>121.60273972602739</v>
          </cell>
          <cell r="CB78">
            <v>2.4308872982026304</v>
          </cell>
          <cell r="CE78">
            <v>167.07532399999999</v>
          </cell>
          <cell r="CF78">
            <v>35.443525000000001</v>
          </cell>
          <cell r="CG78">
            <v>109.46306322499997</v>
          </cell>
        </row>
        <row r="79">
          <cell r="B79">
            <v>887797</v>
          </cell>
          <cell r="C79" t="str">
            <v>DEVELOPER TYPE 9</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90</v>
          </cell>
          <cell r="BP79">
            <v>100</v>
          </cell>
          <cell r="BQ79" t="e">
            <v>#DIV/0!</v>
          </cell>
          <cell r="BR79" t="e">
            <v>#DIV/0!</v>
          </cell>
          <cell r="BS79" t="e">
            <v>#DIV/0!</v>
          </cell>
          <cell r="BT79" t="e">
            <v>#DIV/0!</v>
          </cell>
          <cell r="BU79" t="e">
            <v>#DIV/0!</v>
          </cell>
          <cell r="BV79">
            <v>0.27</v>
          </cell>
          <cell r="BW79">
            <v>0</v>
          </cell>
          <cell r="BX79" t="e">
            <v>#DIV/0!</v>
          </cell>
          <cell r="BY79" t="e">
            <v>#DIV/0!</v>
          </cell>
          <cell r="BZ79" t="e">
            <v>#DIV/0!</v>
          </cell>
          <cell r="CA79" t="e">
            <v>#DIV/0!</v>
          </cell>
          <cell r="CB79" t="e">
            <v>#DIV/0!</v>
          </cell>
          <cell r="CE79">
            <v>0</v>
          </cell>
          <cell r="CF79">
            <v>0</v>
          </cell>
          <cell r="CG79" t="e">
            <v>#DIV/0!</v>
          </cell>
        </row>
        <row r="80">
          <cell r="B80">
            <v>887802</v>
          </cell>
          <cell r="C80" t="str">
            <v>TONTYPE6205</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90</v>
          </cell>
          <cell r="BP80">
            <v>100</v>
          </cell>
          <cell r="BQ80" t="e">
            <v>#DIV/0!</v>
          </cell>
          <cell r="BR80" t="e">
            <v>#DIV/0!</v>
          </cell>
          <cell r="BS80" t="e">
            <v>#DIV/0!</v>
          </cell>
          <cell r="BT80" t="e">
            <v>#DIV/0!</v>
          </cell>
          <cell r="BU80" t="e">
            <v>#DIV/0!</v>
          </cell>
          <cell r="BV80">
            <v>0.27</v>
          </cell>
          <cell r="BW80">
            <v>0</v>
          </cell>
          <cell r="BX80" t="e">
            <v>#DIV/0!</v>
          </cell>
          <cell r="BY80" t="e">
            <v>#DIV/0!</v>
          </cell>
          <cell r="BZ80" t="e">
            <v>#DIV/0!</v>
          </cell>
          <cell r="CA80" t="e">
            <v>#DIV/0!</v>
          </cell>
          <cell r="CB80" t="e">
            <v>#DIV/0!</v>
          </cell>
          <cell r="CE80">
            <v>0</v>
          </cell>
          <cell r="CF80">
            <v>0</v>
          </cell>
          <cell r="CG80" t="e">
            <v>#DIV/0!</v>
          </cell>
        </row>
        <row r="81">
          <cell r="B81">
            <v>889015</v>
          </cell>
          <cell r="C81" t="str">
            <v>MAST. UNIT M10</v>
          </cell>
          <cell r="D81">
            <v>99.845702811628385</v>
          </cell>
          <cell r="E81">
            <v>0</v>
          </cell>
          <cell r="F81">
            <v>0</v>
          </cell>
          <cell r="G81">
            <v>0</v>
          </cell>
          <cell r="H81">
            <v>0</v>
          </cell>
          <cell r="I81">
            <v>89.738908403940101</v>
          </cell>
          <cell r="J81">
            <v>0</v>
          </cell>
          <cell r="K81">
            <v>0</v>
          </cell>
          <cell r="L81">
            <v>0</v>
          </cell>
          <cell r="M81">
            <v>0</v>
          </cell>
          <cell r="N81">
            <v>0</v>
          </cell>
          <cell r="O81">
            <v>0</v>
          </cell>
          <cell r="P81">
            <v>0</v>
          </cell>
          <cell r="Q81">
            <v>0</v>
          </cell>
          <cell r="R81">
            <v>0</v>
          </cell>
          <cell r="S81">
            <v>0</v>
          </cell>
          <cell r="T81">
            <v>0</v>
          </cell>
          <cell r="U81">
            <v>0</v>
          </cell>
          <cell r="V81">
            <v>0</v>
          </cell>
          <cell r="W81">
            <v>79.466553446891595</v>
          </cell>
          <cell r="X81">
            <v>0</v>
          </cell>
          <cell r="Y81">
            <v>0</v>
          </cell>
          <cell r="Z81">
            <v>0</v>
          </cell>
          <cell r="AA81">
            <v>0</v>
          </cell>
          <cell r="AB81">
            <v>0</v>
          </cell>
          <cell r="AC81">
            <v>0</v>
          </cell>
          <cell r="AD81">
            <v>0</v>
          </cell>
          <cell r="AE81">
            <v>0</v>
          </cell>
          <cell r="AF81">
            <v>97.09239666439106</v>
          </cell>
          <cell r="AG81">
            <v>98.763468245319402</v>
          </cell>
          <cell r="AH81">
            <v>0</v>
          </cell>
          <cell r="AI81">
            <v>0</v>
          </cell>
          <cell r="AJ81">
            <v>114.90379162164587</v>
          </cell>
          <cell r="AK81">
            <v>94.307277362843848</v>
          </cell>
          <cell r="AL81">
            <v>97.09239666439106</v>
          </cell>
          <cell r="AM81">
            <v>110.96547699585867</v>
          </cell>
          <cell r="AN81">
            <v>110.96547699585867</v>
          </cell>
          <cell r="AO81">
            <v>110.96547699585867</v>
          </cell>
          <cell r="AP81">
            <v>110.96547699585867</v>
          </cell>
          <cell r="AQ81">
            <v>110.96547699585867</v>
          </cell>
          <cell r="AR81">
            <v>110.96547699585867</v>
          </cell>
          <cell r="AS81">
            <v>93.399040194418092</v>
          </cell>
          <cell r="AT81">
            <v>0</v>
          </cell>
          <cell r="AU81">
            <v>93.399040194418092</v>
          </cell>
          <cell r="AV81">
            <v>93.399040194418092</v>
          </cell>
          <cell r="AW81">
            <v>0</v>
          </cell>
          <cell r="AX81">
            <v>0</v>
          </cell>
          <cell r="AY81">
            <v>0</v>
          </cell>
          <cell r="AZ81">
            <v>0</v>
          </cell>
          <cell r="BA81">
            <v>0</v>
          </cell>
          <cell r="BB81">
            <v>0</v>
          </cell>
          <cell r="BC81">
            <v>0</v>
          </cell>
          <cell r="BD81">
            <v>91.399761110270944</v>
          </cell>
          <cell r="BE81">
            <v>0</v>
          </cell>
          <cell r="BF81">
            <v>91.399761110270944</v>
          </cell>
          <cell r="BG81">
            <v>0</v>
          </cell>
          <cell r="BH81">
            <v>0</v>
          </cell>
          <cell r="BI81">
            <v>0</v>
          </cell>
          <cell r="BJ81">
            <v>0</v>
          </cell>
          <cell r="BK81">
            <v>0</v>
          </cell>
          <cell r="BL81">
            <v>0</v>
          </cell>
          <cell r="BM81">
            <v>114.90379162164587</v>
          </cell>
          <cell r="BN81">
            <v>79.466553446891595</v>
          </cell>
          <cell r="BO81">
            <v>90</v>
          </cell>
          <cell r="BP81">
            <v>100</v>
          </cell>
          <cell r="BQ81">
            <v>392.89112512805082</v>
          </cell>
          <cell r="BR81">
            <v>271.72039454193259</v>
          </cell>
          <cell r="BS81">
            <v>307.73746246736852</v>
          </cell>
          <cell r="BT81">
            <v>0.19267241229680643</v>
          </cell>
          <cell r="BU81">
            <v>0.22043940287108132</v>
          </cell>
          <cell r="BV81">
            <v>0.27</v>
          </cell>
          <cell r="BW81">
            <v>328.63013698630141</v>
          </cell>
          <cell r="BX81">
            <v>0.27364440809491275</v>
          </cell>
          <cell r="BY81">
            <v>328.63013698630141</v>
          </cell>
          <cell r="BZ81">
            <v>0.27364440809491275</v>
          </cell>
          <cell r="CA81">
            <v>328.63013698630141</v>
          </cell>
          <cell r="CB81">
            <v>0.27364440809491275</v>
          </cell>
          <cell r="CD81">
            <v>0</v>
          </cell>
          <cell r="CE81">
            <v>402.83277119999997</v>
          </cell>
          <cell r="CF81">
            <v>258.02346</v>
          </cell>
          <cell r="CG81">
            <v>341.93051385263169</v>
          </cell>
        </row>
        <row r="82">
          <cell r="B82">
            <v>889207</v>
          </cell>
          <cell r="C82" t="str">
            <v>TONER M5 RED</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90</v>
          </cell>
          <cell r="BP82">
            <v>100</v>
          </cell>
          <cell r="BQ82" t="e">
            <v>#DIV/0!</v>
          </cell>
          <cell r="BR82" t="e">
            <v>#DIV/0!</v>
          </cell>
          <cell r="BS82" t="e">
            <v>#DIV/0!</v>
          </cell>
          <cell r="BT82" t="e">
            <v>#DIV/0!</v>
          </cell>
          <cell r="BU82" t="e">
            <v>#DIV/0!</v>
          </cell>
          <cell r="BV82">
            <v>0.27</v>
          </cell>
          <cell r="BW82">
            <v>110.68493150684931</v>
          </cell>
          <cell r="BX82" t="e">
            <v>#DIV/0!</v>
          </cell>
          <cell r="BY82" t="e">
            <v>#DIV/0!</v>
          </cell>
          <cell r="BZ82" t="e">
            <v>#DIV/0!</v>
          </cell>
          <cell r="CA82">
            <v>134.66999999999999</v>
          </cell>
          <cell r="CB82" t="e">
            <v>#DIV/0!</v>
          </cell>
          <cell r="CE82">
            <v>0</v>
          </cell>
          <cell r="CF82">
            <v>0</v>
          </cell>
          <cell r="CG82" t="e">
            <v>#DIV/0!</v>
          </cell>
        </row>
        <row r="83">
          <cell r="B83">
            <v>889213</v>
          </cell>
          <cell r="C83" t="str">
            <v>TONER M5 BLUE</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t="e">
            <v>#DIV/0!</v>
          </cell>
          <cell r="BM83" t="e">
            <v>#DIV/0!</v>
          </cell>
          <cell r="BN83" t="e">
            <v>#DIV/0!</v>
          </cell>
          <cell r="BO83">
            <v>90</v>
          </cell>
          <cell r="BP83">
            <v>100</v>
          </cell>
          <cell r="BQ83" t="e">
            <v>#DIV/0!</v>
          </cell>
          <cell r="BR83" t="e">
            <v>#DIV/0!</v>
          </cell>
          <cell r="BS83">
            <v>123.25178159999997</v>
          </cell>
          <cell r="BT83">
            <v>-0.1</v>
          </cell>
          <cell r="BU83">
            <v>0.34443138305109888</v>
          </cell>
          <cell r="BV83">
            <v>0.27</v>
          </cell>
          <cell r="BW83">
            <v>110.68493150684931</v>
          </cell>
          <cell r="BX83">
            <v>-0.19176471883012203</v>
          </cell>
          <cell r="BY83">
            <v>123.25178159999997</v>
          </cell>
          <cell r="BZ83">
            <v>-0.1</v>
          </cell>
          <cell r="CA83">
            <v>134.66999999999999</v>
          </cell>
          <cell r="CB83">
            <v>-1.6622734157702324E-2</v>
          </cell>
          <cell r="CE83">
            <v>136.94642399999998</v>
          </cell>
          <cell r="CF83">
            <v>136.94642399999998</v>
          </cell>
          <cell r="CG83">
            <v>136.94642399999998</v>
          </cell>
        </row>
        <row r="84">
          <cell r="B84">
            <v>889219</v>
          </cell>
          <cell r="C84" t="str">
            <v>TONER M5 GREEN</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90</v>
          </cell>
          <cell r="BP84">
            <v>100</v>
          </cell>
          <cell r="BQ84" t="e">
            <v>#DIV/0!</v>
          </cell>
          <cell r="BR84" t="e">
            <v>#DIV/0!</v>
          </cell>
          <cell r="BS84" t="e">
            <v>#DIV/0!</v>
          </cell>
          <cell r="BT84" t="e">
            <v>#DIV/0!</v>
          </cell>
          <cell r="BU84" t="e">
            <v>#DIV/0!</v>
          </cell>
          <cell r="BV84">
            <v>0.27</v>
          </cell>
          <cell r="BW84">
            <v>110.68493150684931</v>
          </cell>
          <cell r="BX84" t="e">
            <v>#DIV/0!</v>
          </cell>
          <cell r="BY84" t="e">
            <v>#DIV/0!</v>
          </cell>
          <cell r="BZ84" t="e">
            <v>#DIV/0!</v>
          </cell>
          <cell r="CA84">
            <v>134.66999999999999</v>
          </cell>
          <cell r="CB84" t="e">
            <v>#DIV/0!</v>
          </cell>
          <cell r="CE84">
            <v>0</v>
          </cell>
          <cell r="CF84">
            <v>0</v>
          </cell>
          <cell r="CG84" t="e">
            <v>#DIV/0!</v>
          </cell>
        </row>
        <row r="85">
          <cell r="B85">
            <v>889260</v>
          </cell>
          <cell r="C85" t="str">
            <v>MAST. UNIT M5/M50</v>
          </cell>
          <cell r="D85">
            <v>92.671724439889076</v>
          </cell>
          <cell r="E85">
            <v>93.458885014857216</v>
          </cell>
          <cell r="F85">
            <v>101.92086119576469</v>
          </cell>
          <cell r="G85">
            <v>0</v>
          </cell>
          <cell r="H85">
            <v>116.97530719203029</v>
          </cell>
          <cell r="I85">
            <v>110.38283737667214</v>
          </cell>
          <cell r="J85">
            <v>115.46002308521663</v>
          </cell>
          <cell r="K85">
            <v>0</v>
          </cell>
          <cell r="L85">
            <v>86.649158880807875</v>
          </cell>
          <cell r="M85">
            <v>93.214266994580115</v>
          </cell>
          <cell r="N85">
            <v>93.214266994580115</v>
          </cell>
          <cell r="O85">
            <v>0</v>
          </cell>
          <cell r="P85">
            <v>92.891611842802121</v>
          </cell>
          <cell r="Q85">
            <v>92.072202479818401</v>
          </cell>
          <cell r="R85">
            <v>111.99015314926879</v>
          </cell>
          <cell r="S85">
            <v>98.87960334152929</v>
          </cell>
          <cell r="T85">
            <v>0</v>
          </cell>
          <cell r="U85">
            <v>92.072202479818401</v>
          </cell>
          <cell r="V85">
            <v>92.072202479818401</v>
          </cell>
          <cell r="W85">
            <v>80.712532915671773</v>
          </cell>
          <cell r="X85">
            <v>106.6950097619608</v>
          </cell>
          <cell r="Y85">
            <v>108.96110391940299</v>
          </cell>
          <cell r="Z85">
            <v>114.45560619155729</v>
          </cell>
          <cell r="AA85">
            <v>0</v>
          </cell>
          <cell r="AB85">
            <v>108.91232302755981</v>
          </cell>
          <cell r="AC85">
            <v>108.91232302755981</v>
          </cell>
          <cell r="AD85">
            <v>0</v>
          </cell>
          <cell r="AE85">
            <v>0</v>
          </cell>
          <cell r="AF85">
            <v>83.546526116542211</v>
          </cell>
          <cell r="AG85">
            <v>87.129995918027163</v>
          </cell>
          <cell r="AH85">
            <v>101.91180884915255</v>
          </cell>
          <cell r="AI85">
            <v>104.59941120026626</v>
          </cell>
          <cell r="AJ85">
            <v>95.19280297136828</v>
          </cell>
          <cell r="AK85">
            <v>88.02586336839839</v>
          </cell>
          <cell r="AL85">
            <v>88.473797093584011</v>
          </cell>
          <cell r="AM85">
            <v>109.78100496256084</v>
          </cell>
          <cell r="AN85">
            <v>109.78100496256084</v>
          </cell>
          <cell r="AO85">
            <v>114.20300124650628</v>
          </cell>
          <cell r="AP85">
            <v>107.31692663717946</v>
          </cell>
          <cell r="AQ85">
            <v>114.20300124650628</v>
          </cell>
          <cell r="AR85">
            <v>106.82171309600911</v>
          </cell>
          <cell r="AS85">
            <v>107.74540470480403</v>
          </cell>
          <cell r="AT85">
            <v>107.74540470480403</v>
          </cell>
          <cell r="AU85">
            <v>86.927902279911279</v>
          </cell>
          <cell r="AV85">
            <v>95.941666216462778</v>
          </cell>
          <cell r="AW85">
            <v>107.74540470480403</v>
          </cell>
          <cell r="AX85">
            <v>0</v>
          </cell>
          <cell r="AY85">
            <v>107.74540470480403</v>
          </cell>
          <cell r="AZ85">
            <v>107.74540470480403</v>
          </cell>
          <cell r="BA85">
            <v>107.74540470480403</v>
          </cell>
          <cell r="BB85">
            <v>95.941666216462778</v>
          </cell>
          <cell r="BC85">
            <v>0</v>
          </cell>
          <cell r="BD85">
            <v>83.361467814009501</v>
          </cell>
          <cell r="BE85">
            <v>97.761065875612502</v>
          </cell>
          <cell r="BF85">
            <v>91.816277685042451</v>
          </cell>
          <cell r="BG85">
            <v>0</v>
          </cell>
          <cell r="BH85">
            <v>89.174149600344663</v>
          </cell>
          <cell r="BI85">
            <v>0</v>
          </cell>
          <cell r="BJ85">
            <v>0</v>
          </cell>
          <cell r="BK85">
            <v>94.88114626329191</v>
          </cell>
          <cell r="BL85">
            <v>94.161166360211752</v>
          </cell>
          <cell r="BM85">
            <v>116.97530719203029</v>
          </cell>
          <cell r="BN85">
            <v>80.712532915671773</v>
          </cell>
          <cell r="BO85">
            <v>90</v>
          </cell>
          <cell r="BP85">
            <v>100</v>
          </cell>
          <cell r="BQ85">
            <v>441.27652306892219</v>
          </cell>
          <cell r="BR85">
            <v>304.47918238542735</v>
          </cell>
          <cell r="BS85">
            <v>339.51513383081618</v>
          </cell>
          <cell r="BT85">
            <v>0.21590339948104575</v>
          </cell>
          <cell r="BU85">
            <v>0.29973666470351445</v>
          </cell>
          <cell r="BV85">
            <v>0.27</v>
          </cell>
          <cell r="BW85">
            <v>325.6849315068493</v>
          </cell>
          <cell r="BX85">
            <v>0.16637338345059183</v>
          </cell>
          <cell r="BY85">
            <v>339.51513383081618</v>
          </cell>
          <cell r="BZ85">
            <v>0.21590339948104575</v>
          </cell>
          <cell r="CA85">
            <v>339.51513383081618</v>
          </cell>
          <cell r="CB85">
            <v>0.21590339948104575</v>
          </cell>
          <cell r="CD85">
            <v>0</v>
          </cell>
          <cell r="CE85">
            <v>463.5</v>
          </cell>
          <cell r="CF85">
            <v>279.2287068</v>
          </cell>
          <cell r="CG85">
            <v>377.23903758979577</v>
          </cell>
        </row>
        <row r="86">
          <cell r="B86">
            <v>889268</v>
          </cell>
          <cell r="C86" t="str">
            <v>DEVELOPER 310</v>
          </cell>
          <cell r="D86">
            <v>0</v>
          </cell>
          <cell r="E86">
            <v>95.794973842930602</v>
          </cell>
          <cell r="F86">
            <v>101.79826428251486</v>
          </cell>
          <cell r="G86">
            <v>0</v>
          </cell>
          <cell r="H86">
            <v>0</v>
          </cell>
          <cell r="I86">
            <v>107.80155472209911</v>
          </cell>
          <cell r="J86">
            <v>111.40352898584966</v>
          </cell>
          <cell r="K86">
            <v>0</v>
          </cell>
          <cell r="L86">
            <v>88.970825322831772</v>
          </cell>
          <cell r="M86">
            <v>94.024958789078326</v>
          </cell>
          <cell r="N86">
            <v>94.024958789078326</v>
          </cell>
          <cell r="O86">
            <v>100.94692418850296</v>
          </cell>
          <cell r="P86">
            <v>0</v>
          </cell>
          <cell r="Q86">
            <v>99.436851610684684</v>
          </cell>
          <cell r="R86">
            <v>104.79988009843545</v>
          </cell>
          <cell r="S86">
            <v>126.77521634092639</v>
          </cell>
          <cell r="T86">
            <v>146.52685784459382</v>
          </cell>
          <cell r="U86">
            <v>99.436851610684684</v>
          </cell>
          <cell r="V86">
            <v>99.436851610684684</v>
          </cell>
          <cell r="W86">
            <v>89.283030240142423</v>
          </cell>
          <cell r="X86">
            <v>95.136088458992219</v>
          </cell>
          <cell r="Y86">
            <v>95.136088458992219</v>
          </cell>
          <cell r="Z86">
            <v>99.673128870773567</v>
          </cell>
          <cell r="AA86">
            <v>99.673128870773567</v>
          </cell>
          <cell r="AB86">
            <v>96.433700422605142</v>
          </cell>
          <cell r="AC86">
            <v>96.433700422605142</v>
          </cell>
          <cell r="AD86">
            <v>96.433700422605142</v>
          </cell>
          <cell r="AE86">
            <v>0</v>
          </cell>
          <cell r="AF86">
            <v>94.247186715990182</v>
          </cell>
          <cell r="AG86">
            <v>95.641542807682185</v>
          </cell>
          <cell r="AH86">
            <v>124.45823536931701</v>
          </cell>
          <cell r="AI86">
            <v>114.23295736357562</v>
          </cell>
          <cell r="AJ86">
            <v>106.33160617732091</v>
          </cell>
          <cell r="AK86">
            <v>96.571113535476854</v>
          </cell>
          <cell r="AL86">
            <v>96.571113535476854</v>
          </cell>
          <cell r="AM86">
            <v>101.38149870794052</v>
          </cell>
          <cell r="AN86">
            <v>101.38149870794052</v>
          </cell>
          <cell r="AO86">
            <v>102.8635326523091</v>
          </cell>
          <cell r="AP86">
            <v>102.85271488629182</v>
          </cell>
          <cell r="AQ86">
            <v>102.8635326523091</v>
          </cell>
          <cell r="AR86">
            <v>101.42476977200967</v>
          </cell>
          <cell r="AS86">
            <v>92.306122807191272</v>
          </cell>
          <cell r="AT86">
            <v>92.306122807191272</v>
          </cell>
          <cell r="AU86">
            <v>89.633874458335185</v>
          </cell>
          <cell r="AV86">
            <v>89.633874458335185</v>
          </cell>
          <cell r="AW86">
            <v>95.64643324326137</v>
          </cell>
          <cell r="AX86">
            <v>92.306122807191272</v>
          </cell>
          <cell r="AY86">
            <v>92.306122807191272</v>
          </cell>
          <cell r="AZ86">
            <v>92.306122807191272</v>
          </cell>
          <cell r="BA86">
            <v>107.53793839567092</v>
          </cell>
          <cell r="BB86">
            <v>92.306122807191272</v>
          </cell>
          <cell r="BC86">
            <v>0</v>
          </cell>
          <cell r="BD86">
            <v>94.374611660409158</v>
          </cell>
          <cell r="BE86">
            <v>99.857665935015348</v>
          </cell>
          <cell r="BF86">
            <v>94.374611660409158</v>
          </cell>
          <cell r="BG86">
            <v>0</v>
          </cell>
          <cell r="BH86">
            <v>94.374611660409158</v>
          </cell>
          <cell r="BI86">
            <v>100.40597136247597</v>
          </cell>
          <cell r="BJ86">
            <v>100.40597136247597</v>
          </cell>
          <cell r="BK86">
            <v>99.857665935015348</v>
          </cell>
          <cell r="BL86">
            <v>99.857665935015348</v>
          </cell>
          <cell r="BM86">
            <v>146.52685784459382</v>
          </cell>
          <cell r="BN86">
            <v>88.970825322831772</v>
          </cell>
          <cell r="BO86">
            <v>90</v>
          </cell>
          <cell r="BP86">
            <v>100</v>
          </cell>
          <cell r="BQ86">
            <v>187.40296791858461</v>
          </cell>
          <cell r="BR86">
            <v>113.79072047902929</v>
          </cell>
          <cell r="BS86">
            <v>115.10700059207544</v>
          </cell>
          <cell r="BT86">
            <v>0.14091585481291946</v>
          </cell>
          <cell r="BU86">
            <v>0.41358909837976399</v>
          </cell>
          <cell r="BV86">
            <v>0.27</v>
          </cell>
          <cell r="BW86">
            <v>92.465753424657535</v>
          </cell>
          <cell r="BX86">
            <v>-8.3499321789498149E-2</v>
          </cell>
          <cell r="BY86">
            <v>115.10700059207544</v>
          </cell>
          <cell r="BZ86">
            <v>0.14091585481291946</v>
          </cell>
          <cell r="CA86">
            <v>115.10700059207544</v>
          </cell>
          <cell r="CB86">
            <v>0.14091585481291946</v>
          </cell>
          <cell r="CD86">
            <v>0</v>
          </cell>
          <cell r="CE86">
            <v>241.82499000000001</v>
          </cell>
          <cell r="CF86">
            <v>100.89</v>
          </cell>
          <cell r="CG86">
            <v>127.89666732452827</v>
          </cell>
        </row>
        <row r="87">
          <cell r="B87">
            <v>889280</v>
          </cell>
          <cell r="C87" t="str">
            <v>TONER 510 RED</v>
          </cell>
          <cell r="D87">
            <v>0</v>
          </cell>
          <cell r="E87">
            <v>89.772827990660176</v>
          </cell>
          <cell r="F87">
            <v>109.75618382469916</v>
          </cell>
          <cell r="G87">
            <v>0</v>
          </cell>
          <cell r="H87">
            <v>0</v>
          </cell>
          <cell r="I87">
            <v>100.47098818464065</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109.75618382469916</v>
          </cell>
          <cell r="BN87">
            <v>89.772827990660176</v>
          </cell>
          <cell r="BO87">
            <v>90</v>
          </cell>
          <cell r="BP87">
            <v>100</v>
          </cell>
          <cell r="BQ87">
            <v>184.97575513922632</v>
          </cell>
          <cell r="BR87">
            <v>151.29713944025929</v>
          </cell>
          <cell r="BS87">
            <v>151.68</v>
          </cell>
          <cell r="BT87">
            <v>-4.2424242424242364E-2</v>
          </cell>
          <cell r="BU87">
            <v>0.44040084388185663</v>
          </cell>
          <cell r="BV87">
            <v>0.27</v>
          </cell>
          <cell r="BW87">
            <v>116.27397260273972</v>
          </cell>
          <cell r="BX87">
            <v>-0.2659471426594715</v>
          </cell>
          <cell r="BY87">
            <v>151.68</v>
          </cell>
          <cell r="BZ87">
            <v>-4.2424242424242364E-2</v>
          </cell>
          <cell r="CA87">
            <v>151.68</v>
          </cell>
          <cell r="CB87">
            <v>-4.2424242424242364E-2</v>
          </cell>
          <cell r="CD87">
            <v>0</v>
          </cell>
          <cell r="CE87">
            <v>178.2</v>
          </cell>
          <cell r="CF87">
            <v>158.4</v>
          </cell>
          <cell r="CG87">
            <v>168.53333333333333</v>
          </cell>
        </row>
        <row r="88">
          <cell r="B88">
            <v>889283</v>
          </cell>
          <cell r="C88" t="str">
            <v>TONER 510 BLUE</v>
          </cell>
          <cell r="D88">
            <v>0</v>
          </cell>
          <cell r="E88">
            <v>85.757193160950123</v>
          </cell>
          <cell r="F88">
            <v>93.184974444495822</v>
          </cell>
          <cell r="G88">
            <v>0</v>
          </cell>
          <cell r="H88">
            <v>0</v>
          </cell>
          <cell r="I88">
            <v>89.733682130929125</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107.83103756590623</v>
          </cell>
          <cell r="AT88">
            <v>0</v>
          </cell>
          <cell r="AU88">
            <v>107.83103756590623</v>
          </cell>
          <cell r="AV88">
            <v>107.83103756590623</v>
          </cell>
          <cell r="AW88">
            <v>0</v>
          </cell>
          <cell r="AX88">
            <v>0</v>
          </cell>
          <cell r="AY88">
            <v>0</v>
          </cell>
          <cell r="AZ88">
            <v>0</v>
          </cell>
          <cell r="BA88">
            <v>107.83103756590623</v>
          </cell>
          <cell r="BB88">
            <v>0</v>
          </cell>
          <cell r="BC88">
            <v>0</v>
          </cell>
          <cell r="BD88">
            <v>0</v>
          </cell>
          <cell r="BE88">
            <v>0</v>
          </cell>
          <cell r="BF88">
            <v>0</v>
          </cell>
          <cell r="BG88">
            <v>0</v>
          </cell>
          <cell r="BH88">
            <v>0</v>
          </cell>
          <cell r="BI88">
            <v>0</v>
          </cell>
          <cell r="BJ88">
            <v>0</v>
          </cell>
          <cell r="BK88">
            <v>0</v>
          </cell>
          <cell r="BL88">
            <v>0</v>
          </cell>
          <cell r="BM88">
            <v>107.83103756590623</v>
          </cell>
          <cell r="BN88">
            <v>85.757193160950123</v>
          </cell>
          <cell r="BO88">
            <v>90</v>
          </cell>
          <cell r="BP88">
            <v>100</v>
          </cell>
          <cell r="BQ88">
            <v>211.74413851582867</v>
          </cell>
          <cell r="BR88">
            <v>168.39848152534367</v>
          </cell>
          <cell r="BS88">
            <v>176.72993691428573</v>
          </cell>
          <cell r="BT88">
            <v>0.11571929870129871</v>
          </cell>
          <cell r="BU88">
            <v>0.51971917445335292</v>
          </cell>
          <cell r="BV88">
            <v>0.27</v>
          </cell>
          <cell r="BW88">
            <v>116.27397260273972</v>
          </cell>
          <cell r="BX88">
            <v>-0.2659471426594715</v>
          </cell>
          <cell r="BY88">
            <v>176.72993691428573</v>
          </cell>
          <cell r="BZ88">
            <v>0.11571929870129871</v>
          </cell>
          <cell r="CA88">
            <v>151.68</v>
          </cell>
          <cell r="CB88">
            <v>-4.2424242424242364E-2</v>
          </cell>
          <cell r="CD88">
            <v>0</v>
          </cell>
          <cell r="CE88">
            <v>217.241544</v>
          </cell>
          <cell r="CF88">
            <v>158.4</v>
          </cell>
          <cell r="CG88">
            <v>196.36659657142857</v>
          </cell>
        </row>
        <row r="89">
          <cell r="B89">
            <v>889286</v>
          </cell>
          <cell r="C89" t="str">
            <v>TONER 510 GREEN</v>
          </cell>
          <cell r="D89">
            <v>0</v>
          </cell>
          <cell r="E89">
            <v>89.772827990660176</v>
          </cell>
          <cell r="F89">
            <v>109.75618382469916</v>
          </cell>
          <cell r="G89">
            <v>0</v>
          </cell>
          <cell r="H89">
            <v>0</v>
          </cell>
          <cell r="I89">
            <v>100.47098818464065</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109.75618382469916</v>
          </cell>
          <cell r="BN89">
            <v>89.772827990660176</v>
          </cell>
          <cell r="BO89">
            <v>90</v>
          </cell>
          <cell r="BP89">
            <v>100</v>
          </cell>
          <cell r="BQ89">
            <v>184.97575513922632</v>
          </cell>
          <cell r="BR89">
            <v>151.29713944025929</v>
          </cell>
          <cell r="BS89">
            <v>151.68</v>
          </cell>
          <cell r="BT89">
            <v>-4.2424242424242364E-2</v>
          </cell>
          <cell r="BU89">
            <v>0.44040084388185663</v>
          </cell>
          <cell r="BV89">
            <v>0.27</v>
          </cell>
          <cell r="BW89">
            <v>116.27397260273972</v>
          </cell>
          <cell r="BX89">
            <v>-0.2659471426594715</v>
          </cell>
          <cell r="BY89">
            <v>151.68</v>
          </cell>
          <cell r="BZ89">
            <v>-4.2424242424242364E-2</v>
          </cell>
          <cell r="CA89">
            <v>151.68</v>
          </cell>
          <cell r="CB89">
            <v>-4.2424242424242364E-2</v>
          </cell>
          <cell r="CD89">
            <v>0</v>
          </cell>
          <cell r="CE89">
            <v>178.2</v>
          </cell>
          <cell r="CF89">
            <v>158.4</v>
          </cell>
          <cell r="CG89">
            <v>168.53333333333333</v>
          </cell>
        </row>
        <row r="90">
          <cell r="B90">
            <v>889305</v>
          </cell>
          <cell r="C90" t="str">
            <v>TONER 2050 RED</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90</v>
          </cell>
          <cell r="BP90">
            <v>100</v>
          </cell>
          <cell r="BQ90" t="e">
            <v>#DIV/0!</v>
          </cell>
          <cell r="BR90" t="e">
            <v>#DIV/0!</v>
          </cell>
          <cell r="BS90" t="e">
            <v>#DIV/0!</v>
          </cell>
          <cell r="BT90" t="e">
            <v>#DIV/0!</v>
          </cell>
          <cell r="BU90" t="e">
            <v>#DIV/0!</v>
          </cell>
          <cell r="BV90">
            <v>0.27</v>
          </cell>
          <cell r="BW90">
            <v>141.87671232876713</v>
          </cell>
          <cell r="BX90" t="e">
            <v>#DIV/0!</v>
          </cell>
          <cell r="BY90" t="e">
            <v>#DIV/0!</v>
          </cell>
          <cell r="BZ90" t="e">
            <v>#DIV/0!</v>
          </cell>
          <cell r="CA90">
            <v>172.62</v>
          </cell>
          <cell r="CB90" t="e">
            <v>#DIV/0!</v>
          </cell>
          <cell r="CE90">
            <v>0</v>
          </cell>
          <cell r="CF90">
            <v>0</v>
          </cell>
          <cell r="CG90" t="e">
            <v>#DIV/0!</v>
          </cell>
        </row>
        <row r="91">
          <cell r="B91">
            <v>889309</v>
          </cell>
          <cell r="C91" t="str">
            <v>TONER 2050 BLUE</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90</v>
          </cell>
          <cell r="BP91">
            <v>100</v>
          </cell>
          <cell r="BQ91" t="e">
            <v>#DIV/0!</v>
          </cell>
          <cell r="BR91" t="e">
            <v>#DIV/0!</v>
          </cell>
          <cell r="BS91" t="e">
            <v>#DIV/0!</v>
          </cell>
          <cell r="BT91" t="e">
            <v>#DIV/0!</v>
          </cell>
          <cell r="BU91" t="e">
            <v>#DIV/0!</v>
          </cell>
          <cell r="BV91">
            <v>0.27</v>
          </cell>
          <cell r="BW91">
            <v>141.87671232876713</v>
          </cell>
          <cell r="BX91" t="e">
            <v>#DIV/0!</v>
          </cell>
          <cell r="BY91" t="e">
            <v>#DIV/0!</v>
          </cell>
          <cell r="BZ91" t="e">
            <v>#DIV/0!</v>
          </cell>
          <cell r="CA91">
            <v>172.62</v>
          </cell>
          <cell r="CB91" t="e">
            <v>#DIV/0!</v>
          </cell>
          <cell r="CE91">
            <v>0</v>
          </cell>
          <cell r="CF91">
            <v>0</v>
          </cell>
          <cell r="CG91" t="e">
            <v>#DIV/0!</v>
          </cell>
        </row>
        <row r="92">
          <cell r="B92">
            <v>889313</v>
          </cell>
          <cell r="C92" t="str">
            <v>TONER 2050 GREEN</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90</v>
          </cell>
          <cell r="BP92">
            <v>100</v>
          </cell>
          <cell r="BQ92" t="e">
            <v>#DIV/0!</v>
          </cell>
          <cell r="BR92" t="e">
            <v>#DIV/0!</v>
          </cell>
          <cell r="BS92" t="e">
            <v>#DIV/0!</v>
          </cell>
          <cell r="BT92" t="e">
            <v>#DIV/0!</v>
          </cell>
          <cell r="BU92" t="e">
            <v>#DIV/0!</v>
          </cell>
          <cell r="BV92">
            <v>0.27</v>
          </cell>
          <cell r="BW92">
            <v>141.87671232876713</v>
          </cell>
          <cell r="BX92" t="e">
            <v>#DIV/0!</v>
          </cell>
          <cell r="BY92" t="e">
            <v>#DIV/0!</v>
          </cell>
          <cell r="BZ92" t="e">
            <v>#DIV/0!</v>
          </cell>
          <cell r="CA92">
            <v>172.62</v>
          </cell>
          <cell r="CB92" t="e">
            <v>#DIV/0!</v>
          </cell>
          <cell r="CE92">
            <v>0</v>
          </cell>
          <cell r="CF92">
            <v>0</v>
          </cell>
          <cell r="CG92" t="e">
            <v>#DIV/0!</v>
          </cell>
        </row>
        <row r="93">
          <cell r="B93">
            <v>889341</v>
          </cell>
          <cell r="C93" t="str">
            <v>TONER COLL.UNIT 2000/M100</v>
          </cell>
          <cell r="D93">
            <v>0</v>
          </cell>
          <cell r="E93">
            <v>0</v>
          </cell>
          <cell r="F93">
            <v>87.37679589187394</v>
          </cell>
          <cell r="G93">
            <v>0</v>
          </cell>
          <cell r="H93">
            <v>0</v>
          </cell>
          <cell r="I93">
            <v>0</v>
          </cell>
          <cell r="J93">
            <v>0</v>
          </cell>
          <cell r="K93">
            <v>0</v>
          </cell>
          <cell r="L93">
            <v>0</v>
          </cell>
          <cell r="M93">
            <v>0</v>
          </cell>
          <cell r="N93">
            <v>0</v>
          </cell>
          <cell r="O93">
            <v>0</v>
          </cell>
          <cell r="P93">
            <v>0</v>
          </cell>
          <cell r="Q93">
            <v>0</v>
          </cell>
          <cell r="R93">
            <v>108.60718321311528</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96.599364440144868</v>
          </cell>
          <cell r="AZ93">
            <v>0</v>
          </cell>
          <cell r="BA93">
            <v>0</v>
          </cell>
          <cell r="BB93">
            <v>0</v>
          </cell>
          <cell r="BC93">
            <v>0</v>
          </cell>
          <cell r="BD93">
            <v>0</v>
          </cell>
          <cell r="BE93">
            <v>0</v>
          </cell>
          <cell r="BF93">
            <v>0</v>
          </cell>
          <cell r="BG93">
            <v>0</v>
          </cell>
          <cell r="BH93">
            <v>107.41665645486593</v>
          </cell>
          <cell r="BI93">
            <v>0</v>
          </cell>
          <cell r="BJ93">
            <v>0</v>
          </cell>
          <cell r="BK93">
            <v>0</v>
          </cell>
          <cell r="BL93">
            <v>0</v>
          </cell>
          <cell r="BM93">
            <v>108.60718321311528</v>
          </cell>
          <cell r="BN93">
            <v>87.37679589187394</v>
          </cell>
          <cell r="BO93">
            <v>90</v>
          </cell>
          <cell r="BP93">
            <v>100</v>
          </cell>
          <cell r="BQ93">
            <v>265.5585070323196</v>
          </cell>
          <cell r="BR93">
            <v>213.64748426245632</v>
          </cell>
          <cell r="BS93">
            <v>220.06155509999996</v>
          </cell>
          <cell r="BT93">
            <v>0.50192161547911507</v>
          </cell>
          <cell r="BU93">
            <v>0.42288874609520555</v>
          </cell>
          <cell r="BV93">
            <v>0.27</v>
          </cell>
          <cell r="BW93">
            <v>173.97260273972603</v>
          </cell>
          <cell r="BX93">
            <v>0.18736420106283114</v>
          </cell>
          <cell r="BY93">
            <v>220.06155509999996</v>
          </cell>
          <cell r="BZ93">
            <v>0.50192161547911507</v>
          </cell>
          <cell r="CA93">
            <v>220.06155509999996</v>
          </cell>
          <cell r="CB93">
            <v>0.50192161547911507</v>
          </cell>
          <cell r="CD93">
            <v>0</v>
          </cell>
          <cell r="CE93">
            <v>311.329656</v>
          </cell>
          <cell r="CF93">
            <v>146.52000000000001</v>
          </cell>
          <cell r="CG93">
            <v>244.51283899999999</v>
          </cell>
        </row>
        <row r="94">
          <cell r="B94">
            <v>889347</v>
          </cell>
          <cell r="C94" t="str">
            <v>MASTER UNIT 3000L</v>
          </cell>
          <cell r="D94">
            <v>99.959430846823381</v>
          </cell>
          <cell r="E94">
            <v>97.659034442464929</v>
          </cell>
          <cell r="F94">
            <v>97.659034442464929</v>
          </cell>
          <cell r="G94">
            <v>0</v>
          </cell>
          <cell r="H94">
            <v>102.55053668689744</v>
          </cell>
          <cell r="I94">
            <v>94.398032946176599</v>
          </cell>
          <cell r="J94">
            <v>99.289535190609115</v>
          </cell>
          <cell r="K94">
            <v>113.96404192390663</v>
          </cell>
          <cell r="L94">
            <v>0</v>
          </cell>
          <cell r="M94">
            <v>0</v>
          </cell>
          <cell r="N94">
            <v>0</v>
          </cell>
          <cell r="O94">
            <v>0</v>
          </cell>
          <cell r="P94">
            <v>89.590546992619977</v>
          </cell>
          <cell r="Q94">
            <v>79.914824144375757</v>
          </cell>
          <cell r="R94">
            <v>96.634797099709914</v>
          </cell>
          <cell r="S94">
            <v>96.634797099709914</v>
          </cell>
          <cell r="T94">
            <v>0</v>
          </cell>
          <cell r="U94">
            <v>79.914824144375757</v>
          </cell>
          <cell r="V94">
            <v>79.914824144375757</v>
          </cell>
          <cell r="W94">
            <v>0</v>
          </cell>
          <cell r="X94">
            <v>0</v>
          </cell>
          <cell r="Y94">
            <v>0</v>
          </cell>
          <cell r="Z94">
            <v>0</v>
          </cell>
          <cell r="AA94">
            <v>0</v>
          </cell>
          <cell r="AB94">
            <v>0</v>
          </cell>
          <cell r="AC94">
            <v>0</v>
          </cell>
          <cell r="AD94">
            <v>0</v>
          </cell>
          <cell r="AE94">
            <v>0</v>
          </cell>
          <cell r="AF94">
            <v>0</v>
          </cell>
          <cell r="AG94">
            <v>92.32600435020781</v>
          </cell>
          <cell r="AH94">
            <v>0</v>
          </cell>
          <cell r="AI94">
            <v>99.183363048869481</v>
          </cell>
          <cell r="AJ94">
            <v>102.41137079373979</v>
          </cell>
          <cell r="AK94">
            <v>99.183363048869481</v>
          </cell>
          <cell r="AL94">
            <v>102.06037529919952</v>
          </cell>
          <cell r="AM94">
            <v>93.227105897276786</v>
          </cell>
          <cell r="AN94">
            <v>93.227105897276786</v>
          </cell>
          <cell r="AO94">
            <v>96.133246221902269</v>
          </cell>
          <cell r="AP94">
            <v>96.136594309833868</v>
          </cell>
          <cell r="AQ94">
            <v>96.134920265868075</v>
          </cell>
          <cell r="AR94">
            <v>96.134920265868075</v>
          </cell>
          <cell r="AS94">
            <v>101.57499102590286</v>
          </cell>
          <cell r="AT94">
            <v>101.57499102590286</v>
          </cell>
          <cell r="AU94">
            <v>98.128915055159482</v>
          </cell>
          <cell r="AV94">
            <v>91.443527671917309</v>
          </cell>
          <cell r="AW94">
            <v>0</v>
          </cell>
          <cell r="AX94">
            <v>0</v>
          </cell>
          <cell r="AY94">
            <v>101.57499102590286</v>
          </cell>
          <cell r="AZ94">
            <v>101.57499102590286</v>
          </cell>
          <cell r="BA94">
            <v>0</v>
          </cell>
          <cell r="BB94">
            <v>105.91704674903954</v>
          </cell>
          <cell r="BC94">
            <v>104.93524009156748</v>
          </cell>
          <cell r="BD94">
            <v>0</v>
          </cell>
          <cell r="BE94">
            <v>121.0567391376448</v>
          </cell>
          <cell r="BF94">
            <v>104.93524009156748</v>
          </cell>
          <cell r="BG94">
            <v>104.93524009156748</v>
          </cell>
          <cell r="BH94">
            <v>104.93524009156748</v>
          </cell>
          <cell r="BI94">
            <v>121.0567391376448</v>
          </cell>
          <cell r="BJ94">
            <v>121.0567391376448</v>
          </cell>
          <cell r="BK94">
            <v>0</v>
          </cell>
          <cell r="BL94">
            <v>121.0567391376448</v>
          </cell>
          <cell r="BM94">
            <v>121.0567391376448</v>
          </cell>
          <cell r="BN94">
            <v>79.914824144375757</v>
          </cell>
          <cell r="BO94">
            <v>90</v>
          </cell>
          <cell r="BP94">
            <v>100</v>
          </cell>
          <cell r="BQ94">
            <v>834.46948866022421</v>
          </cell>
          <cell r="BR94">
            <v>550.86964108875122</v>
          </cell>
          <cell r="BS94">
            <v>620.38887313846169</v>
          </cell>
          <cell r="BT94">
            <v>0.16963253607619722</v>
          </cell>
          <cell r="BU94">
            <v>0.23544728067013743</v>
          </cell>
          <cell r="BV94">
            <v>0.27</v>
          </cell>
          <cell r="BW94">
            <v>649.7534246575342</v>
          </cell>
          <cell r="BX94">
            <v>0.22499415900512343</v>
          </cell>
          <cell r="BY94">
            <v>649.7534246575342</v>
          </cell>
          <cell r="BZ94">
            <v>0.22499415900512343</v>
          </cell>
          <cell r="CA94">
            <v>649.7534246575342</v>
          </cell>
          <cell r="CB94">
            <v>0.22499415900512343</v>
          </cell>
          <cell r="CD94">
            <v>0</v>
          </cell>
          <cell r="CE94">
            <v>855.91514999999993</v>
          </cell>
          <cell r="CF94">
            <v>530.41348800000003</v>
          </cell>
          <cell r="CG94">
            <v>689.32097015384636</v>
          </cell>
        </row>
        <row r="95">
          <cell r="B95">
            <v>889351</v>
          </cell>
          <cell r="C95" t="str">
            <v>MAST. UNIT 2000/M100</v>
          </cell>
          <cell r="D95">
            <v>93.30388340068501</v>
          </cell>
          <cell r="E95">
            <v>0</v>
          </cell>
          <cell r="F95">
            <v>0</v>
          </cell>
          <cell r="G95">
            <v>0</v>
          </cell>
          <cell r="H95">
            <v>0</v>
          </cell>
          <cell r="I95">
            <v>0</v>
          </cell>
          <cell r="J95">
            <v>0</v>
          </cell>
          <cell r="K95">
            <v>0</v>
          </cell>
          <cell r="L95">
            <v>89.319785665330159</v>
          </cell>
          <cell r="M95">
            <v>91.658936901560949</v>
          </cell>
          <cell r="N95">
            <v>91.658936901560949</v>
          </cell>
          <cell r="O95">
            <v>101.79984549627912</v>
          </cell>
          <cell r="P95">
            <v>0</v>
          </cell>
          <cell r="Q95">
            <v>95.317826291871214</v>
          </cell>
          <cell r="R95">
            <v>121.59005777762697</v>
          </cell>
          <cell r="S95">
            <v>104.55684522064428</v>
          </cell>
          <cell r="T95">
            <v>121.59005777762697</v>
          </cell>
          <cell r="U95">
            <v>95.317826291871214</v>
          </cell>
          <cell r="V95">
            <v>95.317826291871214</v>
          </cell>
          <cell r="W95">
            <v>81.125845795698268</v>
          </cell>
          <cell r="X95">
            <v>97.998651704136222</v>
          </cell>
          <cell r="Y95">
            <v>97.998651704136222</v>
          </cell>
          <cell r="Z95">
            <v>100.02707645815609</v>
          </cell>
          <cell r="AA95">
            <v>105.09813834320576</v>
          </cell>
          <cell r="AB95">
            <v>100.02707645815609</v>
          </cell>
          <cell r="AC95">
            <v>0</v>
          </cell>
          <cell r="AD95">
            <v>100.02707645815609</v>
          </cell>
          <cell r="AE95">
            <v>0</v>
          </cell>
          <cell r="AF95">
            <v>84.03045864262684</v>
          </cell>
          <cell r="AG95">
            <v>84.961765781544912</v>
          </cell>
          <cell r="AH95">
            <v>110.10705853233287</v>
          </cell>
          <cell r="AI95">
            <v>101.72529428207022</v>
          </cell>
          <cell r="AJ95">
            <v>91.480915753971416</v>
          </cell>
          <cell r="AK95">
            <v>86.824380059381056</v>
          </cell>
          <cell r="AL95">
            <v>85.893072920462998</v>
          </cell>
          <cell r="AM95">
            <v>108.4558845969291</v>
          </cell>
          <cell r="AN95">
            <v>108.4558845969291</v>
          </cell>
          <cell r="AO95">
            <v>108.76828917701465</v>
          </cell>
          <cell r="AP95">
            <v>112.90297598716688</v>
          </cell>
          <cell r="AQ95">
            <v>112.90297598716688</v>
          </cell>
          <cell r="AR95">
            <v>108.22639051251238</v>
          </cell>
          <cell r="AS95">
            <v>108.74041583599067</v>
          </cell>
          <cell r="AT95">
            <v>108.74041583599067</v>
          </cell>
          <cell r="AU95">
            <v>108.74041583599067</v>
          </cell>
          <cell r="AV95">
            <v>108.74041583599067</v>
          </cell>
          <cell r="AW95">
            <v>0</v>
          </cell>
          <cell r="AX95">
            <v>0</v>
          </cell>
          <cell r="AY95">
            <v>0</v>
          </cell>
          <cell r="AZ95">
            <v>0</v>
          </cell>
          <cell r="BA95">
            <v>109.18662250785161</v>
          </cell>
          <cell r="BB95">
            <v>99.816282398771762</v>
          </cell>
          <cell r="BC95">
            <v>0</v>
          </cell>
          <cell r="BD95">
            <v>85.348736131349185</v>
          </cell>
          <cell r="BE95">
            <v>97.674320065168388</v>
          </cell>
          <cell r="BF95">
            <v>0</v>
          </cell>
          <cell r="BG95">
            <v>0</v>
          </cell>
          <cell r="BH95">
            <v>89.194043653877728</v>
          </cell>
          <cell r="BI95">
            <v>0</v>
          </cell>
          <cell r="BJ95">
            <v>0</v>
          </cell>
          <cell r="BK95">
            <v>97.674320065168388</v>
          </cell>
          <cell r="BL95">
            <v>97.674320065168388</v>
          </cell>
          <cell r="BM95">
            <v>121.59005777762697</v>
          </cell>
          <cell r="BN95">
            <v>81.125845795698268</v>
          </cell>
          <cell r="BO95">
            <v>90</v>
          </cell>
          <cell r="BP95">
            <v>100</v>
          </cell>
          <cell r="BQ95">
            <v>451.94032946657785</v>
          </cell>
          <cell r="BR95">
            <v>301.53815326098959</v>
          </cell>
          <cell r="BS95">
            <v>334.52266077857138</v>
          </cell>
          <cell r="BT95">
            <v>0.1971543538773699</v>
          </cell>
          <cell r="BU95">
            <v>0.26794197011933196</v>
          </cell>
          <cell r="BV95">
            <v>0.27</v>
          </cell>
          <cell r="BW95">
            <v>335.46575342465752</v>
          </cell>
          <cell r="BX95">
            <v>0.20052939419524862</v>
          </cell>
          <cell r="BY95">
            <v>335.46575342465752</v>
          </cell>
          <cell r="BZ95">
            <v>0.20052939419524862</v>
          </cell>
          <cell r="CA95">
            <v>335.46575342465752</v>
          </cell>
          <cell r="CB95">
            <v>0.20052939419524862</v>
          </cell>
          <cell r="CD95">
            <v>0</v>
          </cell>
          <cell r="CE95">
            <v>477.22800510000008</v>
          </cell>
          <cell r="CF95">
            <v>279.43152000000003</v>
          </cell>
          <cell r="CG95">
            <v>371.69184530952379</v>
          </cell>
        </row>
        <row r="96">
          <cell r="B96">
            <v>889385</v>
          </cell>
          <cell r="C96" t="str">
            <v>DEVELOPER 410 BLUE</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90</v>
          </cell>
          <cell r="BP96">
            <v>100</v>
          </cell>
          <cell r="BQ96" t="e">
            <v>#DIV/0!</v>
          </cell>
          <cell r="BR96" t="e">
            <v>#DIV/0!</v>
          </cell>
          <cell r="BS96" t="e">
            <v>#DIV/0!</v>
          </cell>
          <cell r="BT96" t="e">
            <v>#DIV/0!</v>
          </cell>
          <cell r="BU96" t="e">
            <v>#DIV/0!</v>
          </cell>
          <cell r="BV96">
            <v>0.27</v>
          </cell>
          <cell r="BW96">
            <v>177.9041095890411</v>
          </cell>
          <cell r="BX96" t="e">
            <v>#DIV/0!</v>
          </cell>
          <cell r="BY96" t="e">
            <v>#DIV/0!</v>
          </cell>
          <cell r="BZ96" t="e">
            <v>#DIV/0!</v>
          </cell>
          <cell r="CA96">
            <v>216.45</v>
          </cell>
          <cell r="CB96" t="e">
            <v>#DIV/0!</v>
          </cell>
          <cell r="CE96">
            <v>0</v>
          </cell>
          <cell r="CF96">
            <v>0</v>
          </cell>
          <cell r="CG96" t="e">
            <v>#DIV/0!</v>
          </cell>
        </row>
        <row r="97">
          <cell r="B97">
            <v>889394</v>
          </cell>
          <cell r="C97" t="str">
            <v>DEVELOPER 410 RED</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90</v>
          </cell>
          <cell r="BP97">
            <v>100</v>
          </cell>
          <cell r="BQ97" t="e">
            <v>#DIV/0!</v>
          </cell>
          <cell r="BR97" t="e">
            <v>#DIV/0!</v>
          </cell>
          <cell r="BS97" t="e">
            <v>#DIV/0!</v>
          </cell>
          <cell r="BT97" t="e">
            <v>#DIV/0!</v>
          </cell>
          <cell r="BU97" t="e">
            <v>#DIV/0!</v>
          </cell>
          <cell r="BV97">
            <v>0.27</v>
          </cell>
          <cell r="BW97">
            <v>177.9041095890411</v>
          </cell>
          <cell r="BX97" t="e">
            <v>#DIV/0!</v>
          </cell>
          <cell r="BY97" t="e">
            <v>#DIV/0!</v>
          </cell>
          <cell r="BZ97" t="e">
            <v>#DIV/0!</v>
          </cell>
          <cell r="CA97">
            <v>216.45</v>
          </cell>
          <cell r="CB97" t="e">
            <v>#DIV/0!</v>
          </cell>
          <cell r="CE97">
            <v>0</v>
          </cell>
          <cell r="CF97">
            <v>0</v>
          </cell>
          <cell r="CG97" t="e">
            <v>#DIV/0!</v>
          </cell>
        </row>
        <row r="98">
          <cell r="B98">
            <v>889396</v>
          </cell>
          <cell r="C98" t="str">
            <v>DEVELOPER 410 GREEN</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90</v>
          </cell>
          <cell r="BP98">
            <v>100</v>
          </cell>
          <cell r="BQ98" t="e">
            <v>#DIV/0!</v>
          </cell>
          <cell r="BR98" t="e">
            <v>#DIV/0!</v>
          </cell>
          <cell r="BS98" t="e">
            <v>#DIV/0!</v>
          </cell>
          <cell r="BT98" t="e">
            <v>#DIV/0!</v>
          </cell>
          <cell r="BU98" t="e">
            <v>#DIV/0!</v>
          </cell>
          <cell r="BV98">
            <v>0.27</v>
          </cell>
          <cell r="BW98">
            <v>177.9041095890411</v>
          </cell>
          <cell r="BX98" t="e">
            <v>#DIV/0!</v>
          </cell>
          <cell r="BY98" t="e">
            <v>#DIV/0!</v>
          </cell>
          <cell r="BZ98" t="e">
            <v>#DIV/0!</v>
          </cell>
          <cell r="CA98">
            <v>216.45</v>
          </cell>
          <cell r="CB98" t="e">
            <v>#DIV/0!</v>
          </cell>
          <cell r="CE98">
            <v>0</v>
          </cell>
          <cell r="CF98">
            <v>0</v>
          </cell>
          <cell r="CG98" t="e">
            <v>#DIV/0!</v>
          </cell>
        </row>
        <row r="99">
          <cell r="B99">
            <v>889405</v>
          </cell>
          <cell r="C99" t="str">
            <v>DEVELOPER TYPE A BLACK (NC11)</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89.735437658807882</v>
          </cell>
          <cell r="X99">
            <v>0</v>
          </cell>
          <cell r="Y99">
            <v>0</v>
          </cell>
          <cell r="Z99">
            <v>0</v>
          </cell>
          <cell r="AA99">
            <v>0</v>
          </cell>
          <cell r="AB99">
            <v>0</v>
          </cell>
          <cell r="AC99">
            <v>0</v>
          </cell>
          <cell r="AD99">
            <v>0</v>
          </cell>
          <cell r="AE99">
            <v>0</v>
          </cell>
          <cell r="AF99">
            <v>0</v>
          </cell>
          <cell r="AG99">
            <v>0</v>
          </cell>
          <cell r="AH99">
            <v>0</v>
          </cell>
          <cell r="AI99">
            <v>102.16911653386083</v>
          </cell>
          <cell r="AJ99">
            <v>102.16911653386083</v>
          </cell>
          <cell r="AK99">
            <v>0</v>
          </cell>
          <cell r="AL99">
            <v>0</v>
          </cell>
          <cell r="AM99">
            <v>96.101672133843607</v>
          </cell>
          <cell r="AN99">
            <v>96.101672133843607</v>
          </cell>
          <cell r="AO99">
            <v>96.101672133843607</v>
          </cell>
          <cell r="AP99">
            <v>96.101672133843607</v>
          </cell>
          <cell r="AQ99">
            <v>87.921072103884654</v>
          </cell>
          <cell r="AR99">
            <v>96.101672133843607</v>
          </cell>
          <cell r="AS99">
            <v>116.39640433239691</v>
          </cell>
          <cell r="AT99">
            <v>0</v>
          </cell>
          <cell r="AU99">
            <v>116.39640433239691</v>
          </cell>
          <cell r="AV99">
            <v>116.39640433239691</v>
          </cell>
          <cell r="AW99">
            <v>0</v>
          </cell>
          <cell r="AX99">
            <v>0</v>
          </cell>
          <cell r="AY99">
            <v>0</v>
          </cell>
          <cell r="AZ99">
            <v>0</v>
          </cell>
          <cell r="BA99">
            <v>0</v>
          </cell>
          <cell r="BB99">
            <v>0</v>
          </cell>
          <cell r="BC99">
            <v>0</v>
          </cell>
          <cell r="BD99">
            <v>0</v>
          </cell>
          <cell r="BE99">
            <v>0</v>
          </cell>
          <cell r="BF99">
            <v>0</v>
          </cell>
          <cell r="BG99">
            <v>0</v>
          </cell>
          <cell r="BH99">
            <v>87.503203836179011</v>
          </cell>
          <cell r="BI99">
            <v>0</v>
          </cell>
          <cell r="BJ99">
            <v>0</v>
          </cell>
          <cell r="BK99">
            <v>100.80447966699802</v>
          </cell>
          <cell r="BL99">
            <v>0</v>
          </cell>
          <cell r="BM99">
            <v>116.39640433239691</v>
          </cell>
          <cell r="BN99">
            <v>87.503203836179011</v>
          </cell>
          <cell r="BO99">
            <v>90</v>
          </cell>
          <cell r="BP99">
            <v>100</v>
          </cell>
          <cell r="BQ99">
            <v>537.81523179056069</v>
          </cell>
          <cell r="BR99">
            <v>404.31279749139821</v>
          </cell>
          <cell r="BS99">
            <v>415.84936526839289</v>
          </cell>
          <cell r="BT99">
            <v>0.25397409609239707</v>
          </cell>
          <cell r="BU99">
            <v>0.46615284633963738</v>
          </cell>
          <cell r="BV99">
            <v>0.27</v>
          </cell>
          <cell r="BW99">
            <v>304.10958904109589</v>
          </cell>
          <cell r="BX99">
            <v>-8.2971915119517625E-2</v>
          </cell>
          <cell r="BY99">
            <v>415.84936526839289</v>
          </cell>
          <cell r="BZ99">
            <v>0.25397409609239707</v>
          </cell>
          <cell r="CA99">
            <v>415.84936526839289</v>
          </cell>
          <cell r="CB99">
            <v>0.25397409609239707</v>
          </cell>
          <cell r="CD99">
            <v>0</v>
          </cell>
          <cell r="CE99">
            <v>633.18494199999998</v>
          </cell>
          <cell r="CF99">
            <v>331.62516399999998</v>
          </cell>
          <cell r="CG99">
            <v>462.05485029821426</v>
          </cell>
        </row>
        <row r="100">
          <cell r="B100">
            <v>889406</v>
          </cell>
          <cell r="C100" t="str">
            <v>DEVELOPER TYPE A YELLOW (NC11)</v>
          </cell>
          <cell r="D100">
            <v>0</v>
          </cell>
          <cell r="E100">
            <v>0</v>
          </cell>
          <cell r="F100">
            <v>0</v>
          </cell>
          <cell r="G100">
            <v>0</v>
          </cell>
          <cell r="H100">
            <v>0</v>
          </cell>
          <cell r="I100">
            <v>0</v>
          </cell>
          <cell r="J100">
            <v>0</v>
          </cell>
          <cell r="K100">
            <v>0</v>
          </cell>
          <cell r="L100">
            <v>0</v>
          </cell>
          <cell r="M100">
            <v>0</v>
          </cell>
          <cell r="N100">
            <v>0</v>
          </cell>
          <cell r="O100">
            <v>0</v>
          </cell>
          <cell r="P100">
            <v>0</v>
          </cell>
          <cell r="Q100">
            <v>90.46828007931849</v>
          </cell>
          <cell r="R100">
            <v>0</v>
          </cell>
          <cell r="S100">
            <v>0</v>
          </cell>
          <cell r="T100">
            <v>0</v>
          </cell>
          <cell r="U100">
            <v>0</v>
          </cell>
          <cell r="V100">
            <v>0</v>
          </cell>
          <cell r="W100">
            <v>92.097860755511732</v>
          </cell>
          <cell r="X100">
            <v>0</v>
          </cell>
          <cell r="Y100">
            <v>0</v>
          </cell>
          <cell r="Z100">
            <v>93.044031815496623</v>
          </cell>
          <cell r="AA100">
            <v>0</v>
          </cell>
          <cell r="AB100">
            <v>0</v>
          </cell>
          <cell r="AC100">
            <v>0</v>
          </cell>
          <cell r="AD100">
            <v>0</v>
          </cell>
          <cell r="AE100">
            <v>0</v>
          </cell>
          <cell r="AF100">
            <v>0</v>
          </cell>
          <cell r="AG100">
            <v>0</v>
          </cell>
          <cell r="AH100">
            <v>0</v>
          </cell>
          <cell r="AI100">
            <v>95.906317641549208</v>
          </cell>
          <cell r="AJ100">
            <v>95.906317641549208</v>
          </cell>
          <cell r="AK100">
            <v>0</v>
          </cell>
          <cell r="AL100">
            <v>0</v>
          </cell>
          <cell r="AM100">
            <v>95.448620082735715</v>
          </cell>
          <cell r="AN100">
            <v>95.448620082735715</v>
          </cell>
          <cell r="AO100">
            <v>95.448620082735715</v>
          </cell>
          <cell r="AP100">
            <v>95.448620082735715</v>
          </cell>
          <cell r="AQ100">
            <v>95.448620082735715</v>
          </cell>
          <cell r="AR100">
            <v>95.448620082735715</v>
          </cell>
          <cell r="AS100">
            <v>118.43478101670934</v>
          </cell>
          <cell r="AT100">
            <v>0</v>
          </cell>
          <cell r="AU100">
            <v>118.43478101670934</v>
          </cell>
          <cell r="AV100">
            <v>118.43478101670934</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104.58112852003251</v>
          </cell>
          <cell r="BL100">
            <v>0</v>
          </cell>
          <cell r="BM100">
            <v>118.43478101670934</v>
          </cell>
          <cell r="BN100">
            <v>90.46828007931849</v>
          </cell>
          <cell r="BO100">
            <v>90</v>
          </cell>
          <cell r="BP100">
            <v>100</v>
          </cell>
          <cell r="BQ100">
            <v>365.11301725299398</v>
          </cell>
          <cell r="BR100">
            <v>278.89735111503023</v>
          </cell>
          <cell r="BS100">
            <v>277.45372829399997</v>
          </cell>
          <cell r="BT100">
            <v>0.97770826127928623</v>
          </cell>
          <cell r="BU100">
            <v>0.65579846200947511</v>
          </cell>
          <cell r="BV100">
            <v>0.27</v>
          </cell>
          <cell r="BW100">
            <v>130.82191780821918</v>
          </cell>
          <cell r="BX100">
            <v>-6.7492842152195642E-2</v>
          </cell>
          <cell r="BY100">
            <v>277.45372829399997</v>
          </cell>
          <cell r="BZ100">
            <v>0.97770826127928623</v>
          </cell>
          <cell r="CA100">
            <v>277.45372829399997</v>
          </cell>
          <cell r="CB100">
            <v>0.97770826127928623</v>
          </cell>
          <cell r="CD100">
            <v>0</v>
          </cell>
          <cell r="CE100">
            <v>633.18494199999998</v>
          </cell>
          <cell r="CF100">
            <v>140.290524</v>
          </cell>
          <cell r="CG100">
            <v>308.28192032666664</v>
          </cell>
        </row>
        <row r="101">
          <cell r="B101">
            <v>889407</v>
          </cell>
          <cell r="C101" t="str">
            <v>DEVELOPER TYPE A MAGENTA (NC11)</v>
          </cell>
          <cell r="D101">
            <v>0</v>
          </cell>
          <cell r="E101">
            <v>0</v>
          </cell>
          <cell r="F101">
            <v>0</v>
          </cell>
          <cell r="G101">
            <v>0</v>
          </cell>
          <cell r="H101">
            <v>0</v>
          </cell>
          <cell r="I101">
            <v>0</v>
          </cell>
          <cell r="J101">
            <v>0</v>
          </cell>
          <cell r="K101">
            <v>0</v>
          </cell>
          <cell r="L101">
            <v>0</v>
          </cell>
          <cell r="M101">
            <v>0</v>
          </cell>
          <cell r="N101">
            <v>0</v>
          </cell>
          <cell r="O101">
            <v>0</v>
          </cell>
          <cell r="P101">
            <v>0</v>
          </cell>
          <cell r="Q101">
            <v>90.46828007931849</v>
          </cell>
          <cell r="R101">
            <v>0</v>
          </cell>
          <cell r="S101">
            <v>0</v>
          </cell>
          <cell r="T101">
            <v>0</v>
          </cell>
          <cell r="U101">
            <v>0</v>
          </cell>
          <cell r="V101">
            <v>0</v>
          </cell>
          <cell r="W101">
            <v>92.097860755511732</v>
          </cell>
          <cell r="X101">
            <v>0</v>
          </cell>
          <cell r="Y101">
            <v>0</v>
          </cell>
          <cell r="Z101">
            <v>93.044031815496623</v>
          </cell>
          <cell r="AA101">
            <v>0</v>
          </cell>
          <cell r="AB101">
            <v>0</v>
          </cell>
          <cell r="AC101">
            <v>0</v>
          </cell>
          <cell r="AD101">
            <v>0</v>
          </cell>
          <cell r="AE101">
            <v>0</v>
          </cell>
          <cell r="AF101">
            <v>0</v>
          </cell>
          <cell r="AG101">
            <v>0</v>
          </cell>
          <cell r="AH101">
            <v>0</v>
          </cell>
          <cell r="AI101">
            <v>95.906317641549208</v>
          </cell>
          <cell r="AJ101">
            <v>95.906317641549208</v>
          </cell>
          <cell r="AK101">
            <v>0</v>
          </cell>
          <cell r="AL101">
            <v>0</v>
          </cell>
          <cell r="AM101">
            <v>95.448620082735715</v>
          </cell>
          <cell r="AN101">
            <v>95.448620082735715</v>
          </cell>
          <cell r="AO101">
            <v>95.448620082735715</v>
          </cell>
          <cell r="AP101">
            <v>95.448620082735715</v>
          </cell>
          <cell r="AQ101">
            <v>95.448620082735715</v>
          </cell>
          <cell r="AR101">
            <v>95.448620082735715</v>
          </cell>
          <cell r="AS101">
            <v>118.43478101670934</v>
          </cell>
          <cell r="AT101">
            <v>0</v>
          </cell>
          <cell r="AU101">
            <v>118.43478101670934</v>
          </cell>
          <cell r="AV101">
            <v>118.43478101670934</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104.58112852003251</v>
          </cell>
          <cell r="BL101">
            <v>0</v>
          </cell>
          <cell r="BM101">
            <v>118.43478101670934</v>
          </cell>
          <cell r="BN101">
            <v>90.46828007931849</v>
          </cell>
          <cell r="BO101">
            <v>90</v>
          </cell>
          <cell r="BP101">
            <v>100</v>
          </cell>
          <cell r="BQ101">
            <v>365.11301725299398</v>
          </cell>
          <cell r="BR101">
            <v>278.89735111503023</v>
          </cell>
          <cell r="BS101">
            <v>277.45372829399997</v>
          </cell>
          <cell r="BT101">
            <v>0.97770826127928623</v>
          </cell>
          <cell r="BU101">
            <v>0.65579846200947511</v>
          </cell>
          <cell r="BV101">
            <v>0.27</v>
          </cell>
          <cell r="BW101">
            <v>130.82191780821918</v>
          </cell>
          <cell r="BX101">
            <v>-6.7492842152195642E-2</v>
          </cell>
          <cell r="BY101">
            <v>277.45372829399997</v>
          </cell>
          <cell r="BZ101">
            <v>0.97770826127928623</v>
          </cell>
          <cell r="CA101">
            <v>277.45372829399997</v>
          </cell>
          <cell r="CB101">
            <v>0.97770826127928623</v>
          </cell>
          <cell r="CD101">
            <v>0</v>
          </cell>
          <cell r="CE101">
            <v>633.18494199999998</v>
          </cell>
          <cell r="CF101">
            <v>140.290524</v>
          </cell>
          <cell r="CG101">
            <v>308.28192032666664</v>
          </cell>
        </row>
        <row r="102">
          <cell r="B102">
            <v>889408</v>
          </cell>
          <cell r="C102" t="str">
            <v>DEVELOPER TYPE A CYAN (NC11)</v>
          </cell>
          <cell r="D102">
            <v>0</v>
          </cell>
          <cell r="E102">
            <v>0</v>
          </cell>
          <cell r="F102">
            <v>0</v>
          </cell>
          <cell r="G102">
            <v>0</v>
          </cell>
          <cell r="H102">
            <v>0</v>
          </cell>
          <cell r="I102">
            <v>0</v>
          </cell>
          <cell r="J102">
            <v>0</v>
          </cell>
          <cell r="K102">
            <v>0</v>
          </cell>
          <cell r="L102">
            <v>0</v>
          </cell>
          <cell r="M102">
            <v>0</v>
          </cell>
          <cell r="N102">
            <v>0</v>
          </cell>
          <cell r="O102">
            <v>0</v>
          </cell>
          <cell r="P102">
            <v>0</v>
          </cell>
          <cell r="Q102">
            <v>90.46828007931849</v>
          </cell>
          <cell r="R102">
            <v>0</v>
          </cell>
          <cell r="S102">
            <v>0</v>
          </cell>
          <cell r="T102">
            <v>0</v>
          </cell>
          <cell r="U102">
            <v>0</v>
          </cell>
          <cell r="V102">
            <v>0</v>
          </cell>
          <cell r="W102">
            <v>92.097860755511732</v>
          </cell>
          <cell r="X102">
            <v>0</v>
          </cell>
          <cell r="Y102">
            <v>0</v>
          </cell>
          <cell r="Z102">
            <v>93.044031815496623</v>
          </cell>
          <cell r="AA102">
            <v>0</v>
          </cell>
          <cell r="AB102">
            <v>0</v>
          </cell>
          <cell r="AC102">
            <v>0</v>
          </cell>
          <cell r="AD102">
            <v>0</v>
          </cell>
          <cell r="AE102">
            <v>0</v>
          </cell>
          <cell r="AF102">
            <v>0</v>
          </cell>
          <cell r="AG102">
            <v>0</v>
          </cell>
          <cell r="AH102">
            <v>0</v>
          </cell>
          <cell r="AI102">
            <v>95.906317641549208</v>
          </cell>
          <cell r="AJ102">
            <v>95.906317641549208</v>
          </cell>
          <cell r="AK102">
            <v>0</v>
          </cell>
          <cell r="AL102">
            <v>0</v>
          </cell>
          <cell r="AM102">
            <v>95.448620082735715</v>
          </cell>
          <cell r="AN102">
            <v>95.448620082735715</v>
          </cell>
          <cell r="AO102">
            <v>95.448620082735715</v>
          </cell>
          <cell r="AP102">
            <v>95.448620082735715</v>
          </cell>
          <cell r="AQ102">
            <v>95.448620082735715</v>
          </cell>
          <cell r="AR102">
            <v>95.448620082735715</v>
          </cell>
          <cell r="AS102">
            <v>118.43478101670934</v>
          </cell>
          <cell r="AT102">
            <v>0</v>
          </cell>
          <cell r="AU102">
            <v>118.43478101670934</v>
          </cell>
          <cell r="AV102">
            <v>118.43478101670934</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104.58112852003251</v>
          </cell>
          <cell r="BL102">
            <v>0</v>
          </cell>
          <cell r="BM102">
            <v>118.43478101670934</v>
          </cell>
          <cell r="BN102">
            <v>90.46828007931849</v>
          </cell>
          <cell r="BO102">
            <v>90</v>
          </cell>
          <cell r="BP102">
            <v>100</v>
          </cell>
          <cell r="BQ102">
            <v>365.11301725299398</v>
          </cell>
          <cell r="BR102">
            <v>278.89735111503023</v>
          </cell>
          <cell r="BS102">
            <v>277.45372829399997</v>
          </cell>
          <cell r="BT102">
            <v>0.97770826127928623</v>
          </cell>
          <cell r="BU102">
            <v>0.65579846200947511</v>
          </cell>
          <cell r="BV102">
            <v>0.27</v>
          </cell>
          <cell r="BW102">
            <v>130.82191780821918</v>
          </cell>
          <cell r="BX102">
            <v>-6.7492842152195642E-2</v>
          </cell>
          <cell r="BY102">
            <v>277.45372829399997</v>
          </cell>
          <cell r="BZ102">
            <v>0.97770826127928623</v>
          </cell>
          <cell r="CA102">
            <v>277.45372829399997</v>
          </cell>
          <cell r="CB102">
            <v>0.97770826127928623</v>
          </cell>
          <cell r="CD102">
            <v>0</v>
          </cell>
          <cell r="CE102">
            <v>633.18494199999998</v>
          </cell>
          <cell r="CF102">
            <v>140.290524</v>
          </cell>
          <cell r="CG102">
            <v>308.28192032666664</v>
          </cell>
        </row>
        <row r="103">
          <cell r="B103">
            <v>889409</v>
          </cell>
          <cell r="C103" t="str">
            <v>CLEANING CARRIER</v>
          </cell>
          <cell r="D103">
            <v>0</v>
          </cell>
          <cell r="E103">
            <v>0</v>
          </cell>
          <cell r="F103">
            <v>0</v>
          </cell>
          <cell r="G103">
            <v>0</v>
          </cell>
          <cell r="H103">
            <v>0</v>
          </cell>
          <cell r="I103">
            <v>0</v>
          </cell>
          <cell r="J103">
            <v>0</v>
          </cell>
          <cell r="K103">
            <v>0</v>
          </cell>
          <cell r="L103">
            <v>0</v>
          </cell>
          <cell r="M103">
            <v>0</v>
          </cell>
          <cell r="N103">
            <v>83.320331682950098</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108.43780257094841</v>
          </cell>
          <cell r="AJ103">
            <v>108.43780257094841</v>
          </cell>
          <cell r="AK103">
            <v>0</v>
          </cell>
          <cell r="AL103">
            <v>0</v>
          </cell>
          <cell r="AM103">
            <v>0</v>
          </cell>
          <cell r="AN103">
            <v>0</v>
          </cell>
          <cell r="AO103">
            <v>0</v>
          </cell>
          <cell r="AP103">
            <v>101.4294411076005</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105.35299882139796</v>
          </cell>
          <cell r="BF103">
            <v>0</v>
          </cell>
          <cell r="BG103">
            <v>0</v>
          </cell>
          <cell r="BH103">
            <v>93.021623246154633</v>
          </cell>
          <cell r="BI103">
            <v>0</v>
          </cell>
          <cell r="BJ103">
            <v>0</v>
          </cell>
          <cell r="BK103">
            <v>0</v>
          </cell>
          <cell r="BL103">
            <v>0</v>
          </cell>
          <cell r="BM103">
            <v>108.43780257094841</v>
          </cell>
          <cell r="BN103">
            <v>83.320331682950098</v>
          </cell>
          <cell r="BO103">
            <v>90</v>
          </cell>
          <cell r="BP103">
            <v>100</v>
          </cell>
          <cell r="BQ103">
            <v>118.44721285513253</v>
          </cell>
          <cell r="BR103">
            <v>91.011260169658343</v>
          </cell>
          <cell r="BS103">
            <v>98.307498899999985</v>
          </cell>
          <cell r="BT103">
            <v>0.14815727106520993</v>
          </cell>
          <cell r="BU103">
            <v>0.4317829196649412</v>
          </cell>
          <cell r="BV103">
            <v>0.27</v>
          </cell>
          <cell r="BW103">
            <v>76.520547945205479</v>
          </cell>
          <cell r="BX103">
            <v>-0.10629784612309279</v>
          </cell>
          <cell r="BY103">
            <v>98.307498899999985</v>
          </cell>
          <cell r="BZ103">
            <v>0.14815727106520993</v>
          </cell>
          <cell r="CA103">
            <v>98.307498899999985</v>
          </cell>
          <cell r="CB103">
            <v>0.14815727106520993</v>
          </cell>
          <cell r="CD103">
            <v>0</v>
          </cell>
          <cell r="CE103">
            <v>121.173507</v>
          </cell>
          <cell r="CF103">
            <v>85.621980000000008</v>
          </cell>
          <cell r="CG103">
            <v>109.23055433333333</v>
          </cell>
        </row>
        <row r="104">
          <cell r="B104">
            <v>889411</v>
          </cell>
          <cell r="C104" t="str">
            <v>TONER 3320</v>
          </cell>
          <cell r="D104">
            <v>98.003648761866842</v>
          </cell>
          <cell r="E104">
            <v>0</v>
          </cell>
          <cell r="F104">
            <v>89.020073236999693</v>
          </cell>
          <cell r="G104">
            <v>0</v>
          </cell>
          <cell r="H104">
            <v>0</v>
          </cell>
          <cell r="I104">
            <v>93.940406121644244</v>
          </cell>
          <cell r="J104">
            <v>96.511676854910107</v>
          </cell>
          <cell r="K104">
            <v>0</v>
          </cell>
          <cell r="L104">
            <v>88.450266944874727</v>
          </cell>
          <cell r="M104">
            <v>94.962343389743353</v>
          </cell>
          <cell r="N104">
            <v>94.962343389743353</v>
          </cell>
          <cell r="O104">
            <v>96.777184366182141</v>
          </cell>
          <cell r="P104">
            <v>90.685514514538923</v>
          </cell>
          <cell r="Q104">
            <v>89.214267665527515</v>
          </cell>
          <cell r="R104">
            <v>108.96476527578767</v>
          </cell>
          <cell r="S104">
            <v>144.62750420396657</v>
          </cell>
          <cell r="T104">
            <v>107.00750875585197</v>
          </cell>
          <cell r="U104">
            <v>96.331564101657307</v>
          </cell>
          <cell r="V104">
            <v>96.331564101657307</v>
          </cell>
          <cell r="W104">
            <v>85.42252899387961</v>
          </cell>
          <cell r="X104">
            <v>94.006687767212867</v>
          </cell>
          <cell r="Y104">
            <v>94.006687767212867</v>
          </cell>
          <cell r="Z104">
            <v>109.02896562054609</v>
          </cell>
          <cell r="AA104">
            <v>103.12735646387947</v>
          </cell>
          <cell r="AB104">
            <v>104.73688623387946</v>
          </cell>
          <cell r="AC104">
            <v>110.10198546721276</v>
          </cell>
          <cell r="AD104">
            <v>0</v>
          </cell>
          <cell r="AE104">
            <v>0</v>
          </cell>
          <cell r="AF104">
            <v>90.826629007742412</v>
          </cell>
          <cell r="AG104">
            <v>0</v>
          </cell>
          <cell r="AH104">
            <v>109.7937980361768</v>
          </cell>
          <cell r="AI104">
            <v>0</v>
          </cell>
          <cell r="AJ104">
            <v>0</v>
          </cell>
          <cell r="AK104">
            <v>94.078143698331161</v>
          </cell>
          <cell r="AL104">
            <v>0</v>
          </cell>
          <cell r="AM104">
            <v>89.555651471493249</v>
          </cell>
          <cell r="AN104">
            <v>89.555651471493249</v>
          </cell>
          <cell r="AO104">
            <v>93.759996561214194</v>
          </cell>
          <cell r="AP104">
            <v>95.525821498897002</v>
          </cell>
          <cell r="AQ104">
            <v>95.525821498897002</v>
          </cell>
          <cell r="AR104">
            <v>89.555651471493249</v>
          </cell>
          <cell r="AS104">
            <v>108.2074827141674</v>
          </cell>
          <cell r="AT104">
            <v>103.01461100383823</v>
          </cell>
          <cell r="AU104">
            <v>103.01461100383823</v>
          </cell>
          <cell r="AV104">
            <v>111.66939718772018</v>
          </cell>
          <cell r="AW104">
            <v>0</v>
          </cell>
          <cell r="AX104">
            <v>0</v>
          </cell>
          <cell r="AY104">
            <v>108.2074827141674</v>
          </cell>
          <cell r="AZ104">
            <v>103.01461100383823</v>
          </cell>
          <cell r="BA104">
            <v>103.01461100383823</v>
          </cell>
          <cell r="BB104">
            <v>103.01461100383823</v>
          </cell>
          <cell r="BC104">
            <v>0</v>
          </cell>
          <cell r="BD104">
            <v>0</v>
          </cell>
          <cell r="BE104">
            <v>0</v>
          </cell>
          <cell r="BF104">
            <v>101.16437854912142</v>
          </cell>
          <cell r="BG104">
            <v>0</v>
          </cell>
          <cell r="BH104">
            <v>101.16437854912142</v>
          </cell>
          <cell r="BI104">
            <v>108.62287626273896</v>
          </cell>
          <cell r="BJ104">
            <v>0</v>
          </cell>
          <cell r="BK104">
            <v>105.74602714462935</v>
          </cell>
          <cell r="BL104">
            <v>105.74602714462935</v>
          </cell>
          <cell r="BM104">
            <v>144.62750420396657</v>
          </cell>
          <cell r="BN104">
            <v>85.42252899387961</v>
          </cell>
          <cell r="BO104">
            <v>90</v>
          </cell>
          <cell r="BP104">
            <v>100</v>
          </cell>
          <cell r="BQ104">
            <v>222.85491936521063</v>
          </cell>
          <cell r="BR104">
            <v>131.62662880537562</v>
          </cell>
          <cell r="BS104">
            <v>138.6800031796364</v>
          </cell>
          <cell r="BT104">
            <v>0.28209113589163937</v>
          </cell>
          <cell r="BU104">
            <v>0.32715605811507853</v>
          </cell>
          <cell r="BV104">
            <v>0.27</v>
          </cell>
          <cell r="BW104">
            <v>127.82191780821918</v>
          </cell>
          <cell r="BX104">
            <v>0.18170856675211944</v>
          </cell>
          <cell r="BY104">
            <v>138.6800031796364</v>
          </cell>
          <cell r="BZ104">
            <v>0.28209113589163937</v>
          </cell>
          <cell r="CA104">
            <v>138.6800031796364</v>
          </cell>
          <cell r="CB104">
            <v>0.28209113589163937</v>
          </cell>
          <cell r="CC104">
            <v>143</v>
          </cell>
          <cell r="CD104">
            <v>-3.0209767974570645E-2</v>
          </cell>
          <cell r="CE104">
            <v>294.67416000000003</v>
          </cell>
          <cell r="CF104">
            <v>108.16704000000001</v>
          </cell>
          <cell r="CG104">
            <v>154.0888924218182</v>
          </cell>
        </row>
        <row r="105">
          <cell r="B105">
            <v>889415</v>
          </cell>
          <cell r="C105" t="str">
            <v>DEVELOPER 3320</v>
          </cell>
          <cell r="D105">
            <v>0</v>
          </cell>
          <cell r="E105">
            <v>0</v>
          </cell>
          <cell r="F105">
            <v>94.074925423965453</v>
          </cell>
          <cell r="G105">
            <v>0</v>
          </cell>
          <cell r="H105">
            <v>0</v>
          </cell>
          <cell r="I105">
            <v>105.72333851937358</v>
          </cell>
          <cell r="J105">
            <v>111.93582550359126</v>
          </cell>
          <cell r="K105">
            <v>0</v>
          </cell>
          <cell r="L105">
            <v>81.851857282517173</v>
          </cell>
          <cell r="M105">
            <v>0</v>
          </cell>
          <cell r="N105">
            <v>0</v>
          </cell>
          <cell r="O105">
            <v>88.850876181371717</v>
          </cell>
          <cell r="P105">
            <v>0</v>
          </cell>
          <cell r="Q105">
            <v>85.087362438184883</v>
          </cell>
          <cell r="R105">
            <v>106.47821936594764</v>
          </cell>
          <cell r="S105">
            <v>116.42745514630241</v>
          </cell>
          <cell r="T105">
            <v>0</v>
          </cell>
          <cell r="U105">
            <v>88.320864066800183</v>
          </cell>
          <cell r="V105">
            <v>85.087362438184883</v>
          </cell>
          <cell r="W105">
            <v>98.306475511569289</v>
          </cell>
          <cell r="X105">
            <v>101.47391106859963</v>
          </cell>
          <cell r="Y105">
            <v>101.47391106859963</v>
          </cell>
          <cell r="Z105">
            <v>108.36877078942808</v>
          </cell>
          <cell r="AA105">
            <v>0</v>
          </cell>
          <cell r="AB105">
            <v>103.45137083624839</v>
          </cell>
          <cell r="AC105">
            <v>0</v>
          </cell>
          <cell r="AD105">
            <v>0</v>
          </cell>
          <cell r="AE105">
            <v>0</v>
          </cell>
          <cell r="AF105">
            <v>0</v>
          </cell>
          <cell r="AG105">
            <v>0</v>
          </cell>
          <cell r="AH105">
            <v>118.00076592193378</v>
          </cell>
          <cell r="AI105">
            <v>126.13176207418262</v>
          </cell>
          <cell r="AJ105">
            <v>0</v>
          </cell>
          <cell r="AK105">
            <v>114.35949373201362</v>
          </cell>
          <cell r="AL105">
            <v>0</v>
          </cell>
          <cell r="AM105">
            <v>99.271479752288755</v>
          </cell>
          <cell r="AN105">
            <v>99.271479752288755</v>
          </cell>
          <cell r="AO105">
            <v>99.271479752288755</v>
          </cell>
          <cell r="AP105">
            <v>99.271479752288755</v>
          </cell>
          <cell r="AQ105">
            <v>99.271479752288755</v>
          </cell>
          <cell r="AR105">
            <v>93.388367956122082</v>
          </cell>
          <cell r="AS105">
            <v>93.137422310003345</v>
          </cell>
          <cell r="AT105">
            <v>0</v>
          </cell>
          <cell r="AU105">
            <v>93.137422310003345</v>
          </cell>
          <cell r="AV105">
            <v>93.137422310003345</v>
          </cell>
          <cell r="AW105">
            <v>0</v>
          </cell>
          <cell r="AX105">
            <v>0</v>
          </cell>
          <cell r="AY105">
            <v>0</v>
          </cell>
          <cell r="AZ105">
            <v>0</v>
          </cell>
          <cell r="BA105">
            <v>0</v>
          </cell>
          <cell r="BB105">
            <v>91.020187331760141</v>
          </cell>
          <cell r="BC105">
            <v>0</v>
          </cell>
          <cell r="BD105">
            <v>0</v>
          </cell>
          <cell r="BE105">
            <v>0</v>
          </cell>
          <cell r="BF105">
            <v>96.348049561542751</v>
          </cell>
          <cell r="BG105">
            <v>0</v>
          </cell>
          <cell r="BH105">
            <v>96.348049561542751</v>
          </cell>
          <cell r="BI105">
            <v>0</v>
          </cell>
          <cell r="BJ105">
            <v>103.9070441762546</v>
          </cell>
          <cell r="BK105">
            <v>103.9070441762546</v>
          </cell>
          <cell r="BL105">
            <v>103.9070441762546</v>
          </cell>
          <cell r="BM105">
            <v>126.13176207418262</v>
          </cell>
          <cell r="BN105">
            <v>81.851857282517173</v>
          </cell>
          <cell r="BO105">
            <v>90</v>
          </cell>
          <cell r="BP105">
            <v>100</v>
          </cell>
          <cell r="BQ105">
            <v>228.6261561886985</v>
          </cell>
          <cell r="BR105">
            <v>148.36449756724846</v>
          </cell>
          <cell r="BS105">
            <v>163.13380324363641</v>
          </cell>
          <cell r="BT105">
            <v>0.21271040175168299</v>
          </cell>
          <cell r="BU105">
            <v>0.52517504980672003</v>
          </cell>
          <cell r="BV105">
            <v>0.27</v>
          </cell>
          <cell r="BW105">
            <v>106.10958904109589</v>
          </cell>
          <cell r="BX105">
            <v>-0.21119841628682812</v>
          </cell>
          <cell r="BY105">
            <v>163.13380324363641</v>
          </cell>
          <cell r="BZ105">
            <v>0.21271040175168299</v>
          </cell>
          <cell r="CA105">
            <v>163.13380324363641</v>
          </cell>
          <cell r="CB105">
            <v>0.21271040175168299</v>
          </cell>
          <cell r="CD105">
            <v>0</v>
          </cell>
          <cell r="CE105">
            <v>248.56103999999999</v>
          </cell>
          <cell r="CF105">
            <v>134.52000000000001</v>
          </cell>
          <cell r="CG105">
            <v>181.25978138181821</v>
          </cell>
        </row>
        <row r="106">
          <cell r="B106">
            <v>889455</v>
          </cell>
          <cell r="C106" t="str">
            <v>DEVELOPER TYPE 1</v>
          </cell>
          <cell r="D106">
            <v>0</v>
          </cell>
          <cell r="E106">
            <v>95.707867401852624</v>
          </cell>
          <cell r="F106">
            <v>100.72649843922967</v>
          </cell>
          <cell r="G106">
            <v>0</v>
          </cell>
          <cell r="H106">
            <v>0</v>
          </cell>
          <cell r="I106">
            <v>105.74512947660671</v>
          </cell>
          <cell r="J106">
            <v>108.75630809903295</v>
          </cell>
          <cell r="K106">
            <v>0</v>
          </cell>
          <cell r="L106">
            <v>90.720602808459176</v>
          </cell>
          <cell r="M106">
            <v>103.18410275580614</v>
          </cell>
          <cell r="N106">
            <v>103.18410275580614</v>
          </cell>
          <cell r="O106">
            <v>110.34628762138226</v>
          </cell>
          <cell r="P106">
            <v>0</v>
          </cell>
          <cell r="Q106">
            <v>92.963118249987218</v>
          </cell>
          <cell r="R106">
            <v>105.01904938006066</v>
          </cell>
          <cell r="S106">
            <v>108.72856665085249</v>
          </cell>
          <cell r="T106">
            <v>0</v>
          </cell>
          <cell r="U106">
            <v>92.963118249987218</v>
          </cell>
          <cell r="V106">
            <v>92.963118249987218</v>
          </cell>
          <cell r="W106">
            <v>89.900200629953957</v>
          </cell>
          <cell r="X106">
            <v>99.056452449407118</v>
          </cell>
          <cell r="Y106">
            <v>87.8413126515496</v>
          </cell>
          <cell r="Z106">
            <v>90.936894224713896</v>
          </cell>
          <cell r="AA106">
            <v>90.936894224713896</v>
          </cell>
          <cell r="AB106">
            <v>88.725764529596546</v>
          </cell>
          <cell r="AC106">
            <v>88.725764529596546</v>
          </cell>
          <cell r="AD106">
            <v>88.725764529596546</v>
          </cell>
          <cell r="AE106">
            <v>0</v>
          </cell>
          <cell r="AF106">
            <v>0</v>
          </cell>
          <cell r="AG106">
            <v>128.05352351055967</v>
          </cell>
          <cell r="AH106">
            <v>133.36247913637783</v>
          </cell>
          <cell r="AI106">
            <v>126.95511889832144</v>
          </cell>
          <cell r="AJ106">
            <v>115.05573559907391</v>
          </cell>
          <cell r="AK106">
            <v>0</v>
          </cell>
          <cell r="AL106">
            <v>110.47904971474794</v>
          </cell>
          <cell r="AM106">
            <v>92.934994613750831</v>
          </cell>
          <cell r="AN106">
            <v>92.934994613750831</v>
          </cell>
          <cell r="AO106">
            <v>92.926472913907944</v>
          </cell>
          <cell r="AP106">
            <v>92.934994613750831</v>
          </cell>
          <cell r="AQ106">
            <v>96.292544351849401</v>
          </cell>
          <cell r="AR106">
            <v>92.934994613750831</v>
          </cell>
          <cell r="AS106">
            <v>99.414335532582129</v>
          </cell>
          <cell r="AT106">
            <v>99.414335532582129</v>
          </cell>
          <cell r="AU106">
            <v>92.397452903822781</v>
          </cell>
          <cell r="AV106">
            <v>99.414335532582129</v>
          </cell>
          <cell r="AW106">
            <v>103.79988717555671</v>
          </cell>
          <cell r="AX106">
            <v>99.414335532582129</v>
          </cell>
          <cell r="AY106">
            <v>0</v>
          </cell>
          <cell r="AZ106">
            <v>103.79988717555671</v>
          </cell>
          <cell r="BA106">
            <v>103.79988717555671</v>
          </cell>
          <cell r="BB106">
            <v>99.063491401144162</v>
          </cell>
          <cell r="BC106">
            <v>0</v>
          </cell>
          <cell r="BD106">
            <v>94.432324416422034</v>
          </cell>
          <cell r="BE106">
            <v>101.1703986707769</v>
          </cell>
          <cell r="BF106">
            <v>95.944071845283702</v>
          </cell>
          <cell r="BG106">
            <v>0</v>
          </cell>
          <cell r="BH106">
            <v>94.432324416422034</v>
          </cell>
          <cell r="BI106">
            <v>100.69527805027754</v>
          </cell>
          <cell r="BJ106">
            <v>100.69527805027754</v>
          </cell>
          <cell r="BK106">
            <v>100.69527805027754</v>
          </cell>
          <cell r="BL106">
            <v>100.69527805027754</v>
          </cell>
          <cell r="BM106">
            <v>133.36247913637783</v>
          </cell>
          <cell r="BN106">
            <v>87.8413126515496</v>
          </cell>
          <cell r="BO106">
            <v>90</v>
          </cell>
          <cell r="BP106">
            <v>100</v>
          </cell>
          <cell r="BQ106">
            <v>368.45849734890567</v>
          </cell>
          <cell r="BR106">
            <v>242.69103479733386</v>
          </cell>
          <cell r="BS106">
            <v>248.65513130938771</v>
          </cell>
          <cell r="BT106">
            <v>0.23897067452651899</v>
          </cell>
          <cell r="BU106">
            <v>0.35766457278024433</v>
          </cell>
          <cell r="BV106">
            <v>0.27</v>
          </cell>
          <cell r="BW106">
            <v>218.79452054794521</v>
          </cell>
          <cell r="BX106">
            <v>9.0184599362658213E-2</v>
          </cell>
          <cell r="BY106">
            <v>248.65513130938771</v>
          </cell>
          <cell r="BZ106">
            <v>0.23897067452651899</v>
          </cell>
          <cell r="CA106">
            <v>248.65513130938771</v>
          </cell>
          <cell r="CB106">
            <v>0.23897067452651899</v>
          </cell>
          <cell r="CD106">
            <v>0</v>
          </cell>
          <cell r="CE106">
            <v>483.6925</v>
          </cell>
          <cell r="CF106">
            <v>200.69492880000001</v>
          </cell>
          <cell r="CG106">
            <v>276.28347923265301</v>
          </cell>
        </row>
        <row r="107">
          <cell r="B107">
            <v>889490</v>
          </cell>
          <cell r="C107" t="str">
            <v>TONER 450</v>
          </cell>
          <cell r="D107">
            <v>94.43590337908168</v>
          </cell>
          <cell r="E107">
            <v>93.871118984046674</v>
          </cell>
          <cell r="F107">
            <v>94.448214755540207</v>
          </cell>
          <cell r="G107">
            <v>98.718723464592372</v>
          </cell>
          <cell r="H107">
            <v>98.718723464592372</v>
          </cell>
          <cell r="I107">
            <v>96.487286481484034</v>
          </cell>
          <cell r="J107">
            <v>98.257046847397547</v>
          </cell>
          <cell r="K107">
            <v>0</v>
          </cell>
          <cell r="L107">
            <v>93.138784450021376</v>
          </cell>
          <cell r="M107">
            <v>95.265871745189273</v>
          </cell>
          <cell r="N107">
            <v>95.265871745189273</v>
          </cell>
          <cell r="O107">
            <v>96.65287757269536</v>
          </cell>
          <cell r="P107">
            <v>93.205477531617433</v>
          </cell>
          <cell r="Q107">
            <v>93.021990422756659</v>
          </cell>
          <cell r="R107">
            <v>99.824198890933047</v>
          </cell>
          <cell r="S107">
            <v>97.063882411093346</v>
          </cell>
          <cell r="T107">
            <v>99.824198890933047</v>
          </cell>
          <cell r="U107">
            <v>94.870416636935019</v>
          </cell>
          <cell r="V107">
            <v>0</v>
          </cell>
          <cell r="W107">
            <v>98.940656031244089</v>
          </cell>
          <cell r="X107">
            <v>101.10811232981952</v>
          </cell>
          <cell r="Y107">
            <v>103.72639953849863</v>
          </cell>
          <cell r="Z107">
            <v>103.72639953849863</v>
          </cell>
          <cell r="AA107">
            <v>105.44302492697037</v>
          </cell>
          <cell r="AB107">
            <v>103.19233830652963</v>
          </cell>
          <cell r="AC107">
            <v>103.01547387256589</v>
          </cell>
          <cell r="AD107">
            <v>104.22924939976812</v>
          </cell>
          <cell r="AE107">
            <v>0</v>
          </cell>
          <cell r="AF107">
            <v>115.79721878006919</v>
          </cell>
          <cell r="AG107">
            <v>121.40184979904981</v>
          </cell>
          <cell r="AH107">
            <v>131.56024352095221</v>
          </cell>
          <cell r="AI107">
            <v>134.71284846912883</v>
          </cell>
          <cell r="AJ107">
            <v>128.05734913408932</v>
          </cell>
          <cell r="AK107">
            <v>117.54866597350065</v>
          </cell>
          <cell r="AL107">
            <v>116.84808709612807</v>
          </cell>
          <cell r="AM107">
            <v>94.012459741478807</v>
          </cell>
          <cell r="AN107">
            <v>94.012459741478807</v>
          </cell>
          <cell r="AO107">
            <v>94.583162830746261</v>
          </cell>
          <cell r="AP107">
            <v>94.481251564805632</v>
          </cell>
          <cell r="AQ107">
            <v>95.194630426389949</v>
          </cell>
          <cell r="AR107">
            <v>94.583162830746261</v>
          </cell>
          <cell r="AS107">
            <v>94.414127631970658</v>
          </cell>
          <cell r="AT107">
            <v>94.414127631970658</v>
          </cell>
          <cell r="AU107">
            <v>93.155400960935239</v>
          </cell>
          <cell r="AV107">
            <v>93.155400960935239</v>
          </cell>
          <cell r="AW107">
            <v>94.414127631970658</v>
          </cell>
          <cell r="AX107">
            <v>94.414127631970658</v>
          </cell>
          <cell r="AY107">
            <v>94.414127631970658</v>
          </cell>
          <cell r="AZ107">
            <v>0</v>
          </cell>
          <cell r="BA107">
            <v>94.414127631970658</v>
          </cell>
          <cell r="BB107">
            <v>94.414127631970658</v>
          </cell>
          <cell r="BC107">
            <v>94.752206801377582</v>
          </cell>
          <cell r="BD107">
            <v>0</v>
          </cell>
          <cell r="BE107">
            <v>95.94025755357751</v>
          </cell>
          <cell r="BF107">
            <v>94.752206801377582</v>
          </cell>
          <cell r="BG107">
            <v>0</v>
          </cell>
          <cell r="BH107">
            <v>94.752206801377582</v>
          </cell>
          <cell r="BI107">
            <v>95.836948792516651</v>
          </cell>
          <cell r="BJ107">
            <v>95.836948792516651</v>
          </cell>
          <cell r="BK107">
            <v>95.836948792516651</v>
          </cell>
          <cell r="BL107">
            <v>95.836948792516651</v>
          </cell>
          <cell r="BM107">
            <v>134.71284846912883</v>
          </cell>
          <cell r="BN107">
            <v>93.021990422756659</v>
          </cell>
          <cell r="BO107">
            <v>90</v>
          </cell>
          <cell r="BP107">
            <v>100</v>
          </cell>
          <cell r="BQ107">
            <v>244.70805881198754</v>
          </cell>
          <cell r="BR107">
            <v>168.97594373410166</v>
          </cell>
          <cell r="BS107">
            <v>163.48644946161835</v>
          </cell>
          <cell r="BT107">
            <v>0.79725290881865307</v>
          </cell>
          <cell r="BU107">
            <v>0.61947916659230517</v>
          </cell>
          <cell r="BV107">
            <v>0.27</v>
          </cell>
          <cell r="BW107">
            <v>85.219178082191789</v>
          </cell>
          <cell r="BX107">
            <v>-6.3161404509482488E-2</v>
          </cell>
          <cell r="BY107">
            <v>163.48644946161835</v>
          </cell>
          <cell r="BZ107">
            <v>0.79725290881865307</v>
          </cell>
          <cell r="CA107">
            <v>163.48644946161835</v>
          </cell>
          <cell r="CB107">
            <v>0.79725290881865307</v>
          </cell>
          <cell r="CC107">
            <v>115</v>
          </cell>
          <cell r="CD107">
            <v>0.42162129966624651</v>
          </cell>
          <cell r="CE107">
            <v>632.78359999999998</v>
          </cell>
          <cell r="CF107">
            <v>90.964632000000009</v>
          </cell>
          <cell r="CG107">
            <v>181.65161051290926</v>
          </cell>
        </row>
        <row r="108">
          <cell r="B108">
            <v>889526</v>
          </cell>
          <cell r="C108" t="str">
            <v>DEVELOPER TYPE A-II BLACK</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82.510703390505995</v>
          </cell>
          <cell r="AK108">
            <v>0</v>
          </cell>
          <cell r="AL108">
            <v>0</v>
          </cell>
          <cell r="AM108">
            <v>0</v>
          </cell>
          <cell r="AN108">
            <v>0</v>
          </cell>
          <cell r="AO108">
            <v>106.07612816868505</v>
          </cell>
          <cell r="AP108">
            <v>106.07612816868505</v>
          </cell>
          <cell r="AQ108">
            <v>106.07612816868505</v>
          </cell>
          <cell r="AR108">
            <v>106.07612816868505</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93.184783934753824</v>
          </cell>
          <cell r="BI108">
            <v>0</v>
          </cell>
          <cell r="BJ108">
            <v>0</v>
          </cell>
          <cell r="BK108">
            <v>0</v>
          </cell>
          <cell r="BL108">
            <v>0</v>
          </cell>
          <cell r="BM108">
            <v>106.07612816868505</v>
          </cell>
          <cell r="BN108">
            <v>82.510703390505995</v>
          </cell>
          <cell r="BO108">
            <v>90</v>
          </cell>
          <cell r="BP108">
            <v>100</v>
          </cell>
          <cell r="BQ108">
            <v>412.24123917948879</v>
          </cell>
          <cell r="BR108">
            <v>320.6594659750682</v>
          </cell>
          <cell r="BS108">
            <v>349.76494868999993</v>
          </cell>
          <cell r="BT108">
            <v>0.44324018240224716</v>
          </cell>
          <cell r="BU108">
            <v>0.45623482080656619</v>
          </cell>
          <cell r="BV108">
            <v>0.27</v>
          </cell>
          <cell r="BW108">
            <v>260.53424657534248</v>
          </cell>
          <cell r="BX108">
            <v>7.5046241648112355E-2</v>
          </cell>
          <cell r="BY108">
            <v>349.76494868999993</v>
          </cell>
          <cell r="BZ108">
            <v>0.44324018240224716</v>
          </cell>
          <cell r="CA108">
            <v>349.76494868999993</v>
          </cell>
          <cell r="CB108">
            <v>0.44324018240224716</v>
          </cell>
          <cell r="CD108">
            <v>0</v>
          </cell>
          <cell r="CE108">
            <v>439.44853664999994</v>
          </cell>
          <cell r="CF108">
            <v>242.347014</v>
          </cell>
          <cell r="CG108">
            <v>388.62772076666664</v>
          </cell>
        </row>
        <row r="109">
          <cell r="B109">
            <v>889541</v>
          </cell>
          <cell r="C109" t="str">
            <v>TONER TYPE B BLACK (8015)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90</v>
          </cell>
          <cell r="BP109">
            <v>100</v>
          </cell>
          <cell r="BQ109" t="e">
            <v>#DIV/0!</v>
          </cell>
          <cell r="BR109" t="e">
            <v>#DIV/0!</v>
          </cell>
          <cell r="BS109" t="e">
            <v>#DIV/0!</v>
          </cell>
          <cell r="BT109" t="e">
            <v>#DIV/0!</v>
          </cell>
          <cell r="BU109" t="e">
            <v>#DIV/0!</v>
          </cell>
          <cell r="BV109">
            <v>0.27</v>
          </cell>
          <cell r="BW109">
            <v>0</v>
          </cell>
          <cell r="BX109" t="e">
            <v>#DIV/0!</v>
          </cell>
          <cell r="BY109" t="e">
            <v>#DIV/0!</v>
          </cell>
          <cell r="BZ109" t="e">
            <v>#DIV/0!</v>
          </cell>
          <cell r="CA109">
            <v>553.4</v>
          </cell>
          <cell r="CB109" t="e">
            <v>#DIV/0!</v>
          </cell>
          <cell r="CE109">
            <v>0</v>
          </cell>
          <cell r="CF109">
            <v>0</v>
          </cell>
          <cell r="CG109" t="e">
            <v>#DIV/0!</v>
          </cell>
        </row>
        <row r="110">
          <cell r="B110">
            <v>889544</v>
          </cell>
          <cell r="C110" t="str">
            <v>TONER TYPE B YELLOW (8015)</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90</v>
          </cell>
          <cell r="BP110">
            <v>100</v>
          </cell>
          <cell r="BQ110" t="e">
            <v>#DIV/0!</v>
          </cell>
          <cell r="BR110" t="e">
            <v>#DIV/0!</v>
          </cell>
          <cell r="BS110" t="e">
            <v>#DIV/0!</v>
          </cell>
          <cell r="BT110" t="e">
            <v>#DIV/0!</v>
          </cell>
          <cell r="BU110" t="e">
            <v>#DIV/0!</v>
          </cell>
          <cell r="BV110">
            <v>0.27</v>
          </cell>
          <cell r="BW110">
            <v>0</v>
          </cell>
          <cell r="BX110" t="e">
            <v>#DIV/0!</v>
          </cell>
          <cell r="BY110" t="e">
            <v>#DIV/0!</v>
          </cell>
          <cell r="BZ110" t="e">
            <v>#DIV/0!</v>
          </cell>
          <cell r="CA110">
            <v>553.4</v>
          </cell>
          <cell r="CB110" t="e">
            <v>#DIV/0!</v>
          </cell>
          <cell r="CE110">
            <v>0</v>
          </cell>
          <cell r="CF110">
            <v>0</v>
          </cell>
          <cell r="CG110" t="e">
            <v>#DIV/0!</v>
          </cell>
        </row>
        <row r="111">
          <cell r="B111">
            <v>889547</v>
          </cell>
          <cell r="C111" t="str">
            <v>TONER TYPE B MAGENTA (8015)</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t="e">
            <v>#DIV/0!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t="e">
            <v>#DIV/0!</v>
          </cell>
          <cell r="BN111" t="e">
            <v>#DIV/0!</v>
          </cell>
          <cell r="BO111">
            <v>90</v>
          </cell>
          <cell r="BP111">
            <v>100</v>
          </cell>
          <cell r="BQ111" t="e">
            <v>#DIV/0!</v>
          </cell>
          <cell r="BR111" t="e">
            <v>#DIV/0!</v>
          </cell>
          <cell r="BS111">
            <v>533.39871600000004</v>
          </cell>
          <cell r="BT111">
            <v>-0.1</v>
          </cell>
          <cell r="BU111">
            <v>1</v>
          </cell>
          <cell r="BV111">
            <v>0.27</v>
          </cell>
          <cell r="BW111">
            <v>0</v>
          </cell>
          <cell r="BX111">
            <v>-1</v>
          </cell>
          <cell r="BY111">
            <v>533.39871600000004</v>
          </cell>
          <cell r="BZ111">
            <v>-0.1</v>
          </cell>
          <cell r="CA111">
            <v>533.39871600000004</v>
          </cell>
          <cell r="CB111">
            <v>-0.1</v>
          </cell>
          <cell r="CE111">
            <v>592.66524000000004</v>
          </cell>
          <cell r="CF111">
            <v>592.66524000000004</v>
          </cell>
          <cell r="CG111">
            <v>592.66524000000004</v>
          </cell>
        </row>
        <row r="112">
          <cell r="B112">
            <v>889550</v>
          </cell>
          <cell r="C112" t="str">
            <v>TONER TYPE B CYAN (8015)</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90</v>
          </cell>
          <cell r="BP112">
            <v>100</v>
          </cell>
          <cell r="BQ112" t="e">
            <v>#DIV/0!</v>
          </cell>
          <cell r="BR112" t="e">
            <v>#DIV/0!</v>
          </cell>
          <cell r="BS112" t="e">
            <v>#DIV/0!</v>
          </cell>
          <cell r="BT112" t="e">
            <v>#DIV/0!</v>
          </cell>
          <cell r="BU112" t="e">
            <v>#DIV/0!</v>
          </cell>
          <cell r="BV112">
            <v>0.27</v>
          </cell>
          <cell r="BW112">
            <v>0</v>
          </cell>
          <cell r="BX112" t="e">
            <v>#DIV/0!</v>
          </cell>
          <cell r="BY112" t="e">
            <v>#DIV/0!</v>
          </cell>
          <cell r="BZ112" t="e">
            <v>#DIV/0!</v>
          </cell>
          <cell r="CA112">
            <v>553.4</v>
          </cell>
          <cell r="CB112" t="e">
            <v>#DIV/0!</v>
          </cell>
          <cell r="CE112">
            <v>0</v>
          </cell>
          <cell r="CF112">
            <v>0</v>
          </cell>
          <cell r="CG112" t="e">
            <v>#DIV/0!</v>
          </cell>
        </row>
        <row r="113">
          <cell r="B113">
            <v>889553</v>
          </cell>
          <cell r="C113" t="str">
            <v>DEVELOPER TYPE B YELLOW (8015)</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90</v>
          </cell>
          <cell r="BP113">
            <v>100</v>
          </cell>
          <cell r="BQ113" t="e">
            <v>#DIV/0!</v>
          </cell>
          <cell r="BR113" t="e">
            <v>#DIV/0!</v>
          </cell>
          <cell r="BS113" t="e">
            <v>#DIV/0!</v>
          </cell>
          <cell r="BT113" t="e">
            <v>#DIV/0!</v>
          </cell>
          <cell r="BU113" t="e">
            <v>#DIV/0!</v>
          </cell>
          <cell r="BV113">
            <v>0.27</v>
          </cell>
          <cell r="BW113">
            <v>0</v>
          </cell>
          <cell r="BX113" t="e">
            <v>#DIV/0!</v>
          </cell>
          <cell r="BY113" t="e">
            <v>#DIV/0!</v>
          </cell>
          <cell r="BZ113" t="e">
            <v>#DIV/0!</v>
          </cell>
          <cell r="CA113" t="e">
            <v>#DIV/0!</v>
          </cell>
          <cell r="CB113" t="e">
            <v>#DIV/0!</v>
          </cell>
          <cell r="CE113">
            <v>0</v>
          </cell>
          <cell r="CF113">
            <v>0</v>
          </cell>
          <cell r="CG113" t="e">
            <v>#DIV/0!</v>
          </cell>
        </row>
        <row r="114">
          <cell r="B114">
            <v>889556</v>
          </cell>
          <cell r="C114" t="str">
            <v>DEVELOPER TYPE B MAGENTA (8015)</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90</v>
          </cell>
          <cell r="BP114">
            <v>100</v>
          </cell>
          <cell r="BQ114" t="e">
            <v>#DIV/0!</v>
          </cell>
          <cell r="BR114" t="e">
            <v>#DIV/0!</v>
          </cell>
          <cell r="BS114" t="e">
            <v>#DIV/0!</v>
          </cell>
          <cell r="BT114" t="e">
            <v>#DIV/0!</v>
          </cell>
          <cell r="BU114" t="e">
            <v>#DIV/0!</v>
          </cell>
          <cell r="BV114">
            <v>0.27</v>
          </cell>
          <cell r="BW114">
            <v>0</v>
          </cell>
          <cell r="BX114" t="e">
            <v>#DIV/0!</v>
          </cell>
          <cell r="BY114" t="e">
            <v>#DIV/0!</v>
          </cell>
          <cell r="BZ114" t="e">
            <v>#DIV/0!</v>
          </cell>
          <cell r="CA114" t="e">
            <v>#DIV/0!</v>
          </cell>
          <cell r="CB114" t="e">
            <v>#DIV/0!</v>
          </cell>
          <cell r="CE114">
            <v>0</v>
          </cell>
          <cell r="CF114">
            <v>0</v>
          </cell>
          <cell r="CG114" t="e">
            <v>#DIV/0!</v>
          </cell>
        </row>
        <row r="115">
          <cell r="B115">
            <v>889562</v>
          </cell>
          <cell r="C115" t="str">
            <v>DEVELOPER TYPE B BLACK (8015)</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90</v>
          </cell>
          <cell r="BP115">
            <v>100</v>
          </cell>
          <cell r="BQ115" t="e">
            <v>#DIV/0!</v>
          </cell>
          <cell r="BR115" t="e">
            <v>#DIV/0!</v>
          </cell>
          <cell r="BS115" t="e">
            <v>#DIV/0!</v>
          </cell>
          <cell r="BT115" t="e">
            <v>#DIV/0!</v>
          </cell>
          <cell r="BU115" t="e">
            <v>#DIV/0!</v>
          </cell>
          <cell r="BV115">
            <v>0.27</v>
          </cell>
          <cell r="BW115">
            <v>0</v>
          </cell>
          <cell r="BX115" t="e">
            <v>#DIV/0!</v>
          </cell>
          <cell r="BY115" t="e">
            <v>#DIV/0!</v>
          </cell>
          <cell r="BZ115" t="e">
            <v>#DIV/0!</v>
          </cell>
          <cell r="CA115" t="e">
            <v>#DIV/0!</v>
          </cell>
          <cell r="CB115" t="e">
            <v>#DIV/0!</v>
          </cell>
          <cell r="CE115">
            <v>0</v>
          </cell>
          <cell r="CF115">
            <v>0</v>
          </cell>
          <cell r="CG115" t="e">
            <v>#DIV/0!</v>
          </cell>
        </row>
        <row r="116">
          <cell r="B116">
            <v>889580</v>
          </cell>
          <cell r="C116" t="str">
            <v>DEVELOPER 8800</v>
          </cell>
          <cell r="D116">
            <v>0</v>
          </cell>
          <cell r="E116">
            <v>0</v>
          </cell>
          <cell r="F116">
            <v>87.766231046876641</v>
          </cell>
          <cell r="G116">
            <v>0</v>
          </cell>
          <cell r="H116">
            <v>0</v>
          </cell>
          <cell r="I116">
            <v>0</v>
          </cell>
          <cell r="J116">
            <v>0</v>
          </cell>
          <cell r="K116">
            <v>0</v>
          </cell>
          <cell r="L116">
            <v>0</v>
          </cell>
          <cell r="M116">
            <v>95.736749293076542</v>
          </cell>
          <cell r="N116">
            <v>95.736749293076542</v>
          </cell>
          <cell r="O116">
            <v>99.162271215421271</v>
          </cell>
          <cell r="P116">
            <v>0</v>
          </cell>
          <cell r="Q116">
            <v>96.088160312203982</v>
          </cell>
          <cell r="R116">
            <v>0</v>
          </cell>
          <cell r="S116">
            <v>0</v>
          </cell>
          <cell r="T116">
            <v>0</v>
          </cell>
          <cell r="U116">
            <v>0</v>
          </cell>
          <cell r="V116">
            <v>0</v>
          </cell>
          <cell r="W116">
            <v>95.345569483220018</v>
          </cell>
          <cell r="X116">
            <v>93.481672654838363</v>
          </cell>
          <cell r="Y116">
            <v>93.481672654838363</v>
          </cell>
          <cell r="Z116">
            <v>0</v>
          </cell>
          <cell r="AA116">
            <v>0</v>
          </cell>
          <cell r="AB116">
            <v>0</v>
          </cell>
          <cell r="AC116">
            <v>0</v>
          </cell>
          <cell r="AD116">
            <v>94.044565116523543</v>
          </cell>
          <cell r="AE116">
            <v>0</v>
          </cell>
          <cell r="AF116">
            <v>0</v>
          </cell>
          <cell r="AG116">
            <v>94.868948005395467</v>
          </cell>
          <cell r="AH116">
            <v>0</v>
          </cell>
          <cell r="AI116">
            <v>97.658137347908593</v>
          </cell>
          <cell r="AJ116">
            <v>97.658137347908593</v>
          </cell>
          <cell r="AK116">
            <v>0</v>
          </cell>
          <cell r="AL116">
            <v>0</v>
          </cell>
          <cell r="AM116">
            <v>97.559928252625355</v>
          </cell>
          <cell r="AN116">
            <v>97.559928252625355</v>
          </cell>
          <cell r="AO116">
            <v>118.20795398993553</v>
          </cell>
          <cell r="AP116">
            <v>126.96148111049098</v>
          </cell>
          <cell r="AQ116">
            <v>126.96148111049098</v>
          </cell>
          <cell r="AR116">
            <v>101.21581310885733</v>
          </cell>
          <cell r="AS116">
            <v>99.225146667856635</v>
          </cell>
          <cell r="AT116">
            <v>0</v>
          </cell>
          <cell r="AU116">
            <v>0</v>
          </cell>
          <cell r="AV116">
            <v>0</v>
          </cell>
          <cell r="AW116">
            <v>0</v>
          </cell>
          <cell r="AX116">
            <v>0</v>
          </cell>
          <cell r="AY116">
            <v>0</v>
          </cell>
          <cell r="AZ116">
            <v>0</v>
          </cell>
          <cell r="BA116">
            <v>0</v>
          </cell>
          <cell r="BB116">
            <v>0</v>
          </cell>
          <cell r="BC116">
            <v>0</v>
          </cell>
          <cell r="BD116">
            <v>0</v>
          </cell>
          <cell r="BE116">
            <v>98.21133165584591</v>
          </cell>
          <cell r="BF116">
            <v>0</v>
          </cell>
          <cell r="BG116">
            <v>0</v>
          </cell>
          <cell r="BH116">
            <v>0</v>
          </cell>
          <cell r="BI116">
            <v>97.689357359994659</v>
          </cell>
          <cell r="BJ116">
            <v>0</v>
          </cell>
          <cell r="BK116">
            <v>97.689357359994659</v>
          </cell>
          <cell r="BL116">
            <v>97.689357359994659</v>
          </cell>
          <cell r="BM116">
            <v>126.96148111049098</v>
          </cell>
          <cell r="BN116">
            <v>87.766231046876641</v>
          </cell>
          <cell r="BO116">
            <v>90</v>
          </cell>
          <cell r="BP116">
            <v>100</v>
          </cell>
          <cell r="BQ116">
            <v>708.11455313653062</v>
          </cell>
          <cell r="BR116">
            <v>489.50709250272871</v>
          </cell>
          <cell r="BS116">
            <v>501.96570822000001</v>
          </cell>
          <cell r="BT116">
            <v>0.64041081117647058</v>
          </cell>
          <cell r="BU116">
            <v>0.40163243209362987</v>
          </cell>
          <cell r="BV116">
            <v>0.27</v>
          </cell>
          <cell r="BW116">
            <v>411.45205479452056</v>
          </cell>
          <cell r="BX116">
            <v>0.34461455815202791</v>
          </cell>
          <cell r="BY116">
            <v>501.96570822000001</v>
          </cell>
          <cell r="BZ116">
            <v>0.64041081117647058</v>
          </cell>
          <cell r="CA116">
            <v>501.96570822000001</v>
          </cell>
          <cell r="CB116">
            <v>0.64041081117647058</v>
          </cell>
          <cell r="CD116">
            <v>0</v>
          </cell>
          <cell r="CE116">
            <v>1112.538</v>
          </cell>
          <cell r="CF116">
            <v>306</v>
          </cell>
          <cell r="CG116">
            <v>557.73967579999999</v>
          </cell>
        </row>
        <row r="117">
          <cell r="B117">
            <v>889604</v>
          </cell>
          <cell r="C117" t="str">
            <v>FAX TONER TYPE 30</v>
          </cell>
          <cell r="D117">
            <v>91.769194378870253</v>
          </cell>
          <cell r="E117">
            <v>99.493314837161236</v>
          </cell>
          <cell r="F117">
            <v>104.52829706182499</v>
          </cell>
          <cell r="G117">
            <v>94.515548319595936</v>
          </cell>
          <cell r="H117">
            <v>0</v>
          </cell>
          <cell r="I117">
            <v>97.776843624207686</v>
          </cell>
          <cell r="J117">
            <v>97.776843624207686</v>
          </cell>
          <cell r="K117">
            <v>99.493314837161236</v>
          </cell>
          <cell r="L117">
            <v>91.551488613360647</v>
          </cell>
          <cell r="M117">
            <v>102.3749124055409</v>
          </cell>
          <cell r="N117">
            <v>0</v>
          </cell>
          <cell r="O117">
            <v>124.26228051861651</v>
          </cell>
          <cell r="P117">
            <v>88.941978623616478</v>
          </cell>
          <cell r="Q117">
            <v>92.034504041803572</v>
          </cell>
          <cell r="R117">
            <v>0</v>
          </cell>
          <cell r="S117">
            <v>110.20022742419157</v>
          </cell>
          <cell r="T117">
            <v>0</v>
          </cell>
          <cell r="U117">
            <v>94.531431972043549</v>
          </cell>
          <cell r="V117">
            <v>92.057411637493857</v>
          </cell>
          <cell r="W117">
            <v>89.852777384753281</v>
          </cell>
          <cell r="X117">
            <v>86.64875626169264</v>
          </cell>
          <cell r="Y117">
            <v>89.717396210539448</v>
          </cell>
          <cell r="Z117">
            <v>93.746597824046304</v>
          </cell>
          <cell r="AA117">
            <v>94.346143024136126</v>
          </cell>
          <cell r="AB117">
            <v>94.552438146747676</v>
          </cell>
          <cell r="AC117">
            <v>98.581639760254518</v>
          </cell>
          <cell r="AD117">
            <v>92.134917178643562</v>
          </cell>
          <cell r="AE117">
            <v>92.134917178643562</v>
          </cell>
          <cell r="AF117">
            <v>91.026963618535589</v>
          </cell>
          <cell r="AG117">
            <v>92.492100534132419</v>
          </cell>
          <cell r="AH117">
            <v>99.980578102738434</v>
          </cell>
          <cell r="AI117">
            <v>104.05040286828518</v>
          </cell>
          <cell r="AJ117">
            <v>105.44716672782081</v>
          </cell>
          <cell r="AK117">
            <v>92.654893524754286</v>
          </cell>
          <cell r="AL117">
            <v>92.654893524754286</v>
          </cell>
          <cell r="AM117">
            <v>100.80571442265875</v>
          </cell>
          <cell r="AN117">
            <v>100.80571442265875</v>
          </cell>
          <cell r="AO117">
            <v>101.18461113899147</v>
          </cell>
          <cell r="AP117">
            <v>104.29156421291979</v>
          </cell>
          <cell r="AQ117">
            <v>113.43055301086505</v>
          </cell>
          <cell r="AR117">
            <v>99.365906900594396</v>
          </cell>
          <cell r="AS117">
            <v>96.719096847078617</v>
          </cell>
          <cell r="AT117">
            <v>96.719096847078617</v>
          </cell>
          <cell r="AU117">
            <v>90.479323478042758</v>
          </cell>
          <cell r="AV117">
            <v>92.039266820301719</v>
          </cell>
          <cell r="AW117">
            <v>0</v>
          </cell>
          <cell r="AX117">
            <v>101.3989268738555</v>
          </cell>
          <cell r="AY117">
            <v>109.19864358515032</v>
          </cell>
          <cell r="AZ117">
            <v>101.3989268738555</v>
          </cell>
          <cell r="BA117">
            <v>101.3989268738555</v>
          </cell>
          <cell r="BB117">
            <v>101.3989268738555</v>
          </cell>
          <cell r="BC117">
            <v>92.797713084185148</v>
          </cell>
          <cell r="BD117">
            <v>0</v>
          </cell>
          <cell r="BE117">
            <v>123.14101858503741</v>
          </cell>
          <cell r="BF117">
            <v>92.797713084185148</v>
          </cell>
          <cell r="BG117">
            <v>92.797713084185148</v>
          </cell>
          <cell r="BH117">
            <v>103.9363948503208</v>
          </cell>
          <cell r="BI117">
            <v>123.14101858503741</v>
          </cell>
          <cell r="BJ117">
            <v>123.14101858503741</v>
          </cell>
          <cell r="BK117">
            <v>123.14101858503741</v>
          </cell>
          <cell r="BL117">
            <v>123.14101858503741</v>
          </cell>
          <cell r="BM117">
            <v>124.26228051861651</v>
          </cell>
          <cell r="BN117">
            <v>86.64875626169264</v>
          </cell>
          <cell r="BO117">
            <v>90</v>
          </cell>
          <cell r="BP117">
            <v>100</v>
          </cell>
          <cell r="BQ117">
            <v>516.36231386846771</v>
          </cell>
          <cell r="BR117">
            <v>360.0622175158727</v>
          </cell>
          <cell r="BS117">
            <v>373.98805216036368</v>
          </cell>
          <cell r="BT117">
            <v>0.16072336634706019</v>
          </cell>
          <cell r="BU117">
            <v>0.19743425420634142</v>
          </cell>
          <cell r="BV117">
            <v>0.27</v>
          </cell>
          <cell r="BW117">
            <v>411.16438356164383</v>
          </cell>
          <cell r="BX117">
            <v>0.2761052248937732</v>
          </cell>
          <cell r="BY117">
            <v>411.16438356164383</v>
          </cell>
          <cell r="BZ117">
            <v>0.2761052248937732</v>
          </cell>
          <cell r="CA117">
            <v>411.16438356164383</v>
          </cell>
          <cell r="CB117">
            <v>0.2761052248937732</v>
          </cell>
          <cell r="CD117">
            <v>0</v>
          </cell>
          <cell r="CE117">
            <v>585.16200000000003</v>
          </cell>
          <cell r="CF117">
            <v>322.20257040000001</v>
          </cell>
          <cell r="CG117">
            <v>415.54228017818184</v>
          </cell>
        </row>
        <row r="118">
          <cell r="B118">
            <v>889606</v>
          </cell>
          <cell r="C118" t="str">
            <v>MASTER TYPE 80 (MV715)</v>
          </cell>
          <cell r="D118">
            <v>91.537028499357163</v>
          </cell>
          <cell r="E118">
            <v>90.819741911719731</v>
          </cell>
          <cell r="F118">
            <v>90.819741911719731</v>
          </cell>
          <cell r="G118">
            <v>0</v>
          </cell>
          <cell r="H118">
            <v>0</v>
          </cell>
          <cell r="I118">
            <v>89.286018970551126</v>
          </cell>
          <cell r="J118">
            <v>0</v>
          </cell>
          <cell r="K118">
            <v>0</v>
          </cell>
          <cell r="L118">
            <v>84.070431441522587</v>
          </cell>
          <cell r="M118">
            <v>84.278831855710479</v>
          </cell>
          <cell r="N118">
            <v>0</v>
          </cell>
          <cell r="O118">
            <v>0</v>
          </cell>
          <cell r="P118">
            <v>0</v>
          </cell>
          <cell r="Q118">
            <v>88.388821724426307</v>
          </cell>
          <cell r="R118">
            <v>122.92507221582579</v>
          </cell>
          <cell r="S118">
            <v>104.61490492943727</v>
          </cell>
          <cell r="T118">
            <v>122.92507221582579</v>
          </cell>
          <cell r="U118">
            <v>88.388821724426307</v>
          </cell>
          <cell r="V118">
            <v>88.388821724426307</v>
          </cell>
          <cell r="W118">
            <v>88.626218239775397</v>
          </cell>
          <cell r="X118">
            <v>0</v>
          </cell>
          <cell r="Y118">
            <v>98.390895496119427</v>
          </cell>
          <cell r="Z118">
            <v>0</v>
          </cell>
          <cell r="AA118">
            <v>98.390895496119427</v>
          </cell>
          <cell r="AB118">
            <v>98.390895496119427</v>
          </cell>
          <cell r="AC118">
            <v>98.390895496119427</v>
          </cell>
          <cell r="AD118">
            <v>98.390895496119427</v>
          </cell>
          <cell r="AE118">
            <v>0</v>
          </cell>
          <cell r="AF118">
            <v>0</v>
          </cell>
          <cell r="AG118">
            <v>104.16873075053321</v>
          </cell>
          <cell r="AH118">
            <v>0</v>
          </cell>
          <cell r="AI118">
            <v>111.21696963152071</v>
          </cell>
          <cell r="AJ118">
            <v>111.21696963152071</v>
          </cell>
          <cell r="AK118">
            <v>0</v>
          </cell>
          <cell r="AL118">
            <v>0</v>
          </cell>
          <cell r="AM118">
            <v>104.70712188807921</v>
          </cell>
          <cell r="AN118">
            <v>104.70712188807921</v>
          </cell>
          <cell r="AO118">
            <v>107.65789877536849</v>
          </cell>
          <cell r="AP118">
            <v>107.65789877536849</v>
          </cell>
          <cell r="AQ118">
            <v>107.65789877536849</v>
          </cell>
          <cell r="AR118">
            <v>107.65789877536849</v>
          </cell>
          <cell r="AS118">
            <v>0</v>
          </cell>
          <cell r="AT118">
            <v>103.00290843796611</v>
          </cell>
          <cell r="AU118">
            <v>93.837221734299334</v>
          </cell>
          <cell r="AV118">
            <v>0</v>
          </cell>
          <cell r="AW118">
            <v>0</v>
          </cell>
          <cell r="AX118">
            <v>0</v>
          </cell>
          <cell r="AY118">
            <v>103.00290843796611</v>
          </cell>
          <cell r="AZ118">
            <v>0</v>
          </cell>
          <cell r="BA118">
            <v>0</v>
          </cell>
          <cell r="BB118">
            <v>0</v>
          </cell>
          <cell r="BC118">
            <v>103.2422238266204</v>
          </cell>
          <cell r="BD118">
            <v>0</v>
          </cell>
          <cell r="BE118">
            <v>103.2422238266204</v>
          </cell>
          <cell r="BF118">
            <v>0</v>
          </cell>
          <cell r="BG118">
            <v>0</v>
          </cell>
          <cell r="BH118">
            <v>0</v>
          </cell>
          <cell r="BI118">
            <v>0</v>
          </cell>
          <cell r="BJ118">
            <v>0</v>
          </cell>
          <cell r="BK118">
            <v>0</v>
          </cell>
          <cell r="BL118">
            <v>0</v>
          </cell>
          <cell r="BM118">
            <v>122.92507221582579</v>
          </cell>
          <cell r="BN118">
            <v>84.070431441522587</v>
          </cell>
          <cell r="BO118">
            <v>90</v>
          </cell>
          <cell r="BP118">
            <v>100</v>
          </cell>
          <cell r="BQ118">
            <v>407.50580803844156</v>
          </cell>
          <cell r="BR118">
            <v>278.69976790875882</v>
          </cell>
          <cell r="BS118">
            <v>298.35673115624991</v>
          </cell>
          <cell r="BT118">
            <v>0.30466814974484402</v>
          </cell>
          <cell r="BU118">
            <v>0.33157197685089868</v>
          </cell>
          <cell r="BV118">
            <v>0.27</v>
          </cell>
          <cell r="BW118">
            <v>273.1917808219178</v>
          </cell>
          <cell r="BX118">
            <v>0.1946256879445778</v>
          </cell>
          <cell r="BY118">
            <v>298.35673115624991</v>
          </cell>
          <cell r="BZ118">
            <v>0.30466814974484402</v>
          </cell>
          <cell r="CA118">
            <v>298.35673115624991</v>
          </cell>
          <cell r="CB118">
            <v>0.30466814974484402</v>
          </cell>
          <cell r="CD118">
            <v>0</v>
          </cell>
          <cell r="CE118">
            <v>479.48610600000006</v>
          </cell>
          <cell r="CF118">
            <v>228.684</v>
          </cell>
          <cell r="CG118">
            <v>331.5074790624999</v>
          </cell>
        </row>
        <row r="119">
          <cell r="B119">
            <v>889614</v>
          </cell>
          <cell r="C119" t="str">
            <v>TONER TYPE 2205D (AF250)</v>
          </cell>
          <cell r="D119">
            <v>0</v>
          </cell>
          <cell r="E119">
            <v>98.954162435887625</v>
          </cell>
          <cell r="F119">
            <v>100.43485366422172</v>
          </cell>
          <cell r="G119">
            <v>0</v>
          </cell>
          <cell r="H119">
            <v>0</v>
          </cell>
          <cell r="I119">
            <v>116.86574987541293</v>
          </cell>
          <cell r="J119">
            <v>122.23922610727053</v>
          </cell>
          <cell r="K119">
            <v>0</v>
          </cell>
          <cell r="L119">
            <v>91.560259140851585</v>
          </cell>
          <cell r="M119">
            <v>95.656352602872005</v>
          </cell>
          <cell r="N119">
            <v>95.656352602872005</v>
          </cell>
          <cell r="O119">
            <v>105.93674403696242</v>
          </cell>
          <cell r="P119">
            <v>0</v>
          </cell>
          <cell r="Q119">
            <v>95.387420864419994</v>
          </cell>
          <cell r="R119">
            <v>103.03681504269342</v>
          </cell>
          <cell r="S119">
            <v>110.68620922096686</v>
          </cell>
          <cell r="T119">
            <v>110.68620922096686</v>
          </cell>
          <cell r="U119">
            <v>0</v>
          </cell>
          <cell r="V119">
            <v>0</v>
          </cell>
          <cell r="W119">
            <v>90.7052659930863</v>
          </cell>
          <cell r="X119">
            <v>75.124992024682797</v>
          </cell>
          <cell r="Y119">
            <v>99.343034462615691</v>
          </cell>
          <cell r="Z119">
            <v>106.23172208940549</v>
          </cell>
          <cell r="AA119">
            <v>106.23172208940549</v>
          </cell>
          <cell r="AB119">
            <v>101.30738679369247</v>
          </cell>
          <cell r="AC119">
            <v>101.30738679369247</v>
          </cell>
          <cell r="AD119">
            <v>101.30738679369247</v>
          </cell>
          <cell r="AE119">
            <v>101.30738679369247</v>
          </cell>
          <cell r="AF119">
            <v>0</v>
          </cell>
          <cell r="AG119">
            <v>106.32076130703086</v>
          </cell>
          <cell r="AH119">
            <v>108.84852333748141</v>
          </cell>
          <cell r="AI119">
            <v>116.35026871817335</v>
          </cell>
          <cell r="AJ119">
            <v>116.35026871817335</v>
          </cell>
          <cell r="AK119">
            <v>0</v>
          </cell>
          <cell r="AL119">
            <v>0</v>
          </cell>
          <cell r="AM119">
            <v>93.732218233768421</v>
          </cell>
          <cell r="AN119">
            <v>93.732218233768421</v>
          </cell>
          <cell r="AO119">
            <v>106.7007926518411</v>
          </cell>
          <cell r="AP119">
            <v>107.8394967470865</v>
          </cell>
          <cell r="AQ119">
            <v>107.8394967470865</v>
          </cell>
          <cell r="AR119">
            <v>103.22141902748014</v>
          </cell>
          <cell r="AS119">
            <v>105.44317233347886</v>
          </cell>
          <cell r="AT119">
            <v>92.420612390863454</v>
          </cell>
          <cell r="AU119">
            <v>79.398052448248052</v>
          </cell>
          <cell r="AV119">
            <v>79.398052448248052</v>
          </cell>
          <cell r="AW119">
            <v>0</v>
          </cell>
          <cell r="AX119">
            <v>82.653692433901895</v>
          </cell>
          <cell r="AY119">
            <v>0</v>
          </cell>
          <cell r="AZ119">
            <v>0</v>
          </cell>
          <cell r="BA119">
            <v>105.44317233347886</v>
          </cell>
          <cell r="BB119">
            <v>92.420612390863454</v>
          </cell>
          <cell r="BC119">
            <v>0</v>
          </cell>
          <cell r="BD119">
            <v>90.635034897557063</v>
          </cell>
          <cell r="BE119">
            <v>98.13009221090968</v>
          </cell>
          <cell r="BF119">
            <v>0</v>
          </cell>
          <cell r="BG119">
            <v>0</v>
          </cell>
          <cell r="BH119">
            <v>90.635034897557063</v>
          </cell>
          <cell r="BI119">
            <v>98.13009221090968</v>
          </cell>
          <cell r="BJ119">
            <v>98.13009221090968</v>
          </cell>
          <cell r="BK119">
            <v>98.13009221090968</v>
          </cell>
          <cell r="BL119">
            <v>98.13009221090968</v>
          </cell>
          <cell r="BM119">
            <v>122.23922610727053</v>
          </cell>
          <cell r="BN119">
            <v>75.124992024682797</v>
          </cell>
          <cell r="BO119">
            <v>90</v>
          </cell>
          <cell r="BP119">
            <v>100</v>
          </cell>
          <cell r="BQ119">
            <v>223.24244227603933</v>
          </cell>
          <cell r="BR119">
            <v>137.19889457448599</v>
          </cell>
          <cell r="BS119">
            <v>164.36474971800007</v>
          </cell>
          <cell r="BT119">
            <v>0.36818962313465176</v>
          </cell>
          <cell r="BU119">
            <v>0.39317888920146504</v>
          </cell>
          <cell r="BV119">
            <v>0.27</v>
          </cell>
          <cell r="BW119">
            <v>136.63013698630138</v>
          </cell>
          <cell r="BX119">
            <v>0.13732376286794312</v>
          </cell>
          <cell r="BY119">
            <v>164.36474971800007</v>
          </cell>
          <cell r="BZ119">
            <v>0.36818962313465176</v>
          </cell>
          <cell r="CA119">
            <v>165.5</v>
          </cell>
          <cell r="CB119">
            <v>0.37763956698306145</v>
          </cell>
          <cell r="CD119">
            <v>0</v>
          </cell>
          <cell r="CE119">
            <v>238.5</v>
          </cell>
          <cell r="CF119">
            <v>120.13301880000002</v>
          </cell>
          <cell r="CG119">
            <v>182.62749968666674</v>
          </cell>
        </row>
        <row r="120">
          <cell r="B120">
            <v>889735</v>
          </cell>
          <cell r="C120" t="str">
            <v>TONER TYPE 9100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t="e">
            <v>#DIV/0!</v>
          </cell>
          <cell r="BF120">
            <v>0</v>
          </cell>
          <cell r="BG120">
            <v>0</v>
          </cell>
          <cell r="BH120">
            <v>0</v>
          </cell>
          <cell r="BI120">
            <v>0</v>
          </cell>
          <cell r="BJ120">
            <v>0</v>
          </cell>
          <cell r="BK120">
            <v>0</v>
          </cell>
          <cell r="BL120">
            <v>0</v>
          </cell>
          <cell r="BM120" t="e">
            <v>#DIV/0!</v>
          </cell>
          <cell r="BN120" t="e">
            <v>#DIV/0!</v>
          </cell>
          <cell r="BO120">
            <v>90</v>
          </cell>
          <cell r="BP120">
            <v>100</v>
          </cell>
          <cell r="BQ120" t="e">
            <v>#DIV/0!</v>
          </cell>
          <cell r="BR120" t="e">
            <v>#DIV/0!</v>
          </cell>
          <cell r="BS120">
            <v>550.64545955999995</v>
          </cell>
          <cell r="BT120">
            <v>-0.1</v>
          </cell>
          <cell r="BU120">
            <v>1</v>
          </cell>
          <cell r="BV120">
            <v>0.27</v>
          </cell>
          <cell r="BW120">
            <v>0</v>
          </cell>
          <cell r="BX120">
            <v>-1</v>
          </cell>
          <cell r="BY120">
            <v>550.64545955999995</v>
          </cell>
          <cell r="BZ120">
            <v>-0.1</v>
          </cell>
          <cell r="CA120">
            <v>550.64545955999995</v>
          </cell>
          <cell r="CB120">
            <v>-0.1</v>
          </cell>
          <cell r="CE120">
            <v>611.82828839999991</v>
          </cell>
          <cell r="CF120">
            <v>611.82828839999991</v>
          </cell>
          <cell r="CG120">
            <v>611.82828839999991</v>
          </cell>
        </row>
        <row r="121">
          <cell r="B121">
            <v>889736</v>
          </cell>
          <cell r="C121" t="str">
            <v>DEVELOPER TYPE 9100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t="e">
            <v>#DIV/0!</v>
          </cell>
          <cell r="BF121">
            <v>0</v>
          </cell>
          <cell r="BG121">
            <v>0</v>
          </cell>
          <cell r="BH121">
            <v>0</v>
          </cell>
          <cell r="BI121">
            <v>0</v>
          </cell>
          <cell r="BJ121">
            <v>0</v>
          </cell>
          <cell r="BK121">
            <v>0</v>
          </cell>
          <cell r="BL121">
            <v>0</v>
          </cell>
          <cell r="BM121" t="e">
            <v>#DIV/0!</v>
          </cell>
          <cell r="BN121" t="e">
            <v>#DIV/0!</v>
          </cell>
          <cell r="BO121">
            <v>90</v>
          </cell>
          <cell r="BP121">
            <v>100</v>
          </cell>
          <cell r="BQ121" t="e">
            <v>#DIV/0!</v>
          </cell>
          <cell r="BR121" t="e">
            <v>#DIV/0!</v>
          </cell>
          <cell r="BS121">
            <v>164.09403864000001</v>
          </cell>
          <cell r="BT121">
            <v>-0.1</v>
          </cell>
          <cell r="BU121">
            <v>1</v>
          </cell>
          <cell r="BV121">
            <v>0.27</v>
          </cell>
          <cell r="BW121">
            <v>0</v>
          </cell>
          <cell r="BX121">
            <v>-1</v>
          </cell>
          <cell r="BY121">
            <v>164.09403864000001</v>
          </cell>
          <cell r="BZ121">
            <v>-0.1</v>
          </cell>
          <cell r="CA121">
            <v>164.09403864000001</v>
          </cell>
          <cell r="CB121">
            <v>-0.1</v>
          </cell>
          <cell r="CE121">
            <v>182.32670960000002</v>
          </cell>
          <cell r="CF121">
            <v>182.32670960000002</v>
          </cell>
          <cell r="CG121">
            <v>182.32670960000002</v>
          </cell>
        </row>
        <row r="122">
          <cell r="B122">
            <v>889737</v>
          </cell>
          <cell r="C122" t="str">
            <v>CLEANING DEVELOPER TYPE 9100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t="e">
            <v>#DIV/0!</v>
          </cell>
          <cell r="BF122">
            <v>0</v>
          </cell>
          <cell r="BG122">
            <v>0</v>
          </cell>
          <cell r="BH122">
            <v>0</v>
          </cell>
          <cell r="BI122">
            <v>0</v>
          </cell>
          <cell r="BJ122">
            <v>0</v>
          </cell>
          <cell r="BK122">
            <v>0</v>
          </cell>
          <cell r="BL122">
            <v>0</v>
          </cell>
          <cell r="BM122" t="e">
            <v>#DIV/0!</v>
          </cell>
          <cell r="BN122" t="e">
            <v>#DIV/0!</v>
          </cell>
          <cell r="BO122">
            <v>90</v>
          </cell>
          <cell r="BP122">
            <v>100</v>
          </cell>
          <cell r="BQ122" t="e">
            <v>#DIV/0!</v>
          </cell>
          <cell r="BR122" t="e">
            <v>#DIV/0!</v>
          </cell>
          <cell r="BS122">
            <v>203.94544802399997</v>
          </cell>
          <cell r="BT122">
            <v>-0.1</v>
          </cell>
          <cell r="BU122">
            <v>1</v>
          </cell>
          <cell r="BV122">
            <v>0.27</v>
          </cell>
          <cell r="BW122">
            <v>0</v>
          </cell>
          <cell r="BX122">
            <v>-1</v>
          </cell>
          <cell r="BY122">
            <v>203.94544802399997</v>
          </cell>
          <cell r="BZ122">
            <v>-0.1</v>
          </cell>
          <cell r="CA122">
            <v>203.94544802399997</v>
          </cell>
          <cell r="CB122">
            <v>-0.1</v>
          </cell>
          <cell r="CE122">
            <v>226.60605335999998</v>
          </cell>
          <cell r="CF122">
            <v>226.60605335999998</v>
          </cell>
          <cell r="CG122">
            <v>226.60605335999998</v>
          </cell>
        </row>
        <row r="123">
          <cell r="B123">
            <v>889744</v>
          </cell>
          <cell r="C123" t="str">
            <v>TONER TYPE 80 (MV715)</v>
          </cell>
          <cell r="D123">
            <v>93.191636404022688</v>
          </cell>
          <cell r="E123">
            <v>93.191636404022688</v>
          </cell>
          <cell r="F123">
            <v>93.191636404022688</v>
          </cell>
          <cell r="G123">
            <v>0</v>
          </cell>
          <cell r="H123">
            <v>103.71005563826741</v>
          </cell>
          <cell r="I123">
            <v>91.08795255717375</v>
          </cell>
          <cell r="J123">
            <v>91.08795255717375</v>
          </cell>
          <cell r="K123">
            <v>0</v>
          </cell>
          <cell r="L123">
            <v>77.788463277394726</v>
          </cell>
          <cell r="M123">
            <v>0</v>
          </cell>
          <cell r="N123">
            <v>118.11418930602682</v>
          </cell>
          <cell r="O123">
            <v>0</v>
          </cell>
          <cell r="P123">
            <v>90.367798465881947</v>
          </cell>
          <cell r="Q123">
            <v>82.731333539731025</v>
          </cell>
          <cell r="R123">
            <v>97.105855753662183</v>
          </cell>
          <cell r="S123">
            <v>109.45896078125928</v>
          </cell>
          <cell r="T123">
            <v>97.105855753662183</v>
          </cell>
          <cell r="U123">
            <v>0</v>
          </cell>
          <cell r="V123">
            <v>97.105855753662183</v>
          </cell>
          <cell r="W123">
            <v>85.243146357918818</v>
          </cell>
          <cell r="X123">
            <v>0</v>
          </cell>
          <cell r="Y123">
            <v>94.597949055641223</v>
          </cell>
          <cell r="Z123">
            <v>0</v>
          </cell>
          <cell r="AA123">
            <v>94.597949055641223</v>
          </cell>
          <cell r="AB123">
            <v>94.597949055641223</v>
          </cell>
          <cell r="AC123">
            <v>94.597949055641223</v>
          </cell>
          <cell r="AD123">
            <v>94.597949055641223</v>
          </cell>
          <cell r="AE123">
            <v>0</v>
          </cell>
          <cell r="AF123">
            <v>0</v>
          </cell>
          <cell r="AG123">
            <v>116.53971132321695</v>
          </cell>
          <cell r="AH123">
            <v>0</v>
          </cell>
          <cell r="AI123">
            <v>122.48930474967243</v>
          </cell>
          <cell r="AJ123">
            <v>122.48930474967243</v>
          </cell>
          <cell r="AK123">
            <v>0</v>
          </cell>
          <cell r="AL123">
            <v>0</v>
          </cell>
          <cell r="AM123">
            <v>102.46604093322298</v>
          </cell>
          <cell r="AN123">
            <v>102.46604093322298</v>
          </cell>
          <cell r="AO123">
            <v>105.99897305519909</v>
          </cell>
          <cell r="AP123">
            <v>105.99897305519909</v>
          </cell>
          <cell r="AQ123">
            <v>105.99897305519909</v>
          </cell>
          <cell r="AR123">
            <v>105.99897305519909</v>
          </cell>
          <cell r="AS123">
            <v>0</v>
          </cell>
          <cell r="AT123">
            <v>104.93150356570433</v>
          </cell>
          <cell r="AU123">
            <v>0</v>
          </cell>
          <cell r="AV123">
            <v>0</v>
          </cell>
          <cell r="AW123">
            <v>0</v>
          </cell>
          <cell r="AX123">
            <v>0</v>
          </cell>
          <cell r="AY123">
            <v>104.93150356570433</v>
          </cell>
          <cell r="AZ123">
            <v>0</v>
          </cell>
          <cell r="BA123">
            <v>0</v>
          </cell>
          <cell r="BB123">
            <v>0</v>
          </cell>
          <cell r="BC123">
            <v>101.24372474533966</v>
          </cell>
          <cell r="BD123">
            <v>0</v>
          </cell>
          <cell r="BE123">
            <v>101.24372474533966</v>
          </cell>
          <cell r="BF123">
            <v>0</v>
          </cell>
          <cell r="BG123">
            <v>0</v>
          </cell>
          <cell r="BH123">
            <v>101.24372474533966</v>
          </cell>
          <cell r="BI123">
            <v>0</v>
          </cell>
          <cell r="BJ123">
            <v>101.24372474533966</v>
          </cell>
          <cell r="BK123">
            <v>101.24372474533966</v>
          </cell>
          <cell r="BL123">
            <v>0</v>
          </cell>
          <cell r="BM123">
            <v>122.48930474967243</v>
          </cell>
          <cell r="BN123">
            <v>77.788463277394726</v>
          </cell>
          <cell r="BO123">
            <v>90</v>
          </cell>
          <cell r="BP123">
            <v>100</v>
          </cell>
          <cell r="BQ123">
            <v>225.89282016191129</v>
          </cell>
          <cell r="BR123">
            <v>143.45624200988829</v>
          </cell>
          <cell r="BS123">
            <v>165.97656306500005</v>
          </cell>
          <cell r="BT123">
            <v>0.37093668900948273</v>
          </cell>
          <cell r="BU123">
            <v>0.36460908665339964</v>
          </cell>
          <cell r="BV123">
            <v>0.27</v>
          </cell>
          <cell r="BW123">
            <v>144.46575342465752</v>
          </cell>
          <cell r="BX123">
            <v>0.19326125338369771</v>
          </cell>
          <cell r="BY123">
            <v>165.97656306500005</v>
          </cell>
          <cell r="BZ123">
            <v>0.37093668900948273</v>
          </cell>
          <cell r="CA123">
            <v>165.97656306500005</v>
          </cell>
          <cell r="CB123">
            <v>0.37093668900948273</v>
          </cell>
          <cell r="CD123">
            <v>0</v>
          </cell>
          <cell r="CE123">
            <v>248.56103999999999</v>
          </cell>
          <cell r="CF123">
            <v>121.068</v>
          </cell>
          <cell r="CG123">
            <v>184.41840340555561</v>
          </cell>
        </row>
        <row r="124">
          <cell r="B124">
            <v>889755</v>
          </cell>
          <cell r="C124" t="str">
            <v>TONER TYPE F BLACK</v>
          </cell>
          <cell r="D124">
            <v>77.986194833229732</v>
          </cell>
          <cell r="E124">
            <v>91.186189023725177</v>
          </cell>
          <cell r="F124">
            <v>84.586191928477461</v>
          </cell>
          <cell r="G124">
            <v>0</v>
          </cell>
          <cell r="H124">
            <v>0</v>
          </cell>
          <cell r="I124">
            <v>77.986194833229732</v>
          </cell>
          <cell r="J124">
            <v>0</v>
          </cell>
          <cell r="K124">
            <v>0</v>
          </cell>
          <cell r="L124">
            <v>87.868133028508311</v>
          </cell>
          <cell r="M124">
            <v>92.119036766380432</v>
          </cell>
          <cell r="N124">
            <v>92.119036766380432</v>
          </cell>
          <cell r="O124">
            <v>104.14302162493304</v>
          </cell>
          <cell r="P124">
            <v>102.3304556648031</v>
          </cell>
          <cell r="Q124">
            <v>102.3304556648031</v>
          </cell>
          <cell r="R124">
            <v>109.93610578393293</v>
          </cell>
          <cell r="S124">
            <v>0</v>
          </cell>
          <cell r="T124">
            <v>109.93610578393293</v>
          </cell>
          <cell r="U124">
            <v>0</v>
          </cell>
          <cell r="V124">
            <v>0</v>
          </cell>
          <cell r="W124">
            <v>94.614959744496744</v>
          </cell>
          <cell r="X124">
            <v>98.226383353416423</v>
          </cell>
          <cell r="Y124">
            <v>106.82258884507034</v>
          </cell>
          <cell r="Z124">
            <v>119.79319476442978</v>
          </cell>
          <cell r="AA124">
            <v>0</v>
          </cell>
          <cell r="AB124">
            <v>119.79319476442978</v>
          </cell>
          <cell r="AC124">
            <v>109.00978905892312</v>
          </cell>
          <cell r="AD124">
            <v>119.79319476442978</v>
          </cell>
          <cell r="AE124">
            <v>0</v>
          </cell>
          <cell r="AF124">
            <v>0</v>
          </cell>
          <cell r="AG124">
            <v>99.083301108969707</v>
          </cell>
          <cell r="AH124">
            <v>101.87055504641843</v>
          </cell>
          <cell r="AI124">
            <v>110.14240544142753</v>
          </cell>
          <cell r="AJ124">
            <v>110.14240544142753</v>
          </cell>
          <cell r="AK124">
            <v>0</v>
          </cell>
          <cell r="AL124">
            <v>0</v>
          </cell>
          <cell r="AM124">
            <v>90.882553042448592</v>
          </cell>
          <cell r="AN124">
            <v>90.882553042448592</v>
          </cell>
          <cell r="AO124">
            <v>105.23226492119142</v>
          </cell>
          <cell r="AP124">
            <v>111.71355145309028</v>
          </cell>
          <cell r="AQ124">
            <v>98.057408981820018</v>
          </cell>
          <cell r="AR124">
            <v>104.03645559796286</v>
          </cell>
          <cell r="AS124">
            <v>106.7312700754115</v>
          </cell>
          <cell r="AT124">
            <v>106.7312700754115</v>
          </cell>
          <cell r="AU124">
            <v>100.57723550618758</v>
          </cell>
          <cell r="AV124">
            <v>106.7312700754115</v>
          </cell>
          <cell r="AW124">
            <v>106.7312700754115</v>
          </cell>
          <cell r="AX124">
            <v>0</v>
          </cell>
          <cell r="AY124">
            <v>106.7312700754115</v>
          </cell>
          <cell r="AZ124">
            <v>0</v>
          </cell>
          <cell r="BA124">
            <v>0</v>
          </cell>
          <cell r="BB124">
            <v>106.7312700754115</v>
          </cell>
          <cell r="BC124">
            <v>93.177026232344815</v>
          </cell>
          <cell r="BD124">
            <v>0</v>
          </cell>
          <cell r="BE124">
            <v>92.570922586650937</v>
          </cell>
          <cell r="BF124">
            <v>93.177026232344815</v>
          </cell>
          <cell r="BG124">
            <v>93.177026232344815</v>
          </cell>
          <cell r="BH124">
            <v>93.177026232344815</v>
          </cell>
          <cell r="BI124">
            <v>92.570922586650937</v>
          </cell>
          <cell r="BJ124">
            <v>92.570922586650937</v>
          </cell>
          <cell r="BK124">
            <v>93.419467690622383</v>
          </cell>
          <cell r="BL124">
            <v>92.570922586650937</v>
          </cell>
          <cell r="BM124">
            <v>119.79319476442978</v>
          </cell>
          <cell r="BN124">
            <v>77.986194833229732</v>
          </cell>
          <cell r="BO124">
            <v>90</v>
          </cell>
          <cell r="BP124">
            <v>100</v>
          </cell>
          <cell r="BQ124">
            <v>467.25080537690718</v>
          </cell>
          <cell r="BR124">
            <v>304.18349235750458</v>
          </cell>
          <cell r="BS124">
            <v>351.04308359600009</v>
          </cell>
          <cell r="BT124">
            <v>0.20006523860248904</v>
          </cell>
          <cell r="BU124">
            <v>0.34717414839102323</v>
          </cell>
          <cell r="BV124">
            <v>0.27</v>
          </cell>
          <cell r="BW124">
            <v>313.93150684931504</v>
          </cell>
          <cell r="BX124">
            <v>7.3196727913698467E-2</v>
          </cell>
          <cell r="BY124">
            <v>351.04308359600009</v>
          </cell>
          <cell r="BZ124">
            <v>0.20006523860248904</v>
          </cell>
          <cell r="CA124">
            <v>350.65</v>
          </cell>
          <cell r="CB124">
            <v>0.19872145494325166</v>
          </cell>
          <cell r="CC124">
            <v>400</v>
          </cell>
          <cell r="CD124">
            <v>-0.12239229100999982</v>
          </cell>
          <cell r="CE124">
            <v>477.73776000000004</v>
          </cell>
          <cell r="CF124">
            <v>292.52</v>
          </cell>
          <cell r="CG124">
            <v>390.04787066222229</v>
          </cell>
        </row>
        <row r="125">
          <cell r="B125">
            <v>889756</v>
          </cell>
          <cell r="C125" t="str">
            <v>TONER TYPE F YELLOW</v>
          </cell>
          <cell r="D125">
            <v>78.18601793941599</v>
          </cell>
          <cell r="E125">
            <v>91.325102138049743</v>
          </cell>
          <cell r="F125">
            <v>84.755560038732867</v>
          </cell>
          <cell r="G125">
            <v>0</v>
          </cell>
          <cell r="H125">
            <v>0</v>
          </cell>
          <cell r="I125">
            <v>78.18601793941599</v>
          </cell>
          <cell r="J125">
            <v>0</v>
          </cell>
          <cell r="K125">
            <v>0</v>
          </cell>
          <cell r="L125">
            <v>88.022356965000569</v>
          </cell>
          <cell r="M125">
            <v>92.253645352415575</v>
          </cell>
          <cell r="N125">
            <v>92.253645352415575</v>
          </cell>
          <cell r="O125">
            <v>104.22214679110374</v>
          </cell>
          <cell r="P125">
            <v>102.41794472691852</v>
          </cell>
          <cell r="Q125">
            <v>102.41794472691852</v>
          </cell>
          <cell r="R125">
            <v>109.98849936947666</v>
          </cell>
          <cell r="S125">
            <v>0</v>
          </cell>
          <cell r="T125">
            <v>109.98849936947666</v>
          </cell>
          <cell r="U125">
            <v>0</v>
          </cell>
          <cell r="V125">
            <v>0</v>
          </cell>
          <cell r="W125">
            <v>94.738051155138436</v>
          </cell>
          <cell r="X125">
            <v>98.332810227736815</v>
          </cell>
          <cell r="Y125">
            <v>106.88934942871046</v>
          </cell>
          <cell r="Z125">
            <v>119.80010384438076</v>
          </cell>
          <cell r="AA125">
            <v>0</v>
          </cell>
          <cell r="AB125">
            <v>119.80010384438076</v>
          </cell>
          <cell r="AC125">
            <v>109.06645703605879</v>
          </cell>
          <cell r="AD125">
            <v>119.80010384438076</v>
          </cell>
          <cell r="AE125">
            <v>0</v>
          </cell>
          <cell r="AF125">
            <v>0</v>
          </cell>
          <cell r="AG125">
            <v>99.185773825980363</v>
          </cell>
          <cell r="AH125">
            <v>101.96016627181049</v>
          </cell>
          <cell r="AI125">
            <v>110.19384707879024</v>
          </cell>
          <cell r="AJ125">
            <v>110.19384707879024</v>
          </cell>
          <cell r="AK125">
            <v>0</v>
          </cell>
          <cell r="AL125">
            <v>0</v>
          </cell>
          <cell r="AM125">
            <v>91.022867253234381</v>
          </cell>
          <cell r="AN125">
            <v>91.022867253234381</v>
          </cell>
          <cell r="AO125">
            <v>105.3063638881568</v>
          </cell>
          <cell r="AP125">
            <v>111.75774320159675</v>
          </cell>
          <cell r="AQ125">
            <v>98.164615570695588</v>
          </cell>
          <cell r="AR125">
            <v>104.11607250191327</v>
          </cell>
          <cell r="AS125">
            <v>106.79845203995805</v>
          </cell>
          <cell r="AT125">
            <v>106.79845203995805</v>
          </cell>
          <cell r="AU125">
            <v>100.67281461925695</v>
          </cell>
          <cell r="AV125">
            <v>106.79845203995805</v>
          </cell>
          <cell r="AW125">
            <v>106.79845203995805</v>
          </cell>
          <cell r="AX125">
            <v>100.67281461925695</v>
          </cell>
          <cell r="AY125">
            <v>0</v>
          </cell>
          <cell r="AZ125">
            <v>0</v>
          </cell>
          <cell r="BA125">
            <v>0</v>
          </cell>
          <cell r="BB125">
            <v>0</v>
          </cell>
          <cell r="BC125">
            <v>0</v>
          </cell>
          <cell r="BD125">
            <v>0</v>
          </cell>
          <cell r="BE125">
            <v>92.703445992856601</v>
          </cell>
          <cell r="BF125">
            <v>93.910059680551257</v>
          </cell>
          <cell r="BG125">
            <v>93.910059680551257</v>
          </cell>
          <cell r="BH125">
            <v>93.910059680551257</v>
          </cell>
          <cell r="BI125">
            <v>92.703445992856601</v>
          </cell>
          <cell r="BJ125">
            <v>92.703445992856601</v>
          </cell>
          <cell r="BK125">
            <v>93.548075574242858</v>
          </cell>
          <cell r="BL125">
            <v>92.703445992856601</v>
          </cell>
          <cell r="BM125">
            <v>119.80010384438076</v>
          </cell>
          <cell r="BN125">
            <v>78.18601793941599</v>
          </cell>
          <cell r="BO125">
            <v>90</v>
          </cell>
          <cell r="BP125">
            <v>100</v>
          </cell>
          <cell r="BQ125">
            <v>466.75391274426738</v>
          </cell>
          <cell r="BR125">
            <v>304.62101971564886</v>
          </cell>
          <cell r="BS125">
            <v>350.64954702837218</v>
          </cell>
          <cell r="BT125">
            <v>0.19871990642818349</v>
          </cell>
          <cell r="BU125">
            <v>0.34644147713255968</v>
          </cell>
          <cell r="BV125">
            <v>0.27</v>
          </cell>
          <cell r="BW125">
            <v>313.93150684931504</v>
          </cell>
          <cell r="BX125">
            <v>7.3196727913698467E-2</v>
          </cell>
          <cell r="BY125">
            <v>350.64954702837218</v>
          </cell>
          <cell r="BZ125">
            <v>0.19871990642818349</v>
          </cell>
          <cell r="CA125">
            <v>350.64954702837218</v>
          </cell>
          <cell r="CB125">
            <v>0.19871990642818349</v>
          </cell>
          <cell r="CC125">
            <v>400</v>
          </cell>
          <cell r="CD125">
            <v>-0.12337613242906953</v>
          </cell>
          <cell r="CE125">
            <v>477.73776000000004</v>
          </cell>
          <cell r="CF125">
            <v>292.52</v>
          </cell>
          <cell r="CG125">
            <v>389.61060780930245</v>
          </cell>
        </row>
        <row r="126">
          <cell r="B126">
            <v>889757</v>
          </cell>
          <cell r="C126" t="str">
            <v>TONER TYPE F MAGENTA</v>
          </cell>
          <cell r="D126">
            <v>78.235684330808596</v>
          </cell>
          <cell r="E126">
            <v>91.356668150636693</v>
          </cell>
          <cell r="F126">
            <v>84.796176240722644</v>
          </cell>
          <cell r="G126">
            <v>0</v>
          </cell>
          <cell r="H126">
            <v>0</v>
          </cell>
          <cell r="I126">
            <v>78.235684330808596</v>
          </cell>
          <cell r="J126">
            <v>0</v>
          </cell>
          <cell r="K126">
            <v>0</v>
          </cell>
          <cell r="L126">
            <v>88.058472833409041</v>
          </cell>
          <cell r="M126">
            <v>92.283932205537269</v>
          </cell>
          <cell r="N126">
            <v>92.283932205537269</v>
          </cell>
          <cell r="O126">
            <v>104.23594585812853</v>
          </cell>
          <cell r="P126">
            <v>102.43422925946815</v>
          </cell>
          <cell r="Q126">
            <v>102.43422925946815</v>
          </cell>
          <cell r="R126">
            <v>109.99435471954084</v>
          </cell>
          <cell r="S126">
            <v>0</v>
          </cell>
          <cell r="T126">
            <v>109.99435471954084</v>
          </cell>
          <cell r="U126">
            <v>0</v>
          </cell>
          <cell r="V126">
            <v>0</v>
          </cell>
          <cell r="W126">
            <v>94.764915495286132</v>
          </cell>
          <cell r="X126">
            <v>98.354722434239164</v>
          </cell>
          <cell r="Y126">
            <v>106.89947416216967</v>
          </cell>
          <cell r="Z126">
            <v>119.79244274573342</v>
          </cell>
          <cell r="AA126">
            <v>0</v>
          </cell>
          <cell r="AB126">
            <v>119.79244274573342</v>
          </cell>
          <cell r="AC126">
            <v>109.0735825899863</v>
          </cell>
          <cell r="AD126">
            <v>119.79244274573342</v>
          </cell>
          <cell r="AE126">
            <v>0</v>
          </cell>
          <cell r="AF126">
            <v>0</v>
          </cell>
          <cell r="AG126">
            <v>99.206510991360958</v>
          </cell>
          <cell r="AH126">
            <v>101.9770814391381</v>
          </cell>
          <cell r="AI126">
            <v>110.19941954221869</v>
          </cell>
          <cell r="AJ126">
            <v>110.19941954221869</v>
          </cell>
          <cell r="AK126">
            <v>0</v>
          </cell>
          <cell r="AL126">
            <v>0</v>
          </cell>
          <cell r="AM126">
            <v>91.054849624056104</v>
          </cell>
          <cell r="AN126">
            <v>91.054849624056104</v>
          </cell>
          <cell r="AO126">
            <v>105.31866933965499</v>
          </cell>
          <cell r="AP126">
            <v>111.76116124453384</v>
          </cell>
          <cell r="AQ126">
            <v>98.18675948185556</v>
          </cell>
          <cell r="AR126">
            <v>104.13001769668843</v>
          </cell>
          <cell r="AS126">
            <v>106.80870199349683</v>
          </cell>
          <cell r="AT126">
            <v>106.80870199349683</v>
          </cell>
          <cell r="AU126">
            <v>100.69150323991016</v>
          </cell>
          <cell r="AV126">
            <v>106.80870199349683</v>
          </cell>
          <cell r="AW126">
            <v>106.80870199349683</v>
          </cell>
          <cell r="AX126">
            <v>100.69150323991016</v>
          </cell>
          <cell r="AY126">
            <v>0</v>
          </cell>
          <cell r="AZ126">
            <v>0</v>
          </cell>
          <cell r="BA126">
            <v>0</v>
          </cell>
          <cell r="BB126">
            <v>0</v>
          </cell>
          <cell r="BC126">
            <v>0</v>
          </cell>
          <cell r="BD126">
            <v>0</v>
          </cell>
          <cell r="BE126">
            <v>92.733113201423478</v>
          </cell>
          <cell r="BF126">
            <v>93.938064660267997</v>
          </cell>
          <cell r="BG126">
            <v>93.938064660267997</v>
          </cell>
          <cell r="BH126">
            <v>93.938064660267997</v>
          </cell>
          <cell r="BI126">
            <v>92.733113201423478</v>
          </cell>
          <cell r="BJ126">
            <v>92.733113201423478</v>
          </cell>
          <cell r="BK126">
            <v>92.733113201423478</v>
          </cell>
          <cell r="BL126">
            <v>92.733113201423478</v>
          </cell>
          <cell r="BM126">
            <v>119.79244274573342</v>
          </cell>
          <cell r="BN126">
            <v>78.235684330808596</v>
          </cell>
          <cell r="BO126">
            <v>90</v>
          </cell>
          <cell r="BP126">
            <v>100</v>
          </cell>
          <cell r="BQ126">
            <v>466.61933467284609</v>
          </cell>
          <cell r="BR126">
            <v>304.74612699570264</v>
          </cell>
          <cell r="BS126">
            <v>350.5708637204653</v>
          </cell>
          <cell r="BT126">
            <v>0.19845092205820225</v>
          </cell>
          <cell r="BU126">
            <v>0.34629479025178411</v>
          </cell>
          <cell r="BV126">
            <v>0.27</v>
          </cell>
          <cell r="BW126">
            <v>313.93150684931504</v>
          </cell>
          <cell r="BX126">
            <v>7.3196727913698467E-2</v>
          </cell>
          <cell r="BY126">
            <v>350.5708637204653</v>
          </cell>
          <cell r="BZ126">
            <v>0.19845092205820225</v>
          </cell>
          <cell r="CA126">
            <v>350.65</v>
          </cell>
          <cell r="CB126">
            <v>0.19872145494325166</v>
          </cell>
          <cell r="CC126">
            <v>400</v>
          </cell>
          <cell r="CD126">
            <v>-0.12357284069883678</v>
          </cell>
          <cell r="CE126">
            <v>477.73776000000004</v>
          </cell>
          <cell r="CF126">
            <v>292.52</v>
          </cell>
          <cell r="CG126">
            <v>389.52318191162806</v>
          </cell>
        </row>
        <row r="127">
          <cell r="B127">
            <v>889758</v>
          </cell>
          <cell r="C127" t="str">
            <v>TONER TYPE F CYAN</v>
          </cell>
          <cell r="D127">
            <v>78.18601793941599</v>
          </cell>
          <cell r="E127">
            <v>91.325102138049743</v>
          </cell>
          <cell r="F127">
            <v>84.755560038732867</v>
          </cell>
          <cell r="G127">
            <v>0</v>
          </cell>
          <cell r="H127">
            <v>0</v>
          </cell>
          <cell r="I127">
            <v>78.18601793941599</v>
          </cell>
          <cell r="J127">
            <v>0</v>
          </cell>
          <cell r="K127">
            <v>0</v>
          </cell>
          <cell r="L127">
            <v>88.022356965000569</v>
          </cell>
          <cell r="M127">
            <v>92.253645352415575</v>
          </cell>
          <cell r="N127">
            <v>92.253645352415575</v>
          </cell>
          <cell r="O127">
            <v>104.22214679110374</v>
          </cell>
          <cell r="P127">
            <v>102.41794472691852</v>
          </cell>
          <cell r="Q127">
            <v>102.41794472691852</v>
          </cell>
          <cell r="R127">
            <v>109.98849936947666</v>
          </cell>
          <cell r="S127">
            <v>0</v>
          </cell>
          <cell r="T127">
            <v>109.98849936947666</v>
          </cell>
          <cell r="U127">
            <v>0</v>
          </cell>
          <cell r="V127">
            <v>0</v>
          </cell>
          <cell r="W127">
            <v>94.738051155138436</v>
          </cell>
          <cell r="X127">
            <v>98.332810227736815</v>
          </cell>
          <cell r="Y127">
            <v>106.88934942871046</v>
          </cell>
          <cell r="Z127">
            <v>119.80010384438076</v>
          </cell>
          <cell r="AA127">
            <v>0</v>
          </cell>
          <cell r="AB127">
            <v>119.80010384438076</v>
          </cell>
          <cell r="AC127">
            <v>109.06645703605879</v>
          </cell>
          <cell r="AD127">
            <v>119.80010384438076</v>
          </cell>
          <cell r="AE127">
            <v>0</v>
          </cell>
          <cell r="AF127">
            <v>0</v>
          </cell>
          <cell r="AG127">
            <v>99.185773825980363</v>
          </cell>
          <cell r="AH127">
            <v>101.96016627181049</v>
          </cell>
          <cell r="AI127">
            <v>110.19384707879024</v>
          </cell>
          <cell r="AJ127">
            <v>110.19384707879024</v>
          </cell>
          <cell r="AK127">
            <v>0</v>
          </cell>
          <cell r="AL127">
            <v>0</v>
          </cell>
          <cell r="AM127">
            <v>91.022867253234381</v>
          </cell>
          <cell r="AN127">
            <v>91.022867253234381</v>
          </cell>
          <cell r="AO127">
            <v>105.3063638881568</v>
          </cell>
          <cell r="AP127">
            <v>111.75774320159675</v>
          </cell>
          <cell r="AQ127">
            <v>98.164615570695588</v>
          </cell>
          <cell r="AR127">
            <v>104.11607250191327</v>
          </cell>
          <cell r="AS127">
            <v>106.79845203995805</v>
          </cell>
          <cell r="AT127">
            <v>106.79845203995805</v>
          </cell>
          <cell r="AU127">
            <v>100.67281461925695</v>
          </cell>
          <cell r="AV127">
            <v>106.79845203995805</v>
          </cell>
          <cell r="AW127">
            <v>106.79845203995805</v>
          </cell>
          <cell r="AX127">
            <v>100.67281461925695</v>
          </cell>
          <cell r="AY127">
            <v>0</v>
          </cell>
          <cell r="AZ127">
            <v>0</v>
          </cell>
          <cell r="BA127">
            <v>0</v>
          </cell>
          <cell r="BB127">
            <v>0</v>
          </cell>
          <cell r="BC127">
            <v>0</v>
          </cell>
          <cell r="BD127">
            <v>0</v>
          </cell>
          <cell r="BE127">
            <v>92.703445992856601</v>
          </cell>
          <cell r="BF127">
            <v>93.910059680551257</v>
          </cell>
          <cell r="BG127">
            <v>93.910059680551257</v>
          </cell>
          <cell r="BH127">
            <v>93.910059680551257</v>
          </cell>
          <cell r="BI127">
            <v>92.703445992856601</v>
          </cell>
          <cell r="BJ127">
            <v>92.703445992856601</v>
          </cell>
          <cell r="BK127">
            <v>93.548075574242858</v>
          </cell>
          <cell r="BL127">
            <v>92.703445992856601</v>
          </cell>
          <cell r="BM127">
            <v>119.80010384438076</v>
          </cell>
          <cell r="BN127">
            <v>78.18601793941599</v>
          </cell>
          <cell r="BO127">
            <v>90</v>
          </cell>
          <cell r="BP127">
            <v>100</v>
          </cell>
          <cell r="BQ127">
            <v>466.75391274426738</v>
          </cell>
          <cell r="BR127">
            <v>304.62101971564886</v>
          </cell>
          <cell r="BS127">
            <v>350.64954702837218</v>
          </cell>
          <cell r="BT127">
            <v>0.19871990642818349</v>
          </cell>
          <cell r="BU127">
            <v>0.34644147713255968</v>
          </cell>
          <cell r="BV127">
            <v>0.27</v>
          </cell>
          <cell r="BW127">
            <v>313.93150684931504</v>
          </cell>
          <cell r="BX127">
            <v>7.3196727913698467E-2</v>
          </cell>
          <cell r="BY127">
            <v>350.64954702837218</v>
          </cell>
          <cell r="BZ127">
            <v>0.19871990642818349</v>
          </cell>
          <cell r="CA127">
            <v>350.64954702837218</v>
          </cell>
          <cell r="CB127">
            <v>0.19871990642818349</v>
          </cell>
          <cell r="CC127">
            <v>400</v>
          </cell>
          <cell r="CD127">
            <v>-0.12337613242906953</v>
          </cell>
          <cell r="CE127">
            <v>477.73776000000004</v>
          </cell>
          <cell r="CF127">
            <v>292.52</v>
          </cell>
          <cell r="CG127">
            <v>389.61060780930245</v>
          </cell>
        </row>
        <row r="128">
          <cell r="B128">
            <v>889759</v>
          </cell>
          <cell r="C128" t="str">
            <v>DEVELOPER TYPE F BLACK</v>
          </cell>
          <cell r="D128">
            <v>0</v>
          </cell>
          <cell r="E128">
            <v>101.41265932314414</v>
          </cell>
          <cell r="F128">
            <v>99.976504709824241</v>
          </cell>
          <cell r="G128">
            <v>0</v>
          </cell>
          <cell r="H128">
            <v>0</v>
          </cell>
          <cell r="I128">
            <v>109.33627098284012</v>
          </cell>
          <cell r="J128">
            <v>111.7133544807489</v>
          </cell>
          <cell r="K128">
            <v>0</v>
          </cell>
          <cell r="L128">
            <v>95.740777148771912</v>
          </cell>
          <cell r="M128">
            <v>101.36165107308484</v>
          </cell>
          <cell r="N128">
            <v>101.36165107308484</v>
          </cell>
          <cell r="O128">
            <v>106.10816683139353</v>
          </cell>
          <cell r="P128">
            <v>0</v>
          </cell>
          <cell r="Q128">
            <v>90.636200188915339</v>
          </cell>
          <cell r="R128">
            <v>96.782717844282246</v>
          </cell>
          <cell r="S128">
            <v>0</v>
          </cell>
          <cell r="T128">
            <v>95.74177533813139</v>
          </cell>
          <cell r="U128">
            <v>0</v>
          </cell>
          <cell r="V128">
            <v>0</v>
          </cell>
          <cell r="W128">
            <v>107.66157604050507</v>
          </cell>
          <cell r="X128">
            <v>107.66157604050507</v>
          </cell>
          <cell r="Y128">
            <v>117.14741687954128</v>
          </cell>
          <cell r="Z128">
            <v>117.14741687954128</v>
          </cell>
          <cell r="AA128">
            <v>117.14741687954128</v>
          </cell>
          <cell r="AB128">
            <v>117.14741687954128</v>
          </cell>
          <cell r="AC128">
            <v>112.40449646002318</v>
          </cell>
          <cell r="AD128">
            <v>117.14741687954128</v>
          </cell>
          <cell r="AE128">
            <v>117.14741687954128</v>
          </cell>
          <cell r="AF128">
            <v>0</v>
          </cell>
          <cell r="AG128">
            <v>100.43882918871876</v>
          </cell>
          <cell r="AH128">
            <v>101.42163528947739</v>
          </cell>
          <cell r="AI128">
            <v>103.5351967964852</v>
          </cell>
          <cell r="AJ128">
            <v>104.33835016914817</v>
          </cell>
          <cell r="AK128">
            <v>0</v>
          </cell>
          <cell r="AL128">
            <v>0</v>
          </cell>
          <cell r="AM128">
            <v>86.115755594804497</v>
          </cell>
          <cell r="AN128">
            <v>86.115755594804497</v>
          </cell>
          <cell r="AO128">
            <v>86.935632740326724</v>
          </cell>
          <cell r="AP128">
            <v>86.935632740326724</v>
          </cell>
          <cell r="AQ128">
            <v>86.935632740326724</v>
          </cell>
          <cell r="AR128">
            <v>86.935632740326724</v>
          </cell>
          <cell r="AS128">
            <v>93.346639314829957</v>
          </cell>
          <cell r="AT128">
            <v>93.346639314829957</v>
          </cell>
          <cell r="AU128">
            <v>0</v>
          </cell>
          <cell r="AV128">
            <v>93.346639314829957</v>
          </cell>
          <cell r="AW128">
            <v>0</v>
          </cell>
          <cell r="AX128">
            <v>93.346639314829957</v>
          </cell>
          <cell r="AY128">
            <v>0</v>
          </cell>
          <cell r="AZ128">
            <v>0</v>
          </cell>
          <cell r="BA128">
            <v>0</v>
          </cell>
          <cell r="BB128">
            <v>0</v>
          </cell>
          <cell r="BC128">
            <v>0</v>
          </cell>
          <cell r="BD128">
            <v>91.950672888428727</v>
          </cell>
          <cell r="BE128">
            <v>94.392087910838129</v>
          </cell>
          <cell r="BF128">
            <v>0</v>
          </cell>
          <cell r="BG128">
            <v>0</v>
          </cell>
          <cell r="BH128">
            <v>91.950672888428727</v>
          </cell>
          <cell r="BI128">
            <v>94.392087910838129</v>
          </cell>
          <cell r="BJ128">
            <v>94.392087910838129</v>
          </cell>
          <cell r="BK128">
            <v>94.651812913222102</v>
          </cell>
          <cell r="BL128">
            <v>94.392087910838129</v>
          </cell>
          <cell r="BM128">
            <v>117.14741687954128</v>
          </cell>
          <cell r="BN128">
            <v>86.115755594804497</v>
          </cell>
          <cell r="BO128">
            <v>90</v>
          </cell>
          <cell r="BP128">
            <v>100</v>
          </cell>
          <cell r="BQ128">
            <v>114.61224105986743</v>
          </cell>
          <cell r="BR128">
            <v>84.252132929514488</v>
          </cell>
          <cell r="BS128">
            <v>88.052318780487823</v>
          </cell>
          <cell r="BT128">
            <v>0.66205441467189829</v>
          </cell>
          <cell r="BU128">
            <v>0.35277116163090927</v>
          </cell>
          <cell r="BV128">
            <v>0.27</v>
          </cell>
          <cell r="BW128">
            <v>78.06849315068493</v>
          </cell>
          <cell r="BX128">
            <v>0.47360212070453667</v>
          </cell>
          <cell r="BY128">
            <v>88.052318780487823</v>
          </cell>
          <cell r="BZ128">
            <v>0.66205441467189829</v>
          </cell>
          <cell r="CA128">
            <v>89.04</v>
          </cell>
          <cell r="CB128">
            <v>0.6806976480803355</v>
          </cell>
          <cell r="CD128">
            <v>0</v>
          </cell>
          <cell r="CE128">
            <v>153.23664000000002</v>
          </cell>
          <cell r="CF128">
            <v>52.977999999999994</v>
          </cell>
          <cell r="CG128">
            <v>97.835909756097578</v>
          </cell>
        </row>
        <row r="129">
          <cell r="B129">
            <v>889760</v>
          </cell>
          <cell r="C129" t="str">
            <v>DEVELOPER TYPE F YELLOW</v>
          </cell>
          <cell r="D129">
            <v>0</v>
          </cell>
          <cell r="E129">
            <v>101.03129868870093</v>
          </cell>
          <cell r="F129">
            <v>0</v>
          </cell>
          <cell r="G129">
            <v>0</v>
          </cell>
          <cell r="H129">
            <v>0</v>
          </cell>
          <cell r="I129">
            <v>108.64915536146667</v>
          </cell>
          <cell r="J129">
            <v>110.93451236329641</v>
          </cell>
          <cell r="K129">
            <v>0</v>
          </cell>
          <cell r="L129">
            <v>95.578282144621525</v>
          </cell>
          <cell r="M129">
            <v>0</v>
          </cell>
          <cell r="N129">
            <v>100.98225873636999</v>
          </cell>
          <cell r="O129">
            <v>105.54561674717981</v>
          </cell>
          <cell r="P129">
            <v>0</v>
          </cell>
          <cell r="Q129">
            <v>90.670679737365006</v>
          </cell>
          <cell r="R129">
            <v>96.580016608754022</v>
          </cell>
          <cell r="S129">
            <v>0</v>
          </cell>
          <cell r="T129">
            <v>95.579241816018779</v>
          </cell>
          <cell r="U129">
            <v>0</v>
          </cell>
          <cell r="V129">
            <v>0</v>
          </cell>
          <cell r="W129">
            <v>107.03908326439426</v>
          </cell>
          <cell r="X129">
            <v>107.03908326439426</v>
          </cell>
          <cell r="Y129">
            <v>116.15888608108337</v>
          </cell>
          <cell r="Z129">
            <v>116.15888608108337</v>
          </cell>
          <cell r="AA129">
            <v>116.15888608108337</v>
          </cell>
          <cell r="AB129">
            <v>116.15888608108337</v>
          </cell>
          <cell r="AC129">
            <v>111.59898467273882</v>
          </cell>
          <cell r="AD129">
            <v>116.15888608108337</v>
          </cell>
          <cell r="AE129">
            <v>116.15888608108337</v>
          </cell>
          <cell r="AF129">
            <v>0</v>
          </cell>
          <cell r="AG129">
            <v>100.09504654683896</v>
          </cell>
          <cell r="AH129">
            <v>101.03992829196304</v>
          </cell>
          <cell r="AI129">
            <v>103.07193204491804</v>
          </cell>
          <cell r="AJ129">
            <v>103.84409347104095</v>
          </cell>
          <cell r="AK129">
            <v>0</v>
          </cell>
          <cell r="AL129">
            <v>0</v>
          </cell>
          <cell r="AM129">
            <v>86.324669294895088</v>
          </cell>
          <cell r="AN129">
            <v>86.324669294895088</v>
          </cell>
          <cell r="AO129">
            <v>87.112909159757947</v>
          </cell>
          <cell r="AP129">
            <v>87.112909159757947</v>
          </cell>
          <cell r="AQ129">
            <v>87.112909159757947</v>
          </cell>
          <cell r="AR129">
            <v>87.112909159757947</v>
          </cell>
          <cell r="AS129">
            <v>93.276528896593774</v>
          </cell>
          <cell r="AT129">
            <v>93.276528896593774</v>
          </cell>
          <cell r="AU129">
            <v>0</v>
          </cell>
          <cell r="AV129">
            <v>93.276528896593774</v>
          </cell>
          <cell r="AW129">
            <v>0</v>
          </cell>
          <cell r="AX129">
            <v>93.276528896593774</v>
          </cell>
          <cell r="AY129">
            <v>0</v>
          </cell>
          <cell r="AZ129">
            <v>0</v>
          </cell>
          <cell r="BA129">
            <v>0</v>
          </cell>
          <cell r="BB129">
            <v>0</v>
          </cell>
          <cell r="BC129">
            <v>0</v>
          </cell>
          <cell r="BD129">
            <v>0</v>
          </cell>
          <cell r="BE129">
            <v>94.281635898952857</v>
          </cell>
          <cell r="BF129">
            <v>0</v>
          </cell>
          <cell r="BG129">
            <v>0</v>
          </cell>
          <cell r="BH129">
            <v>91.934429786612213</v>
          </cell>
          <cell r="BI129">
            <v>94.531338676861438</v>
          </cell>
          <cell r="BJ129">
            <v>0</v>
          </cell>
          <cell r="BK129">
            <v>94.531338676861438</v>
          </cell>
          <cell r="BL129">
            <v>94.281635898952857</v>
          </cell>
          <cell r="BM129">
            <v>116.15888608108337</v>
          </cell>
          <cell r="BN129">
            <v>86.324669294895088</v>
          </cell>
          <cell r="BO129">
            <v>90</v>
          </cell>
          <cell r="BP129">
            <v>100</v>
          </cell>
          <cell r="BQ129">
            <v>114.92097464744148</v>
          </cell>
          <cell r="BR129">
            <v>85.404702698014063</v>
          </cell>
          <cell r="BS129">
            <v>89.040865208108158</v>
          </cell>
          <cell r="BT129">
            <v>0.68071397954071822</v>
          </cell>
          <cell r="BU129">
            <v>0.35995680335313684</v>
          </cell>
          <cell r="BV129">
            <v>0.27</v>
          </cell>
          <cell r="BW129">
            <v>78.06849315068493</v>
          </cell>
          <cell r="BX129">
            <v>0.47360212070453667</v>
          </cell>
          <cell r="BY129">
            <v>89.040865208108158</v>
          </cell>
          <cell r="BZ129">
            <v>0.68071397954071822</v>
          </cell>
          <cell r="CA129">
            <v>89.040865208108158</v>
          </cell>
          <cell r="CB129">
            <v>0.68071397954071822</v>
          </cell>
          <cell r="CD129">
            <v>0</v>
          </cell>
          <cell r="CE129">
            <v>153.23664000000002</v>
          </cell>
          <cell r="CF129">
            <v>52.977999999999994</v>
          </cell>
          <cell r="CG129">
            <v>98.934294675675716</v>
          </cell>
        </row>
        <row r="130">
          <cell r="B130">
            <v>889761</v>
          </cell>
          <cell r="C130" t="str">
            <v>DEVELOPER TYPE F MAGENTA</v>
          </cell>
          <cell r="D130">
            <v>0</v>
          </cell>
          <cell r="E130">
            <v>101.03129868870093</v>
          </cell>
          <cell r="F130">
            <v>0</v>
          </cell>
          <cell r="G130">
            <v>0</v>
          </cell>
          <cell r="H130">
            <v>0</v>
          </cell>
          <cell r="I130">
            <v>108.64915536146667</v>
          </cell>
          <cell r="J130">
            <v>110.93451236329641</v>
          </cell>
          <cell r="K130">
            <v>0</v>
          </cell>
          <cell r="L130">
            <v>95.578282144621525</v>
          </cell>
          <cell r="M130">
            <v>0</v>
          </cell>
          <cell r="N130">
            <v>100.98225873636999</v>
          </cell>
          <cell r="O130">
            <v>105.54561674717981</v>
          </cell>
          <cell r="P130">
            <v>0</v>
          </cell>
          <cell r="Q130">
            <v>90.670679737365006</v>
          </cell>
          <cell r="R130">
            <v>96.580016608754022</v>
          </cell>
          <cell r="S130">
            <v>0</v>
          </cell>
          <cell r="T130">
            <v>95.579241816018779</v>
          </cell>
          <cell r="U130">
            <v>0</v>
          </cell>
          <cell r="V130">
            <v>0</v>
          </cell>
          <cell r="W130">
            <v>107.03908326439426</v>
          </cell>
          <cell r="X130">
            <v>107.03908326439426</v>
          </cell>
          <cell r="Y130">
            <v>116.15888608108337</v>
          </cell>
          <cell r="Z130">
            <v>116.15888608108337</v>
          </cell>
          <cell r="AA130">
            <v>116.15888608108337</v>
          </cell>
          <cell r="AB130">
            <v>116.15888608108337</v>
          </cell>
          <cell r="AC130">
            <v>111.59898467273882</v>
          </cell>
          <cell r="AD130">
            <v>116.15888608108337</v>
          </cell>
          <cell r="AE130">
            <v>116.15888608108337</v>
          </cell>
          <cell r="AF130">
            <v>0</v>
          </cell>
          <cell r="AG130">
            <v>100.09504654683896</v>
          </cell>
          <cell r="AH130">
            <v>101.03992829196304</v>
          </cell>
          <cell r="AI130">
            <v>103.07193204491804</v>
          </cell>
          <cell r="AJ130">
            <v>103.84409347104095</v>
          </cell>
          <cell r="AK130">
            <v>0</v>
          </cell>
          <cell r="AL130">
            <v>0</v>
          </cell>
          <cell r="AM130">
            <v>86.324669294895088</v>
          </cell>
          <cell r="AN130">
            <v>86.324669294895088</v>
          </cell>
          <cell r="AO130">
            <v>87.112909159757947</v>
          </cell>
          <cell r="AP130">
            <v>87.112909159757947</v>
          </cell>
          <cell r="AQ130">
            <v>87.112909159757947</v>
          </cell>
          <cell r="AR130">
            <v>87.112909159757947</v>
          </cell>
          <cell r="AS130">
            <v>93.276528896593774</v>
          </cell>
          <cell r="AT130">
            <v>93.276528896593774</v>
          </cell>
          <cell r="AU130">
            <v>0</v>
          </cell>
          <cell r="AV130">
            <v>93.276528896593774</v>
          </cell>
          <cell r="AW130">
            <v>0</v>
          </cell>
          <cell r="AX130">
            <v>93.276528896593774</v>
          </cell>
          <cell r="AY130">
            <v>0</v>
          </cell>
          <cell r="AZ130">
            <v>0</v>
          </cell>
          <cell r="BA130">
            <v>0</v>
          </cell>
          <cell r="BB130">
            <v>0</v>
          </cell>
          <cell r="BC130">
            <v>0</v>
          </cell>
          <cell r="BD130">
            <v>0</v>
          </cell>
          <cell r="BE130">
            <v>94.281635898952857</v>
          </cell>
          <cell r="BF130">
            <v>0</v>
          </cell>
          <cell r="BG130">
            <v>0</v>
          </cell>
          <cell r="BH130">
            <v>91.934429786612213</v>
          </cell>
          <cell r="BI130">
            <v>94.531338676861438</v>
          </cell>
          <cell r="BJ130">
            <v>0</v>
          </cell>
          <cell r="BK130">
            <v>94.531338676861438</v>
          </cell>
          <cell r="BL130">
            <v>94.281635898952857</v>
          </cell>
          <cell r="BM130">
            <v>116.15888608108337</v>
          </cell>
          <cell r="BN130">
            <v>86.324669294895088</v>
          </cell>
          <cell r="BO130">
            <v>90</v>
          </cell>
          <cell r="BP130">
            <v>100</v>
          </cell>
          <cell r="BQ130">
            <v>114.92097464744148</v>
          </cell>
          <cell r="BR130">
            <v>85.404702698014063</v>
          </cell>
          <cell r="BS130">
            <v>89.040865208108158</v>
          </cell>
          <cell r="BT130">
            <v>0.68071397954071822</v>
          </cell>
          <cell r="BU130">
            <v>0.35995680335313684</v>
          </cell>
          <cell r="BV130">
            <v>0.27</v>
          </cell>
          <cell r="BW130">
            <v>78.06849315068493</v>
          </cell>
          <cell r="BX130">
            <v>0.47360212070453667</v>
          </cell>
          <cell r="BY130">
            <v>89.040865208108158</v>
          </cell>
          <cell r="BZ130">
            <v>0.68071397954071822</v>
          </cell>
          <cell r="CA130">
            <v>89.040865208108158</v>
          </cell>
          <cell r="CB130">
            <v>0.68071397954071822</v>
          </cell>
          <cell r="CD130">
            <v>0</v>
          </cell>
          <cell r="CE130">
            <v>153.23664000000002</v>
          </cell>
          <cell r="CF130">
            <v>52.977999999999994</v>
          </cell>
          <cell r="CG130">
            <v>98.934294675675716</v>
          </cell>
        </row>
        <row r="131">
          <cell r="B131">
            <v>889762</v>
          </cell>
          <cell r="C131" t="str">
            <v>DEVELOPER TYPE F CYAN</v>
          </cell>
          <cell r="D131">
            <v>0</v>
          </cell>
          <cell r="E131">
            <v>101.01918572980718</v>
          </cell>
          <cell r="F131">
            <v>0</v>
          </cell>
          <cell r="G131">
            <v>0</v>
          </cell>
          <cell r="H131">
            <v>0</v>
          </cell>
          <cell r="I131">
            <v>108.74111377519033</v>
          </cell>
          <cell r="J131">
            <v>111.05769218880528</v>
          </cell>
          <cell r="K131">
            <v>0</v>
          </cell>
          <cell r="L131">
            <v>95.491672783258494</v>
          </cell>
          <cell r="M131">
            <v>100.96947581801501</v>
          </cell>
          <cell r="N131">
            <v>100.96947581801501</v>
          </cell>
          <cell r="O131">
            <v>105.59517615847609</v>
          </cell>
          <cell r="P131">
            <v>0</v>
          </cell>
          <cell r="Q131">
            <v>90.51702515045848</v>
          </cell>
          <cell r="R131">
            <v>96.507092445886926</v>
          </cell>
          <cell r="S131">
            <v>0</v>
          </cell>
          <cell r="T131">
            <v>95.492645565209529</v>
          </cell>
          <cell r="U131">
            <v>0</v>
          </cell>
          <cell r="V131">
            <v>0</v>
          </cell>
          <cell r="W131">
            <v>107.10904567315838</v>
          </cell>
          <cell r="X131">
            <v>107.10904567315838</v>
          </cell>
          <cell r="Y131">
            <v>116.35343870437933</v>
          </cell>
          <cell r="Z131">
            <v>116.35343870437933</v>
          </cell>
          <cell r="AA131">
            <v>116.35343870437933</v>
          </cell>
          <cell r="AB131">
            <v>116.35343870437933</v>
          </cell>
          <cell r="AC131">
            <v>111.73124218876885</v>
          </cell>
          <cell r="AD131">
            <v>116.35343870437933</v>
          </cell>
          <cell r="AE131">
            <v>116.35343870437933</v>
          </cell>
          <cell r="AF131">
            <v>0</v>
          </cell>
          <cell r="AG131">
            <v>100.07014297639854</v>
          </cell>
          <cell r="AH131">
            <v>101.02793322642108</v>
          </cell>
          <cell r="AI131">
            <v>103.08769720496419</v>
          </cell>
          <cell r="AJ131">
            <v>103.87040751681056</v>
          </cell>
          <cell r="AK131">
            <v>0</v>
          </cell>
          <cell r="AL131">
            <v>0</v>
          </cell>
          <cell r="AM131">
            <v>86.111641672817882</v>
          </cell>
          <cell r="AN131">
            <v>86.111641672817882</v>
          </cell>
          <cell r="AO131">
            <v>86.910650079045041</v>
          </cell>
          <cell r="AP131">
            <v>86.910650079045041</v>
          </cell>
          <cell r="AQ131">
            <v>86.910650079045041</v>
          </cell>
          <cell r="AR131">
            <v>86.910650079045041</v>
          </cell>
          <cell r="AS131">
            <v>93.158474126077124</v>
          </cell>
          <cell r="AT131">
            <v>93.158474126077124</v>
          </cell>
          <cell r="AU131">
            <v>0</v>
          </cell>
          <cell r="AV131">
            <v>93.158474126077124</v>
          </cell>
          <cell r="AW131">
            <v>0</v>
          </cell>
          <cell r="AX131">
            <v>93.158474126077124</v>
          </cell>
          <cell r="AY131">
            <v>0</v>
          </cell>
          <cell r="AZ131">
            <v>0</v>
          </cell>
          <cell r="BA131">
            <v>0</v>
          </cell>
          <cell r="BB131">
            <v>0</v>
          </cell>
          <cell r="BC131">
            <v>0</v>
          </cell>
          <cell r="BD131">
            <v>0</v>
          </cell>
          <cell r="BE131">
            <v>94.177312400873603</v>
          </cell>
          <cell r="BF131">
            <v>0</v>
          </cell>
          <cell r="BG131">
            <v>0</v>
          </cell>
          <cell r="BH131">
            <v>91.798039924932226</v>
          </cell>
          <cell r="BI131">
            <v>94.430426494058864</v>
          </cell>
          <cell r="BJ131">
            <v>0</v>
          </cell>
          <cell r="BK131">
            <v>94.430426494058864</v>
          </cell>
          <cell r="BL131">
            <v>94.177312400873603</v>
          </cell>
          <cell r="BM131">
            <v>116.35343870437933</v>
          </cell>
          <cell r="BN131">
            <v>86.111641672817882</v>
          </cell>
          <cell r="BO131">
            <v>90</v>
          </cell>
          <cell r="BP131">
            <v>100</v>
          </cell>
          <cell r="BQ131">
            <v>115.21452540920991</v>
          </cell>
          <cell r="BR131">
            <v>85.268747000669734</v>
          </cell>
          <cell r="BS131">
            <v>89.119044544736866</v>
          </cell>
          <cell r="BT131">
            <v>0.6821896739162836</v>
          </cell>
          <cell r="BU131">
            <v>0.36051827876822007</v>
          </cell>
          <cell r="BV131">
            <v>0.27</v>
          </cell>
          <cell r="BW131">
            <v>78.06849315068493</v>
          </cell>
          <cell r="BX131">
            <v>0.47360212070453667</v>
          </cell>
          <cell r="BY131">
            <v>89.119044544736866</v>
          </cell>
          <cell r="BZ131">
            <v>0.6821896739162836</v>
          </cell>
          <cell r="CA131">
            <v>89.04</v>
          </cell>
          <cell r="CB131">
            <v>0.6806976480803355</v>
          </cell>
          <cell r="CD131">
            <v>0</v>
          </cell>
          <cell r="CE131">
            <v>153.23664000000002</v>
          </cell>
          <cell r="CF131">
            <v>52.977999999999994</v>
          </cell>
          <cell r="CG131">
            <v>99.021160605263177</v>
          </cell>
        </row>
        <row r="132">
          <cell r="B132">
            <v>889763</v>
          </cell>
          <cell r="C132" t="str">
            <v>TONER TYPE EX BLACK (AF2X03)</v>
          </cell>
          <cell r="D132">
            <v>124.80081028453333</v>
          </cell>
          <cell r="E132">
            <v>111.55156672923589</v>
          </cell>
          <cell r="F132">
            <v>118.17618850688461</v>
          </cell>
          <cell r="G132">
            <v>0</v>
          </cell>
          <cell r="H132">
            <v>0</v>
          </cell>
          <cell r="I132">
            <v>124.80081028453333</v>
          </cell>
          <cell r="J132">
            <v>128.77558335112258</v>
          </cell>
          <cell r="K132">
            <v>0</v>
          </cell>
          <cell r="L132">
            <v>100.54357073427072</v>
          </cell>
          <cell r="M132">
            <v>95.778425084426516</v>
          </cell>
          <cell r="N132">
            <v>0</v>
          </cell>
          <cell r="O132">
            <v>101.37901834820444</v>
          </cell>
          <cell r="P132">
            <v>0</v>
          </cell>
          <cell r="Q132">
            <v>93.918810943668291</v>
          </cell>
          <cell r="R132">
            <v>108.94860377880772</v>
          </cell>
          <cell r="S132">
            <v>0</v>
          </cell>
          <cell r="T132">
            <v>102.31781282212856</v>
          </cell>
          <cell r="U132">
            <v>0</v>
          </cell>
          <cell r="V132">
            <v>102.90721646272226</v>
          </cell>
          <cell r="W132">
            <v>89.313425224665679</v>
          </cell>
          <cell r="X132">
            <v>85.50874318658029</v>
          </cell>
          <cell r="Y132">
            <v>92.24728085621382</v>
          </cell>
          <cell r="Z132">
            <v>0</v>
          </cell>
          <cell r="AA132">
            <v>92.24728085621382</v>
          </cell>
          <cell r="AB132">
            <v>92.24728085621382</v>
          </cell>
          <cell r="AC132">
            <v>88.878012021397055</v>
          </cell>
          <cell r="AD132">
            <v>92.24728085621382</v>
          </cell>
          <cell r="AE132">
            <v>92.24728085621382</v>
          </cell>
          <cell r="AF132">
            <v>0</v>
          </cell>
          <cell r="AG132">
            <v>0</v>
          </cell>
          <cell r="AH132">
            <v>99.567978633239932</v>
          </cell>
          <cell r="AI132">
            <v>103.34121015675775</v>
          </cell>
          <cell r="AJ132">
            <v>103.34121015675775</v>
          </cell>
          <cell r="AK132">
            <v>0</v>
          </cell>
          <cell r="AL132">
            <v>0</v>
          </cell>
          <cell r="AM132">
            <v>96.005474449959451</v>
          </cell>
          <cell r="AN132">
            <v>96.005474449959451</v>
          </cell>
          <cell r="AO132">
            <v>97.976573499533842</v>
          </cell>
          <cell r="AP132">
            <v>88.11803173071975</v>
          </cell>
          <cell r="AQ132">
            <v>97.976573499533842</v>
          </cell>
          <cell r="AR132">
            <v>97.976573499533842</v>
          </cell>
          <cell r="AS132">
            <v>102.45415535904661</v>
          </cell>
          <cell r="AT132">
            <v>102.45415535904661</v>
          </cell>
          <cell r="AU132">
            <v>102.45415535904661</v>
          </cell>
          <cell r="AV132">
            <v>114.14398180965588</v>
          </cell>
          <cell r="AW132">
            <v>0</v>
          </cell>
          <cell r="AX132">
            <v>92.018602132751639</v>
          </cell>
          <cell r="AY132">
            <v>0</v>
          </cell>
          <cell r="AZ132">
            <v>0</v>
          </cell>
          <cell r="BA132">
            <v>0</v>
          </cell>
          <cell r="BB132">
            <v>102.45415535904661</v>
          </cell>
          <cell r="BC132">
            <v>0</v>
          </cell>
          <cell r="BD132">
            <v>93.761183588987279</v>
          </cell>
          <cell r="BE132">
            <v>95.317685510460478</v>
          </cell>
          <cell r="BF132">
            <v>0</v>
          </cell>
          <cell r="BG132">
            <v>0</v>
          </cell>
          <cell r="BH132">
            <v>93.761183588987279</v>
          </cell>
          <cell r="BI132">
            <v>95.317685510460478</v>
          </cell>
          <cell r="BJ132">
            <v>94.934736625018658</v>
          </cell>
          <cell r="BK132">
            <v>96.849481052227745</v>
          </cell>
          <cell r="BL132">
            <v>94.934736625018658</v>
          </cell>
          <cell r="BM132">
            <v>128.77558335112258</v>
          </cell>
          <cell r="BN132">
            <v>85.50874318658029</v>
          </cell>
          <cell r="BO132">
            <v>90</v>
          </cell>
          <cell r="BP132">
            <v>100</v>
          </cell>
          <cell r="BQ132">
            <v>348.04275580589109</v>
          </cell>
          <cell r="BR132">
            <v>231.10513538121108</v>
          </cell>
          <cell r="BS132">
            <v>243.24368958299993</v>
          </cell>
          <cell r="BT132">
            <v>0.38386355361826663</v>
          </cell>
          <cell r="BU132">
            <v>0.22867474867840276</v>
          </cell>
          <cell r="BV132">
            <v>0.27</v>
          </cell>
          <cell r="BW132">
            <v>257.01369863013701</v>
          </cell>
          <cell r="BX132">
            <v>0.46220397710877825</v>
          </cell>
          <cell r="BY132">
            <v>257.01369863013701</v>
          </cell>
          <cell r="BZ132">
            <v>0.46220397710877825</v>
          </cell>
          <cell r="CA132">
            <v>257.01369863013701</v>
          </cell>
          <cell r="CB132">
            <v>0.46220397710877825</v>
          </cell>
          <cell r="CC132">
            <v>340</v>
          </cell>
          <cell r="CD132">
            <v>-0.28457738357941198</v>
          </cell>
          <cell r="CE132">
            <v>457.92</v>
          </cell>
          <cell r="CF132">
            <v>175.77144000000001</v>
          </cell>
          <cell r="CG132">
            <v>270.27076620333327</v>
          </cell>
        </row>
        <row r="133">
          <cell r="B133">
            <v>889764</v>
          </cell>
          <cell r="C133" t="str">
            <v>TONER TYPE E YELLOW (AF2X03)</v>
          </cell>
          <cell r="D133">
            <v>98.363116977163259</v>
          </cell>
          <cell r="E133">
            <v>89.166926502434151</v>
          </cell>
          <cell r="F133">
            <v>93.765021739798698</v>
          </cell>
          <cell r="G133">
            <v>0</v>
          </cell>
          <cell r="H133">
            <v>0</v>
          </cell>
          <cell r="I133">
            <v>98.363116977163259</v>
          </cell>
          <cell r="J133">
            <v>101.12197411958198</v>
          </cell>
          <cell r="K133">
            <v>0</v>
          </cell>
          <cell r="L133">
            <v>89.265223560619589</v>
          </cell>
          <cell r="M133">
            <v>111.85896076337841</v>
          </cell>
          <cell r="N133">
            <v>0</v>
          </cell>
          <cell r="O133">
            <v>120.79336634926021</v>
          </cell>
          <cell r="P133">
            <v>0</v>
          </cell>
          <cell r="Q133">
            <v>88.110248453924825</v>
          </cell>
          <cell r="R133">
            <v>92.883084082796003</v>
          </cell>
          <cell r="S133">
            <v>0</v>
          </cell>
          <cell r="T133">
            <v>92.883084082796003</v>
          </cell>
          <cell r="U133">
            <v>0</v>
          </cell>
          <cell r="V133">
            <v>107.06522423715606</v>
          </cell>
          <cell r="W133">
            <v>100.19956351740052</v>
          </cell>
          <cell r="X133">
            <v>97.417250980276521</v>
          </cell>
          <cell r="Y133">
            <v>108.67122548388497</v>
          </cell>
          <cell r="Z133">
            <v>0</v>
          </cell>
          <cell r="AA133">
            <v>108.67122548388497</v>
          </cell>
          <cell r="AB133">
            <v>108.67122548388497</v>
          </cell>
          <cell r="AC133">
            <v>103.03944114149951</v>
          </cell>
          <cell r="AD133">
            <v>108.67122548388497</v>
          </cell>
          <cell r="AE133">
            <v>108.67122548388497</v>
          </cell>
          <cell r="AF133">
            <v>0</v>
          </cell>
          <cell r="AG133">
            <v>0</v>
          </cell>
          <cell r="AH133">
            <v>96.79884213908143</v>
          </cell>
          <cell r="AI133">
            <v>100.88517647235329</v>
          </cell>
          <cell r="AJ133">
            <v>100.88517647235329</v>
          </cell>
          <cell r="AK133">
            <v>0</v>
          </cell>
          <cell r="AL133">
            <v>0</v>
          </cell>
          <cell r="AM133">
            <v>109.89833295416615</v>
          </cell>
          <cell r="AN133">
            <v>109.89833295416615</v>
          </cell>
          <cell r="AO133">
            <v>119.22497437102621</v>
          </cell>
          <cell r="AP133">
            <v>85.797930647237592</v>
          </cell>
          <cell r="AQ133">
            <v>119.22497437102621</v>
          </cell>
          <cell r="AR133">
            <v>109.89833295416615</v>
          </cell>
          <cell r="AS133">
            <v>103.82767898405501</v>
          </cell>
          <cell r="AT133">
            <v>103.82767898405501</v>
          </cell>
          <cell r="AU133">
            <v>87.2053918466612</v>
          </cell>
          <cell r="AV133">
            <v>103.82767898405501</v>
          </cell>
          <cell r="AW133">
            <v>0</v>
          </cell>
          <cell r="AX133">
            <v>88.737613845359519</v>
          </cell>
          <cell r="AY133">
            <v>0</v>
          </cell>
          <cell r="AZ133">
            <v>0</v>
          </cell>
          <cell r="BA133">
            <v>0</v>
          </cell>
          <cell r="BB133">
            <v>103.82767898405501</v>
          </cell>
          <cell r="BC133">
            <v>0</v>
          </cell>
          <cell r="BD133">
            <v>84.964303218445906</v>
          </cell>
          <cell r="BE133">
            <v>89.308588367102999</v>
          </cell>
          <cell r="BF133">
            <v>0</v>
          </cell>
          <cell r="BG133">
            <v>0</v>
          </cell>
          <cell r="BH133">
            <v>86.393344385767321</v>
          </cell>
          <cell r="BI133">
            <v>89.299061425987531</v>
          </cell>
          <cell r="BJ133">
            <v>0</v>
          </cell>
          <cell r="BK133">
            <v>89.308588367102999</v>
          </cell>
          <cell r="BL133">
            <v>89.308588367102999</v>
          </cell>
          <cell r="BM133">
            <v>120.79336634926021</v>
          </cell>
          <cell r="BN133">
            <v>84.964303218445906</v>
          </cell>
          <cell r="BO133">
            <v>90</v>
          </cell>
          <cell r="BP133">
            <v>100</v>
          </cell>
          <cell r="BQ133">
            <v>405.30296607542999</v>
          </cell>
          <cell r="BR133">
            <v>285.0842322367252</v>
          </cell>
          <cell r="BS133">
            <v>301.98071342195107</v>
          </cell>
          <cell r="BT133">
            <v>0.31532347717650011</v>
          </cell>
          <cell r="BU133">
            <v>0.41032658019061419</v>
          </cell>
          <cell r="BV133">
            <v>0.27</v>
          </cell>
          <cell r="BW133">
            <v>243.93150684931507</v>
          </cell>
          <cell r="BX133">
            <v>6.2481223208547432E-2</v>
          </cell>
          <cell r="BY133">
            <v>301.98071342195107</v>
          </cell>
          <cell r="BZ133">
            <v>0.31532347717650011</v>
          </cell>
          <cell r="CA133">
            <v>300.66000000000003</v>
          </cell>
          <cell r="CB133">
            <v>0.30957090658737441</v>
          </cell>
          <cell r="CC133">
            <v>440</v>
          </cell>
          <cell r="CD133">
            <v>-0.31368019676829306</v>
          </cell>
          <cell r="CE133">
            <v>482.05241999999998</v>
          </cell>
          <cell r="CF133">
            <v>229.58665199999999</v>
          </cell>
          <cell r="CG133">
            <v>335.5341260243901</v>
          </cell>
        </row>
        <row r="134">
          <cell r="B134">
            <v>889765</v>
          </cell>
          <cell r="C134" t="str">
            <v>TONER TYPE E MAGENTA (AF 2X03)</v>
          </cell>
          <cell r="D134">
            <v>98.566338263973705</v>
          </cell>
          <cell r="E134">
            <v>89.339025052542951</v>
          </cell>
          <cell r="F134">
            <v>93.952681658258328</v>
          </cell>
          <cell r="G134">
            <v>0</v>
          </cell>
          <cell r="H134">
            <v>0</v>
          </cell>
          <cell r="I134">
            <v>98.566338263973705</v>
          </cell>
          <cell r="J134">
            <v>101.33453222740293</v>
          </cell>
          <cell r="K134">
            <v>0</v>
          </cell>
          <cell r="L134">
            <v>89.437654778202912</v>
          </cell>
          <cell r="M134">
            <v>112.10785613598333</v>
          </cell>
          <cell r="N134">
            <v>0</v>
          </cell>
          <cell r="O134">
            <v>121.07249849799535</v>
          </cell>
          <cell r="P134">
            <v>0</v>
          </cell>
          <cell r="Q134">
            <v>88.278770880553736</v>
          </cell>
          <cell r="R134">
            <v>93.067759252999096</v>
          </cell>
          <cell r="S134">
            <v>0</v>
          </cell>
          <cell r="T134">
            <v>93.067759252999096</v>
          </cell>
          <cell r="U134">
            <v>0</v>
          </cell>
          <cell r="V134">
            <v>107.29789613112244</v>
          </cell>
          <cell r="W134">
            <v>100.40899990407168</v>
          </cell>
          <cell r="X134">
            <v>97.617271165668186</v>
          </cell>
          <cell r="Y134">
            <v>108.9093325799692</v>
          </cell>
          <cell r="Z134">
            <v>0</v>
          </cell>
          <cell r="AA134">
            <v>108.9093325799692</v>
          </cell>
          <cell r="AB134">
            <v>108.9093325799692</v>
          </cell>
          <cell r="AC134">
            <v>103.25848854740767</v>
          </cell>
          <cell r="AD134">
            <v>108.9093325799692</v>
          </cell>
          <cell r="AE134">
            <v>108.9093325799692</v>
          </cell>
          <cell r="AF134">
            <v>0</v>
          </cell>
          <cell r="AG134">
            <v>0</v>
          </cell>
          <cell r="AH134">
            <v>96.996769438773157</v>
          </cell>
          <cell r="AI134">
            <v>101.09693318411286</v>
          </cell>
          <cell r="AJ134">
            <v>101.09693318411286</v>
          </cell>
          <cell r="AK134">
            <v>0</v>
          </cell>
          <cell r="AL134">
            <v>0</v>
          </cell>
          <cell r="AM134">
            <v>110.14059295930629</v>
          </cell>
          <cell r="AN134">
            <v>110.14059295930629</v>
          </cell>
          <cell r="AO134">
            <v>119.49879859897416</v>
          </cell>
          <cell r="AP134">
            <v>85.958627479293867</v>
          </cell>
          <cell r="AQ134">
            <v>119.49879859897416</v>
          </cell>
          <cell r="AR134">
            <v>110.14059295930629</v>
          </cell>
          <cell r="AS134">
            <v>104.04939402923179</v>
          </cell>
          <cell r="AT134">
            <v>104.04939402923179</v>
          </cell>
          <cell r="AU134">
            <v>87.370851960257568</v>
          </cell>
          <cell r="AV134">
            <v>104.04939402923179</v>
          </cell>
          <cell r="AW134">
            <v>0</v>
          </cell>
          <cell r="AX134">
            <v>88.908259469408819</v>
          </cell>
          <cell r="AY134">
            <v>0</v>
          </cell>
          <cell r="AZ134">
            <v>0</v>
          </cell>
          <cell r="BA134">
            <v>0</v>
          </cell>
          <cell r="BB134">
            <v>104.04939402923179</v>
          </cell>
          <cell r="BC134">
            <v>0</v>
          </cell>
          <cell r="BD134">
            <v>85.122178798914916</v>
          </cell>
          <cell r="BE134">
            <v>89.871181019661336</v>
          </cell>
          <cell r="BF134">
            <v>0</v>
          </cell>
          <cell r="BG134">
            <v>0</v>
          </cell>
          <cell r="BH134">
            <v>86.55605628102434</v>
          </cell>
          <cell r="BI134">
            <v>90.651210369928876</v>
          </cell>
          <cell r="BJ134">
            <v>89.871181019661336</v>
          </cell>
          <cell r="BK134">
            <v>89.48116634452758</v>
          </cell>
          <cell r="BL134">
            <v>89.48116634452758</v>
          </cell>
          <cell r="BM134">
            <v>121.07249849799535</v>
          </cell>
          <cell r="BN134">
            <v>85.122178798914916</v>
          </cell>
          <cell r="BO134">
            <v>90</v>
          </cell>
          <cell r="BP134">
            <v>100</v>
          </cell>
          <cell r="BQ134">
            <v>404.46456495981903</v>
          </cell>
          <cell r="BR134">
            <v>284.36602402241749</v>
          </cell>
          <cell r="BS134">
            <v>300.66126740571423</v>
          </cell>
          <cell r="BT134">
            <v>0.30957642696803744</v>
          </cell>
          <cell r="BU134">
            <v>0.4077388100685706</v>
          </cell>
          <cell r="BV134">
            <v>0.27</v>
          </cell>
          <cell r="BW134">
            <v>243.93150684931507</v>
          </cell>
          <cell r="BX134">
            <v>6.2481223208547432E-2</v>
          </cell>
          <cell r="BY134">
            <v>300.66126740571423</v>
          </cell>
          <cell r="BZ134">
            <v>0.30957642696803744</v>
          </cell>
          <cell r="CA134">
            <v>300.66126740571423</v>
          </cell>
          <cell r="CB134">
            <v>0.30957642696803744</v>
          </cell>
          <cell r="CC134">
            <v>440</v>
          </cell>
          <cell r="CD134">
            <v>-0.3166789377142859</v>
          </cell>
          <cell r="CE134">
            <v>482.05241999999998</v>
          </cell>
          <cell r="CF134">
            <v>229.58665199999999</v>
          </cell>
          <cell r="CG134">
            <v>334.068074895238</v>
          </cell>
        </row>
        <row r="135">
          <cell r="B135">
            <v>889766</v>
          </cell>
          <cell r="C135" t="str">
            <v>TONER TYPE E CYAN (AF 2X03)</v>
          </cell>
          <cell r="D135">
            <v>98.839016812055704</v>
          </cell>
          <cell r="E135">
            <v>89.650795011382456</v>
          </cell>
          <cell r="F135">
            <v>94.244905911719087</v>
          </cell>
          <cell r="G135">
            <v>0</v>
          </cell>
          <cell r="H135">
            <v>0</v>
          </cell>
          <cell r="I135">
            <v>98.839016812055704</v>
          </cell>
          <cell r="J135">
            <v>101.59548335225767</v>
          </cell>
          <cell r="K135">
            <v>0</v>
          </cell>
          <cell r="L135">
            <v>89.749006893296325</v>
          </cell>
          <cell r="M135">
            <v>112.32316619279538</v>
          </cell>
          <cell r="N135">
            <v>0</v>
          </cell>
          <cell r="O135">
            <v>121.24982994620946</v>
          </cell>
          <cell r="P135">
            <v>0</v>
          </cell>
          <cell r="Q135">
            <v>88.595032594511437</v>
          </cell>
          <cell r="R135">
            <v>93.363732470480016</v>
          </cell>
          <cell r="S135">
            <v>0</v>
          </cell>
          <cell r="T135">
            <v>93.363732470480016</v>
          </cell>
          <cell r="U135">
            <v>0</v>
          </cell>
          <cell r="V135">
            <v>107.53358353050095</v>
          </cell>
          <cell r="W135">
            <v>100.67387203641708</v>
          </cell>
          <cell r="X135">
            <v>97.893970426055716</v>
          </cell>
          <cell r="Y135">
            <v>109.13819314658632</v>
          </cell>
          <cell r="Z135">
            <v>0</v>
          </cell>
          <cell r="AA135">
            <v>109.13819314658632</v>
          </cell>
          <cell r="AB135">
            <v>109.13819314658632</v>
          </cell>
          <cell r="AC135">
            <v>103.51128885251006</v>
          </cell>
          <cell r="AD135">
            <v>109.13819314658632</v>
          </cell>
          <cell r="AE135">
            <v>109.13819314658632</v>
          </cell>
          <cell r="AF135">
            <v>0</v>
          </cell>
          <cell r="AG135">
            <v>0</v>
          </cell>
          <cell r="AH135">
            <v>97.276097447890251</v>
          </cell>
          <cell r="AI135">
            <v>101.35889089469673</v>
          </cell>
          <cell r="AJ135">
            <v>101.35889089469673</v>
          </cell>
          <cell r="AK135">
            <v>0</v>
          </cell>
          <cell r="AL135">
            <v>0</v>
          </cell>
          <cell r="AM135">
            <v>110.36423730489184</v>
          </cell>
          <cell r="AN135">
            <v>110.36423730489184</v>
          </cell>
          <cell r="AO135">
            <v>119.68279700947211</v>
          </cell>
          <cell r="AP135">
            <v>86.284718455208619</v>
          </cell>
          <cell r="AQ135">
            <v>119.68279700947211</v>
          </cell>
          <cell r="AR135">
            <v>110.36423730489184</v>
          </cell>
          <cell r="AS135">
            <v>104.29884367197431</v>
          </cell>
          <cell r="AT135">
            <v>104.29884367197431</v>
          </cell>
          <cell r="AU135">
            <v>87.69096006271802</v>
          </cell>
          <cell r="AV135">
            <v>93.489802105056114</v>
          </cell>
          <cell r="AW135">
            <v>0</v>
          </cell>
          <cell r="AX135">
            <v>89.221854361895282</v>
          </cell>
          <cell r="AY135">
            <v>0</v>
          </cell>
          <cell r="AZ135">
            <v>0</v>
          </cell>
          <cell r="BA135">
            <v>0</v>
          </cell>
          <cell r="BB135">
            <v>104.29884367197431</v>
          </cell>
          <cell r="BC135">
            <v>0</v>
          </cell>
          <cell r="BD135">
            <v>85.451813380448456</v>
          </cell>
          <cell r="BE135">
            <v>89.792334123349647</v>
          </cell>
          <cell r="BF135">
            <v>0</v>
          </cell>
          <cell r="BG135">
            <v>0</v>
          </cell>
          <cell r="BH135">
            <v>86.879616256402784</v>
          </cell>
          <cell r="BI135">
            <v>90.957421270128378</v>
          </cell>
          <cell r="BJ135">
            <v>90.18069650560922</v>
          </cell>
          <cell r="BK135">
            <v>89.792334123349647</v>
          </cell>
          <cell r="BL135">
            <v>89.792334123349647</v>
          </cell>
          <cell r="BM135">
            <v>121.24982994620946</v>
          </cell>
          <cell r="BN135">
            <v>85.451813380448456</v>
          </cell>
          <cell r="BO135">
            <v>90</v>
          </cell>
          <cell r="BP135">
            <v>100</v>
          </cell>
          <cell r="BQ135">
            <v>402.77719381913715</v>
          </cell>
          <cell r="BR135">
            <v>283.86053502427706</v>
          </cell>
          <cell r="BS135">
            <v>298.96905801685699</v>
          </cell>
          <cell r="BT135">
            <v>0.30220574851562798</v>
          </cell>
          <cell r="BU135">
            <v>0.40438652353796511</v>
          </cell>
          <cell r="BV135">
            <v>0.27</v>
          </cell>
          <cell r="BW135">
            <v>243.93150684931507</v>
          </cell>
          <cell r="BX135">
            <v>6.2481223208547432E-2</v>
          </cell>
          <cell r="BY135">
            <v>298.96905801685699</v>
          </cell>
          <cell r="BZ135">
            <v>0.30220574851562798</v>
          </cell>
          <cell r="CA135">
            <v>300.66000000000003</v>
          </cell>
          <cell r="CB135">
            <v>0.30957090658737441</v>
          </cell>
          <cell r="CC135">
            <v>440</v>
          </cell>
          <cell r="CD135">
            <v>-0.32052486814350689</v>
          </cell>
          <cell r="CE135">
            <v>482.05241999999998</v>
          </cell>
          <cell r="CF135">
            <v>229.58665199999999</v>
          </cell>
          <cell r="CG135">
            <v>332.18784224095225</v>
          </cell>
        </row>
        <row r="136">
          <cell r="B136">
            <v>889776</v>
          </cell>
          <cell r="C136" t="str">
            <v>TONER 2200 EX (S/L)</v>
          </cell>
          <cell r="D136">
            <v>100.62126402333526</v>
          </cell>
          <cell r="E136">
            <v>96.12192598406493</v>
          </cell>
          <cell r="F136">
            <v>0</v>
          </cell>
          <cell r="G136">
            <v>0</v>
          </cell>
          <cell r="H136">
            <v>106.14317888971249</v>
          </cell>
          <cell r="I136">
            <v>100.62126402333526</v>
          </cell>
          <cell r="J136">
            <v>103.9344129431616</v>
          </cell>
          <cell r="K136">
            <v>113.87385970264062</v>
          </cell>
          <cell r="L136">
            <v>89.42036648993718</v>
          </cell>
          <cell r="M136">
            <v>108.12812322034623</v>
          </cell>
          <cell r="N136">
            <v>0</v>
          </cell>
          <cell r="O136">
            <v>0</v>
          </cell>
          <cell r="P136">
            <v>87.194855643327045</v>
          </cell>
          <cell r="Q136">
            <v>87.194855643327045</v>
          </cell>
          <cell r="R136">
            <v>110.25291924816241</v>
          </cell>
          <cell r="S136">
            <v>110.25291924816241</v>
          </cell>
          <cell r="T136">
            <v>123.22308002588231</v>
          </cell>
          <cell r="U136">
            <v>87.194855643327045</v>
          </cell>
          <cell r="V136">
            <v>87.194855643327045</v>
          </cell>
          <cell r="W136">
            <v>89.461410269592861</v>
          </cell>
          <cell r="X136">
            <v>90.290978583798449</v>
          </cell>
          <cell r="Y136">
            <v>85.774439984234718</v>
          </cell>
          <cell r="Z136">
            <v>89.645758783860771</v>
          </cell>
          <cell r="AA136">
            <v>89.645758783860771</v>
          </cell>
          <cell r="AB136">
            <v>0</v>
          </cell>
          <cell r="AC136">
            <v>86.880531069842164</v>
          </cell>
          <cell r="AD136">
            <v>85.544004341399827</v>
          </cell>
          <cell r="AE136">
            <v>0</v>
          </cell>
          <cell r="AF136">
            <v>0</v>
          </cell>
          <cell r="AG136">
            <v>107.65209660984341</v>
          </cell>
          <cell r="AH136">
            <v>112.21324074686088</v>
          </cell>
          <cell r="AI136">
            <v>115.55379701622577</v>
          </cell>
          <cell r="AJ136">
            <v>115.55379701622577</v>
          </cell>
          <cell r="AK136">
            <v>106.99683364931415</v>
          </cell>
          <cell r="AL136">
            <v>0</v>
          </cell>
          <cell r="AM136">
            <v>98.785249008893572</v>
          </cell>
          <cell r="AN136">
            <v>98.785249008893572</v>
          </cell>
          <cell r="AO136">
            <v>101.59146610148066</v>
          </cell>
          <cell r="AP136">
            <v>101.59146610148066</v>
          </cell>
          <cell r="AQ136">
            <v>101.59146610148066</v>
          </cell>
          <cell r="AR136">
            <v>101.59146610148066</v>
          </cell>
          <cell r="AS136">
            <v>112.31361197984091</v>
          </cell>
          <cell r="AT136">
            <v>96.700929435109387</v>
          </cell>
          <cell r="AU136">
            <v>88.002434874473252</v>
          </cell>
          <cell r="AV136">
            <v>88.002434874473252</v>
          </cell>
          <cell r="AW136">
            <v>96.700929435109387</v>
          </cell>
          <cell r="AX136">
            <v>88.002434874473252</v>
          </cell>
          <cell r="AY136">
            <v>0</v>
          </cell>
          <cell r="AZ136">
            <v>112.31361197984091</v>
          </cell>
          <cell r="BA136">
            <v>0</v>
          </cell>
          <cell r="BB136">
            <v>117.88957003153075</v>
          </cell>
          <cell r="BC136">
            <v>95.651130794803436</v>
          </cell>
          <cell r="BD136">
            <v>0</v>
          </cell>
          <cell r="BE136">
            <v>105.76683422996334</v>
          </cell>
          <cell r="BF136">
            <v>95.651130794803436</v>
          </cell>
          <cell r="BG136">
            <v>95.651130794803436</v>
          </cell>
          <cell r="BH136">
            <v>95.651130794803436</v>
          </cell>
          <cell r="BI136">
            <v>105.13803507506334</v>
          </cell>
          <cell r="BJ136">
            <v>105.13803507506334</v>
          </cell>
          <cell r="BK136">
            <v>105.76683422996334</v>
          </cell>
          <cell r="BL136">
            <v>105.13803507506334</v>
          </cell>
          <cell r="BM136">
            <v>123.22308002588231</v>
          </cell>
          <cell r="BN136">
            <v>85.544004341399827</v>
          </cell>
          <cell r="BO136">
            <v>90</v>
          </cell>
          <cell r="BP136">
            <v>100</v>
          </cell>
          <cell r="BQ136">
            <v>822.39780546938618</v>
          </cell>
          <cell r="BR136">
            <v>570.92552325955489</v>
          </cell>
          <cell r="BS136">
            <v>600.66509031179999</v>
          </cell>
          <cell r="BT136">
            <v>0.22411021062379488</v>
          </cell>
          <cell r="BU136">
            <v>0.3061358039241916</v>
          </cell>
          <cell r="BV136">
            <v>0.27</v>
          </cell>
          <cell r="BW136">
            <v>570.93150684931504</v>
          </cell>
          <cell r="BX136">
            <v>0.16351540712694246</v>
          </cell>
          <cell r="BY136">
            <v>600.66509031179999</v>
          </cell>
          <cell r="BZ136">
            <v>0.22411021062379488</v>
          </cell>
          <cell r="CA136">
            <v>600.66509031179999</v>
          </cell>
          <cell r="CB136">
            <v>0.22411021062379488</v>
          </cell>
          <cell r="CC136">
            <v>740</v>
          </cell>
          <cell r="CD136">
            <v>-0.18829041849756756</v>
          </cell>
          <cell r="CE136">
            <v>951.28506000000004</v>
          </cell>
          <cell r="CF136">
            <v>490.69527000000005</v>
          </cell>
          <cell r="CG136">
            <v>667.40565590200003</v>
          </cell>
        </row>
        <row r="137">
          <cell r="B137">
            <v>889782</v>
          </cell>
          <cell r="C137" t="str">
            <v>IMAGE UNIT TYPE 1</v>
          </cell>
          <cell r="D137">
            <v>101.70442072519688</v>
          </cell>
          <cell r="E137">
            <v>93.866251905678098</v>
          </cell>
          <cell r="F137">
            <v>0</v>
          </cell>
          <cell r="G137">
            <v>0</v>
          </cell>
          <cell r="H137">
            <v>0</v>
          </cell>
          <cell r="I137">
            <v>0</v>
          </cell>
          <cell r="J137">
            <v>0</v>
          </cell>
          <cell r="K137">
            <v>0</v>
          </cell>
          <cell r="L137">
            <v>0</v>
          </cell>
          <cell r="M137">
            <v>0</v>
          </cell>
          <cell r="N137">
            <v>0</v>
          </cell>
          <cell r="O137">
            <v>0</v>
          </cell>
          <cell r="P137">
            <v>0</v>
          </cell>
          <cell r="Q137">
            <v>83.324307219816689</v>
          </cell>
          <cell r="R137">
            <v>0</v>
          </cell>
          <cell r="S137">
            <v>0</v>
          </cell>
          <cell r="T137">
            <v>0</v>
          </cell>
          <cell r="U137">
            <v>0</v>
          </cell>
          <cell r="V137">
            <v>84.111195962020247</v>
          </cell>
          <cell r="W137">
            <v>115.48573715737479</v>
          </cell>
          <cell r="X137">
            <v>0</v>
          </cell>
          <cell r="Y137">
            <v>101.56611518348812</v>
          </cell>
          <cell r="Z137">
            <v>0</v>
          </cell>
          <cell r="AA137">
            <v>0</v>
          </cell>
          <cell r="AB137">
            <v>0</v>
          </cell>
          <cell r="AC137">
            <v>109.68589466825534</v>
          </cell>
          <cell r="AD137">
            <v>0</v>
          </cell>
          <cell r="AE137">
            <v>0</v>
          </cell>
          <cell r="AF137">
            <v>0</v>
          </cell>
          <cell r="AG137">
            <v>109.13508099521714</v>
          </cell>
          <cell r="AH137">
            <v>112.08607532664951</v>
          </cell>
          <cell r="AI137">
            <v>0</v>
          </cell>
          <cell r="AJ137">
            <v>120.8442600912056</v>
          </cell>
          <cell r="AK137">
            <v>108.16393171469613</v>
          </cell>
          <cell r="AL137">
            <v>108.16393171469613</v>
          </cell>
          <cell r="AM137">
            <v>90.990332777719445</v>
          </cell>
          <cell r="AN137">
            <v>90.990332777719445</v>
          </cell>
          <cell r="AO137">
            <v>94.890433721686549</v>
          </cell>
          <cell r="AP137">
            <v>94.890433721686549</v>
          </cell>
          <cell r="AQ137">
            <v>94.890433721686549</v>
          </cell>
          <cell r="AR137">
            <v>94.890433721686549</v>
          </cell>
          <cell r="AS137">
            <v>92.800395481956997</v>
          </cell>
          <cell r="AT137">
            <v>97.9037219115108</v>
          </cell>
          <cell r="AU137">
            <v>92.800395481956997</v>
          </cell>
          <cell r="AV137">
            <v>92.800395481956997</v>
          </cell>
          <cell r="AW137">
            <v>97.9037219115108</v>
          </cell>
          <cell r="AX137">
            <v>0</v>
          </cell>
          <cell r="AY137">
            <v>0</v>
          </cell>
          <cell r="AZ137">
            <v>0</v>
          </cell>
          <cell r="BA137">
            <v>0</v>
          </cell>
          <cell r="BB137">
            <v>0</v>
          </cell>
          <cell r="BC137">
            <v>0</v>
          </cell>
          <cell r="BD137">
            <v>0</v>
          </cell>
          <cell r="BE137">
            <v>118.98323103372705</v>
          </cell>
          <cell r="BF137">
            <v>98.564267795450505</v>
          </cell>
          <cell r="BG137">
            <v>0</v>
          </cell>
          <cell r="BH137">
            <v>98.564267795450505</v>
          </cell>
          <cell r="BI137">
            <v>0</v>
          </cell>
          <cell r="BJ137">
            <v>0</v>
          </cell>
          <cell r="BK137">
            <v>0</v>
          </cell>
          <cell r="BL137">
            <v>0</v>
          </cell>
          <cell r="BM137">
            <v>120.8442600912056</v>
          </cell>
          <cell r="BN137">
            <v>83.324307219816689</v>
          </cell>
          <cell r="BO137">
            <v>90</v>
          </cell>
          <cell r="BP137">
            <v>100</v>
          </cell>
          <cell r="BQ137">
            <v>429.25739569491003</v>
          </cell>
          <cell r="BR137">
            <v>295.98075314678573</v>
          </cell>
          <cell r="BS137">
            <v>319.69384051326915</v>
          </cell>
          <cell r="BT137">
            <v>0.12590384451965408</v>
          </cell>
          <cell r="BU137">
            <v>0.27480617196821688</v>
          </cell>
          <cell r="BV137">
            <v>0.27</v>
          </cell>
          <cell r="BW137">
            <v>317.58904109589042</v>
          </cell>
          <cell r="BX137">
            <v>0.1184911219217939</v>
          </cell>
          <cell r="BY137">
            <v>319.69384051326915</v>
          </cell>
          <cell r="BZ137">
            <v>0.12590384451965408</v>
          </cell>
          <cell r="CA137">
            <v>319.69384051326915</v>
          </cell>
          <cell r="CB137">
            <v>0.12590384451965408</v>
          </cell>
          <cell r="CD137">
            <v>0</v>
          </cell>
          <cell r="CE137">
            <v>444.30285900000001</v>
          </cell>
          <cell r="CF137">
            <v>283.94417700000002</v>
          </cell>
          <cell r="CG137">
            <v>355.21537834807685</v>
          </cell>
        </row>
        <row r="138">
          <cell r="B138">
            <v>889843</v>
          </cell>
          <cell r="C138" t="str">
            <v>TONER TYPE 20DE (AF200)</v>
          </cell>
          <cell r="D138">
            <v>113.98210405036255</v>
          </cell>
          <cell r="E138">
            <v>98.676985045630573</v>
          </cell>
          <cell r="F138">
            <v>99.942208216688414</v>
          </cell>
          <cell r="G138">
            <v>0</v>
          </cell>
          <cell r="H138">
            <v>121.63466355272854</v>
          </cell>
          <cell r="I138">
            <v>113.98210405036255</v>
          </cell>
          <cell r="J138">
            <v>118.57363975178214</v>
          </cell>
          <cell r="K138">
            <v>0</v>
          </cell>
          <cell r="L138">
            <v>92.359031920477221</v>
          </cell>
          <cell r="M138">
            <v>95.859067754955348</v>
          </cell>
          <cell r="N138">
            <v>0</v>
          </cell>
          <cell r="O138">
            <v>97.506143441768586</v>
          </cell>
          <cell r="P138">
            <v>87.785752165006471</v>
          </cell>
          <cell r="Q138">
            <v>87.458938897874617</v>
          </cell>
          <cell r="R138">
            <v>102.16553591880755</v>
          </cell>
          <cell r="S138">
            <v>108.70180126144442</v>
          </cell>
          <cell r="T138">
            <v>108.70180126144442</v>
          </cell>
          <cell r="U138">
            <v>95.629270576170697</v>
          </cell>
          <cell r="V138">
            <v>87.458938897874617</v>
          </cell>
          <cell r="W138">
            <v>91.283558349747992</v>
          </cell>
          <cell r="X138">
            <v>99.147228092798599</v>
          </cell>
          <cell r="Y138">
            <v>99.009268974499477</v>
          </cell>
          <cell r="Z138">
            <v>104.89552468859584</v>
          </cell>
          <cell r="AA138">
            <v>104.89552468859584</v>
          </cell>
          <cell r="AB138">
            <v>87.37471666460587</v>
          </cell>
          <cell r="AC138">
            <v>96.480018472348704</v>
          </cell>
          <cell r="AD138">
            <v>100.68777158047227</v>
          </cell>
          <cell r="AE138">
            <v>96.480018472348704</v>
          </cell>
          <cell r="AF138">
            <v>0</v>
          </cell>
          <cell r="AG138">
            <v>112.47328460522539</v>
          </cell>
          <cell r="AH138">
            <v>117.96986981273325</v>
          </cell>
          <cell r="AI138">
            <v>121.99553785203477</v>
          </cell>
          <cell r="AJ138">
            <v>121.99553785203477</v>
          </cell>
          <cell r="AK138">
            <v>111.68363433597779</v>
          </cell>
          <cell r="AL138">
            <v>111.68363433597779</v>
          </cell>
          <cell r="AM138">
            <v>94.214930650991008</v>
          </cell>
          <cell r="AN138">
            <v>94.214930650991008</v>
          </cell>
          <cell r="AO138">
            <v>105.29633677763778</v>
          </cell>
          <cell r="AP138">
            <v>106.26933829119702</v>
          </cell>
          <cell r="AQ138">
            <v>106.26933829119702</v>
          </cell>
          <cell r="AR138">
            <v>102.32327659731791</v>
          </cell>
          <cell r="AS138">
            <v>93.094187803337846</v>
          </cell>
          <cell r="AT138">
            <v>93.094187803337846</v>
          </cell>
          <cell r="AU138">
            <v>81.966652048010815</v>
          </cell>
          <cell r="AV138">
            <v>81.966652048010815</v>
          </cell>
          <cell r="AW138">
            <v>0</v>
          </cell>
          <cell r="AX138">
            <v>104.22172355866488</v>
          </cell>
          <cell r="AY138">
            <v>92.537811015571492</v>
          </cell>
          <cell r="AZ138">
            <v>93.094187803337846</v>
          </cell>
          <cell r="BA138">
            <v>93.094187803337846</v>
          </cell>
          <cell r="BB138">
            <v>93.094187803337846</v>
          </cell>
          <cell r="BC138">
            <v>91.568444977946513</v>
          </cell>
          <cell r="BD138">
            <v>91.568444977946513</v>
          </cell>
          <cell r="BE138">
            <v>98.609846263753937</v>
          </cell>
          <cell r="BF138">
            <v>91.568444977946513</v>
          </cell>
          <cell r="BG138">
            <v>0</v>
          </cell>
          <cell r="BH138">
            <v>91.568444977946513</v>
          </cell>
          <cell r="BI138">
            <v>97.972832334201328</v>
          </cell>
          <cell r="BJ138">
            <v>97.972832334201328</v>
          </cell>
          <cell r="BK138">
            <v>97.972832334201328</v>
          </cell>
          <cell r="BL138">
            <v>97.972832334201328</v>
          </cell>
          <cell r="BM138">
            <v>121.99553785203477</v>
          </cell>
          <cell r="BN138">
            <v>81.966652048010815</v>
          </cell>
          <cell r="BO138">
            <v>90</v>
          </cell>
          <cell r="BP138">
            <v>100</v>
          </cell>
          <cell r="BQ138">
            <v>224.33749571842731</v>
          </cell>
          <cell r="BR138">
            <v>150.72841004379202</v>
          </cell>
          <cell r="BS138">
            <v>165.50092708429094</v>
          </cell>
          <cell r="BT138">
            <v>0.2646362841166463</v>
          </cell>
          <cell r="BU138">
            <v>0.43027509476138848</v>
          </cell>
          <cell r="BV138">
            <v>0.27</v>
          </cell>
          <cell r="BW138">
            <v>129.16438356164386</v>
          </cell>
          <cell r="BX138">
            <v>-1.3020839548402385E-2</v>
          </cell>
          <cell r="BY138">
            <v>165.50092708429094</v>
          </cell>
          <cell r="BZ138">
            <v>0.2646362841166463</v>
          </cell>
          <cell r="CA138">
            <v>165.50092708429094</v>
          </cell>
          <cell r="CB138">
            <v>0.2646362841166463</v>
          </cell>
          <cell r="CD138">
            <v>0</v>
          </cell>
          <cell r="CE138">
            <v>248.56103999999999</v>
          </cell>
          <cell r="CF138">
            <v>130.86840000000001</v>
          </cell>
          <cell r="CG138">
            <v>183.88991898254545</v>
          </cell>
        </row>
        <row r="139">
          <cell r="B139">
            <v>889855</v>
          </cell>
          <cell r="C139" t="str">
            <v>DEVELOPER TYPE 3 (K/F)</v>
          </cell>
          <cell r="D139">
            <v>0</v>
          </cell>
          <cell r="E139">
            <v>89.022695260535372</v>
          </cell>
          <cell r="F139">
            <v>93.90746723027857</v>
          </cell>
          <cell r="G139">
            <v>0</v>
          </cell>
          <cell r="H139">
            <v>0</v>
          </cell>
          <cell r="I139">
            <v>98.792239200021783</v>
          </cell>
          <cell r="J139">
            <v>101.71832509876772</v>
          </cell>
          <cell r="K139">
            <v>0</v>
          </cell>
          <cell r="L139">
            <v>0</v>
          </cell>
          <cell r="M139">
            <v>102.34357591089484</v>
          </cell>
          <cell r="N139">
            <v>102.34357591089484</v>
          </cell>
          <cell r="O139">
            <v>110.17575240521771</v>
          </cell>
          <cell r="P139">
            <v>0</v>
          </cell>
          <cell r="Q139">
            <v>91.091300644059629</v>
          </cell>
          <cell r="R139">
            <v>105.93379660096785</v>
          </cell>
          <cell r="S139">
            <v>105.93379660096785</v>
          </cell>
          <cell r="T139">
            <v>106.01030431208594</v>
          </cell>
          <cell r="U139">
            <v>0</v>
          </cell>
          <cell r="V139">
            <v>93.003993422011717</v>
          </cell>
          <cell r="W139">
            <v>84.283475163641214</v>
          </cell>
          <cell r="X139">
            <v>84.283475163641214</v>
          </cell>
          <cell r="Y139">
            <v>84.350759613142287</v>
          </cell>
          <cell r="Z139">
            <v>87.647697638695291</v>
          </cell>
          <cell r="AA139">
            <v>87.647697638695291</v>
          </cell>
          <cell r="AB139">
            <v>85.292741906157431</v>
          </cell>
          <cell r="AC139">
            <v>85.292741906157431</v>
          </cell>
          <cell r="AD139">
            <v>85.292741906157431</v>
          </cell>
          <cell r="AE139">
            <v>0</v>
          </cell>
          <cell r="AF139">
            <v>0</v>
          </cell>
          <cell r="AG139">
            <v>0</v>
          </cell>
          <cell r="AH139">
            <v>117.93122961937019</v>
          </cell>
          <cell r="AI139">
            <v>0</v>
          </cell>
          <cell r="AJ139">
            <v>124.18380939988798</v>
          </cell>
          <cell r="AK139">
            <v>115.13116128287741</v>
          </cell>
          <cell r="AL139">
            <v>115.13116128287741</v>
          </cell>
          <cell r="AM139">
            <v>105.33204118371894</v>
          </cell>
          <cell r="AN139">
            <v>105.33204118371894</v>
          </cell>
          <cell r="AO139">
            <v>108.89113202222367</v>
          </cell>
          <cell r="AP139">
            <v>110.93167743629974</v>
          </cell>
          <cell r="AQ139">
            <v>110.93167743629974</v>
          </cell>
          <cell r="AR139">
            <v>102.16840488282584</v>
          </cell>
          <cell r="AS139">
            <v>102.7192674254822</v>
          </cell>
          <cell r="AT139">
            <v>0</v>
          </cell>
          <cell r="AU139">
            <v>102.7192674254822</v>
          </cell>
          <cell r="AV139">
            <v>90.671231155275265</v>
          </cell>
          <cell r="AW139">
            <v>0</v>
          </cell>
          <cell r="AX139">
            <v>92.299344164762687</v>
          </cell>
          <cell r="AY139">
            <v>0</v>
          </cell>
          <cell r="AZ139">
            <v>0</v>
          </cell>
          <cell r="BA139">
            <v>102.7192674254822</v>
          </cell>
          <cell r="BB139">
            <v>96.206815387532501</v>
          </cell>
          <cell r="BC139">
            <v>0</v>
          </cell>
          <cell r="BD139">
            <v>0</v>
          </cell>
          <cell r="BE139">
            <v>103.84632190465524</v>
          </cell>
          <cell r="BF139">
            <v>97.672810697861266</v>
          </cell>
          <cell r="BG139">
            <v>0</v>
          </cell>
          <cell r="BH139">
            <v>97.672810697861266</v>
          </cell>
          <cell r="BI139">
            <v>103.28509361312851</v>
          </cell>
          <cell r="BJ139">
            <v>103.28509361312851</v>
          </cell>
          <cell r="BK139">
            <v>103.28509361312851</v>
          </cell>
          <cell r="BL139">
            <v>103.28509361312851</v>
          </cell>
          <cell r="BM139">
            <v>124.18380939988798</v>
          </cell>
          <cell r="BN139">
            <v>84.283475163641214</v>
          </cell>
          <cell r="BO139">
            <v>90</v>
          </cell>
          <cell r="BP139">
            <v>100</v>
          </cell>
          <cell r="BQ139">
            <v>208.08861650921727</v>
          </cell>
          <cell r="BR139">
            <v>141.22961621281121</v>
          </cell>
          <cell r="BS139">
            <v>150.80851180465115</v>
          </cell>
          <cell r="BT139">
            <v>0.31220585193942418</v>
          </cell>
          <cell r="BU139">
            <v>0.33067438440907104</v>
          </cell>
          <cell r="BV139">
            <v>0.27</v>
          </cell>
          <cell r="BW139">
            <v>138.27397260273972</v>
          </cell>
          <cell r="BX139">
            <v>0.20314108168681422</v>
          </cell>
          <cell r="BY139">
            <v>150.80851180465115</v>
          </cell>
          <cell r="BZ139">
            <v>0.31220585193942418</v>
          </cell>
          <cell r="CA139">
            <v>150.80851180465115</v>
          </cell>
          <cell r="CB139">
            <v>0.31220585193942418</v>
          </cell>
          <cell r="CD139">
            <v>0</v>
          </cell>
          <cell r="CE139">
            <v>248.56103999999999</v>
          </cell>
          <cell r="CF139">
            <v>114.92748</v>
          </cell>
          <cell r="CG139">
            <v>167.56501311627906</v>
          </cell>
        </row>
        <row r="140">
          <cell r="B140">
            <v>889857</v>
          </cell>
          <cell r="C140" t="str">
            <v>TONER TYPE 1205 (K/F)</v>
          </cell>
          <cell r="D140">
            <v>105.75744853135721</v>
          </cell>
          <cell r="E140">
            <v>97.472664130175602</v>
          </cell>
          <cell r="F140">
            <v>101.61505633076641</v>
          </cell>
          <cell r="G140">
            <v>0</v>
          </cell>
          <cell r="H140">
            <v>0</v>
          </cell>
          <cell r="I140">
            <v>105.75744853135721</v>
          </cell>
          <cell r="J140">
            <v>108.24288385171168</v>
          </cell>
          <cell r="K140">
            <v>115.69918981277513</v>
          </cell>
          <cell r="L140">
            <v>91.050253866300721</v>
          </cell>
          <cell r="M140">
            <v>95.286763487492877</v>
          </cell>
          <cell r="N140">
            <v>0</v>
          </cell>
          <cell r="O140">
            <v>99.904940642125794</v>
          </cell>
          <cell r="P140">
            <v>90.869525266745839</v>
          </cell>
          <cell r="Q140">
            <v>90.869525266745839</v>
          </cell>
          <cell r="R140">
            <v>100.42066727945227</v>
          </cell>
          <cell r="S140">
            <v>97.049141411979306</v>
          </cell>
          <cell r="T140">
            <v>100.42066727945227</v>
          </cell>
          <cell r="U140">
            <v>90.869525266745839</v>
          </cell>
          <cell r="V140">
            <v>91.596538930890958</v>
          </cell>
          <cell r="W140">
            <v>93.527148141388565</v>
          </cell>
          <cell r="X140">
            <v>89.268945776908581</v>
          </cell>
          <cell r="Y140">
            <v>91.455590234344243</v>
          </cell>
          <cell r="Z140">
            <v>96.212500983853417</v>
          </cell>
          <cell r="AA140">
            <v>96.391524506684419</v>
          </cell>
          <cell r="AB140">
            <v>91.519527206783891</v>
          </cell>
          <cell r="AC140">
            <v>94.383903572079731</v>
          </cell>
          <cell r="AD140">
            <v>94.383903572079731</v>
          </cell>
          <cell r="AE140">
            <v>0</v>
          </cell>
          <cell r="AF140">
            <v>0</v>
          </cell>
          <cell r="AG140">
            <v>108.13922360787234</v>
          </cell>
          <cell r="AH140">
            <v>111.34892896685277</v>
          </cell>
          <cell r="AI140">
            <v>113.69969908892294</v>
          </cell>
          <cell r="AJ140">
            <v>113.69969908892294</v>
          </cell>
          <cell r="AK140">
            <v>107.67811100700472</v>
          </cell>
          <cell r="AL140">
            <v>107.67811100700472</v>
          </cell>
          <cell r="AM140">
            <v>95.899065799838837</v>
          </cell>
          <cell r="AN140">
            <v>95.899065799838837</v>
          </cell>
          <cell r="AO140">
            <v>101.61092528758554</v>
          </cell>
          <cell r="AP140">
            <v>103.27938950637471</v>
          </cell>
          <cell r="AQ140">
            <v>103.27938950637471</v>
          </cell>
          <cell r="AR140">
            <v>97.402186717666922</v>
          </cell>
          <cell r="AS140">
            <v>98.370002747491256</v>
          </cell>
          <cell r="AT140">
            <v>149.61037058722005</v>
          </cell>
          <cell r="AU140">
            <v>90.634439969754425</v>
          </cell>
          <cell r="AV140">
            <v>90.634439969754425</v>
          </cell>
          <cell r="AW140">
            <v>104.55845296968073</v>
          </cell>
          <cell r="AX140">
            <v>104.55845296968073</v>
          </cell>
          <cell r="AY140">
            <v>104.55845296968073</v>
          </cell>
          <cell r="AZ140">
            <v>118.79188848071649</v>
          </cell>
          <cell r="BA140">
            <v>104.55845296968073</v>
          </cell>
          <cell r="BB140">
            <v>98.370002747491256</v>
          </cell>
          <cell r="BC140">
            <v>91.684534009310056</v>
          </cell>
          <cell r="BD140">
            <v>92.14165391154728</v>
          </cell>
          <cell r="BE140">
            <v>95.783375799370532</v>
          </cell>
          <cell r="BF140">
            <v>92.14165391154728</v>
          </cell>
          <cell r="BG140">
            <v>0</v>
          </cell>
          <cell r="BH140">
            <v>92.14165391154728</v>
          </cell>
          <cell r="BI140">
            <v>95.455773202767176</v>
          </cell>
          <cell r="BJ140">
            <v>95.455773202767176</v>
          </cell>
          <cell r="BK140">
            <v>95.455773202767176</v>
          </cell>
          <cell r="BL140">
            <v>95.455773202767176</v>
          </cell>
          <cell r="BM140">
            <v>149.61037058722005</v>
          </cell>
          <cell r="BN140">
            <v>89.268945776908581</v>
          </cell>
          <cell r="BO140">
            <v>90</v>
          </cell>
          <cell r="BP140">
            <v>100</v>
          </cell>
          <cell r="BQ140">
            <v>282.10758860881396</v>
          </cell>
          <cell r="BR140">
            <v>168.32688089689054</v>
          </cell>
          <cell r="BS140">
            <v>169.70536785076368</v>
          </cell>
          <cell r="BT140">
            <v>0.28731848473801103</v>
          </cell>
          <cell r="BU140">
            <v>0.46660496867958878</v>
          </cell>
          <cell r="BV140">
            <v>0.27</v>
          </cell>
          <cell r="BW140">
            <v>124</v>
          </cell>
          <cell r="BX140">
            <v>-5.9384543169622384E-2</v>
          </cell>
          <cell r="BY140">
            <v>169.70536785076368</v>
          </cell>
          <cell r="BZ140">
            <v>0.28731848473801103</v>
          </cell>
          <cell r="CA140">
            <v>169.70536785076368</v>
          </cell>
          <cell r="CB140">
            <v>0.28731848473801103</v>
          </cell>
          <cell r="CD140">
            <v>0</v>
          </cell>
          <cell r="CE140">
            <v>450.84163799999999</v>
          </cell>
          <cell r="CF140">
            <v>131.82858000000002</v>
          </cell>
          <cell r="CG140">
            <v>188.56151983418187</v>
          </cell>
        </row>
        <row r="141">
          <cell r="B141">
            <v>889873</v>
          </cell>
          <cell r="C141" t="str">
            <v>2100DTONER (V20/MP01)</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90</v>
          </cell>
          <cell r="BP141">
            <v>100</v>
          </cell>
          <cell r="BQ141" t="e">
            <v>#DIV/0!</v>
          </cell>
          <cell r="BR141" t="e">
            <v>#DIV/0!</v>
          </cell>
          <cell r="BS141" t="e">
            <v>#DIV/0!</v>
          </cell>
          <cell r="BT141" t="e">
            <v>#DIV/0!</v>
          </cell>
          <cell r="BU141" t="e">
            <v>#DIV/0!</v>
          </cell>
          <cell r="BV141">
            <v>0.27</v>
          </cell>
          <cell r="BW141">
            <v>0</v>
          </cell>
          <cell r="BX141" t="e">
            <v>#DIV/0!</v>
          </cell>
          <cell r="BY141" t="e">
            <v>#DIV/0!</v>
          </cell>
          <cell r="BZ141" t="e">
            <v>#DIV/0!</v>
          </cell>
          <cell r="CA141" t="e">
            <v>#DIV/0!</v>
          </cell>
          <cell r="CB141" t="e">
            <v>#DIV/0!</v>
          </cell>
          <cell r="CE141">
            <v>0</v>
          </cell>
          <cell r="CF141">
            <v>0</v>
          </cell>
          <cell r="CG141" t="e">
            <v>#DIV/0!</v>
          </cell>
        </row>
        <row r="142">
          <cell r="B142">
            <v>889880</v>
          </cell>
          <cell r="C142" t="str">
            <v>DEVELOPER TYPE G YELLOW</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109.5970441533614</v>
          </cell>
          <cell r="BF142">
            <v>0</v>
          </cell>
          <cell r="BG142">
            <v>0</v>
          </cell>
          <cell r="BH142">
            <v>85.973550852779496</v>
          </cell>
          <cell r="BI142">
            <v>0</v>
          </cell>
          <cell r="BJ142">
            <v>0</v>
          </cell>
          <cell r="BK142">
            <v>103.03496268097754</v>
          </cell>
          <cell r="BL142">
            <v>101.39444231288157</v>
          </cell>
          <cell r="BM142">
            <v>109.5970441533614</v>
          </cell>
          <cell r="BN142">
            <v>85.973550852779496</v>
          </cell>
          <cell r="BO142">
            <v>90</v>
          </cell>
          <cell r="BP142">
            <v>100</v>
          </cell>
          <cell r="BQ142">
            <v>86.586404816318833</v>
          </cell>
          <cell r="BR142">
            <v>67.922823422303239</v>
          </cell>
          <cell r="BS142">
            <v>71.103892387499997</v>
          </cell>
          <cell r="BT142">
            <v>-1.0105140186915884E-2</v>
          </cell>
          <cell r="BU142">
            <v>0.29174060225072507</v>
          </cell>
          <cell r="BV142">
            <v>0.27</v>
          </cell>
          <cell r="BW142">
            <v>68.986301369863014</v>
          </cell>
          <cell r="BX142">
            <v>-3.9585839388605604E-2</v>
          </cell>
          <cell r="BY142">
            <v>71.103892387499997</v>
          </cell>
          <cell r="BZ142">
            <v>-1.0105140186915884E-2</v>
          </cell>
          <cell r="CA142">
            <v>71.103892387499997</v>
          </cell>
          <cell r="CB142">
            <v>-1.0105140186915884E-2</v>
          </cell>
          <cell r="CE142">
            <v>83.913249999999991</v>
          </cell>
          <cell r="CF142">
            <v>71.829741999999996</v>
          </cell>
          <cell r="CG142">
            <v>79.004324874999995</v>
          </cell>
        </row>
        <row r="143">
          <cell r="B143">
            <v>889881</v>
          </cell>
          <cell r="C143" t="str">
            <v>DEVELOPER TYPE G MAGENTA</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109.5970441533614</v>
          </cell>
          <cell r="BF143">
            <v>0</v>
          </cell>
          <cell r="BG143">
            <v>0</v>
          </cell>
          <cell r="BH143">
            <v>85.973550852779496</v>
          </cell>
          <cell r="BI143">
            <v>0</v>
          </cell>
          <cell r="BJ143">
            <v>0</v>
          </cell>
          <cell r="BK143">
            <v>103.03496268097754</v>
          </cell>
          <cell r="BL143">
            <v>101.39444231288157</v>
          </cell>
          <cell r="BM143">
            <v>109.5970441533614</v>
          </cell>
          <cell r="BN143">
            <v>85.973550852779496</v>
          </cell>
          <cell r="BO143">
            <v>90</v>
          </cell>
          <cell r="BP143">
            <v>100</v>
          </cell>
          <cell r="BQ143">
            <v>86.586404816318833</v>
          </cell>
          <cell r="BR143">
            <v>67.922823422303239</v>
          </cell>
          <cell r="BS143">
            <v>71.103892387499997</v>
          </cell>
          <cell r="BT143">
            <v>-1.0105140186915884E-2</v>
          </cell>
          <cell r="BU143">
            <v>0.29174060225072507</v>
          </cell>
          <cell r="BV143">
            <v>0.27</v>
          </cell>
          <cell r="BW143">
            <v>68.986301369863014</v>
          </cell>
          <cell r="BX143">
            <v>-3.9585839388605604E-2</v>
          </cell>
          <cell r="BY143">
            <v>71.103892387499997</v>
          </cell>
          <cell r="BZ143">
            <v>-1.0105140186915884E-2</v>
          </cell>
          <cell r="CA143">
            <v>71.103892387499997</v>
          </cell>
          <cell r="CB143">
            <v>-1.0105140186915884E-2</v>
          </cell>
          <cell r="CE143">
            <v>83.913249999999991</v>
          </cell>
          <cell r="CF143">
            <v>71.829741999999996</v>
          </cell>
          <cell r="CG143">
            <v>79.004324874999995</v>
          </cell>
        </row>
        <row r="144">
          <cell r="B144">
            <v>889882</v>
          </cell>
          <cell r="C144" t="str">
            <v>DEVELOPER TYPE G CYAN</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109.5970441533614</v>
          </cell>
          <cell r="BF144">
            <v>0</v>
          </cell>
          <cell r="BG144">
            <v>0</v>
          </cell>
          <cell r="BH144">
            <v>85.973550852779496</v>
          </cell>
          <cell r="BI144">
            <v>0</v>
          </cell>
          <cell r="BJ144">
            <v>0</v>
          </cell>
          <cell r="BK144">
            <v>103.03496268097754</v>
          </cell>
          <cell r="BL144">
            <v>101.39444231288157</v>
          </cell>
          <cell r="BM144">
            <v>109.5970441533614</v>
          </cell>
          <cell r="BN144">
            <v>85.973550852779496</v>
          </cell>
          <cell r="BO144">
            <v>90</v>
          </cell>
          <cell r="BP144">
            <v>100</v>
          </cell>
          <cell r="BQ144">
            <v>86.586404816318833</v>
          </cell>
          <cell r="BR144">
            <v>67.922823422303239</v>
          </cell>
          <cell r="BS144">
            <v>71.103892387499997</v>
          </cell>
          <cell r="BT144">
            <v>-1.0105140186915884E-2</v>
          </cell>
          <cell r="BU144">
            <v>0.29174060225072507</v>
          </cell>
          <cell r="BV144">
            <v>0.27</v>
          </cell>
          <cell r="BW144">
            <v>68.986301369863014</v>
          </cell>
          <cell r="BX144">
            <v>-3.9585839388605604E-2</v>
          </cell>
          <cell r="BY144">
            <v>71.103892387499997</v>
          </cell>
          <cell r="BZ144">
            <v>-1.0105140186915884E-2</v>
          </cell>
          <cell r="CA144">
            <v>71.103892387499997</v>
          </cell>
          <cell r="CB144">
            <v>-1.0105140186915884E-2</v>
          </cell>
          <cell r="CE144">
            <v>83.913249999999991</v>
          </cell>
          <cell r="CF144">
            <v>71.829741999999996</v>
          </cell>
          <cell r="CG144">
            <v>79.004324874999995</v>
          </cell>
        </row>
        <row r="145">
          <cell r="B145">
            <v>894716</v>
          </cell>
          <cell r="C145" t="str">
            <v>MAST. 2700L CONDUCTOR</v>
          </cell>
          <cell r="D145">
            <v>89.634755593270995</v>
          </cell>
          <cell r="E145">
            <v>89.634755593270995</v>
          </cell>
          <cell r="F145">
            <v>89.634755593270995</v>
          </cell>
          <cell r="G145">
            <v>90.751097518159114</v>
          </cell>
          <cell r="H145">
            <v>92.468546633371602</v>
          </cell>
          <cell r="I145">
            <v>87.745561566537276</v>
          </cell>
          <cell r="J145">
            <v>90.579352606637869</v>
          </cell>
          <cell r="K145">
            <v>99.080725726939676</v>
          </cell>
          <cell r="L145">
            <v>0</v>
          </cell>
          <cell r="M145">
            <v>0</v>
          </cell>
          <cell r="N145">
            <v>90.071915091057178</v>
          </cell>
          <cell r="O145">
            <v>0</v>
          </cell>
          <cell r="P145">
            <v>93.984995121854666</v>
          </cell>
          <cell r="Q145">
            <v>87.878934886436625</v>
          </cell>
          <cell r="R145">
            <v>98.605797462171026</v>
          </cell>
          <cell r="S145">
            <v>95.250214810274628</v>
          </cell>
          <cell r="T145">
            <v>0</v>
          </cell>
          <cell r="U145">
            <v>87.878934886436625</v>
          </cell>
          <cell r="V145">
            <v>87.878934886436625</v>
          </cell>
          <cell r="W145">
            <v>0</v>
          </cell>
          <cell r="X145">
            <v>88.893676300056811</v>
          </cell>
          <cell r="Y145">
            <v>0</v>
          </cell>
          <cell r="Z145">
            <v>0</v>
          </cell>
          <cell r="AA145">
            <v>0</v>
          </cell>
          <cell r="AB145">
            <v>96.634150764354885</v>
          </cell>
          <cell r="AC145">
            <v>0</v>
          </cell>
          <cell r="AD145">
            <v>0</v>
          </cell>
          <cell r="AE145">
            <v>86.958557683982306</v>
          </cell>
          <cell r="AF145">
            <v>99.154576038893808</v>
          </cell>
          <cell r="AG145">
            <v>106.80694793975513</v>
          </cell>
          <cell r="AH145">
            <v>114.7134215895595</v>
          </cell>
          <cell r="AI145">
            <v>112.8369779050571</v>
          </cell>
          <cell r="AJ145">
            <v>118.42330712412777</v>
          </cell>
          <cell r="AK145">
            <v>108.92029263942595</v>
          </cell>
          <cell r="AL145">
            <v>108.92029263942595</v>
          </cell>
          <cell r="AM145">
            <v>105.57142964458875</v>
          </cell>
          <cell r="AN145">
            <v>105.57142964458875</v>
          </cell>
          <cell r="AO145">
            <v>119.96557608609876</v>
          </cell>
          <cell r="AP145">
            <v>119.96557608609876</v>
          </cell>
          <cell r="AQ145">
            <v>119.96557608609876</v>
          </cell>
          <cell r="AR145">
            <v>118.30961233619053</v>
          </cell>
          <cell r="AS145">
            <v>100.17071253643029</v>
          </cell>
          <cell r="AT145">
            <v>94.832666863935046</v>
          </cell>
          <cell r="AU145">
            <v>93.334268078673219</v>
          </cell>
          <cell r="AV145">
            <v>94.832666863935046</v>
          </cell>
          <cell r="AW145">
            <v>0</v>
          </cell>
          <cell r="AX145">
            <v>0</v>
          </cell>
          <cell r="AY145">
            <v>100.17071253643029</v>
          </cell>
          <cell r="AZ145">
            <v>100.17071253643029</v>
          </cell>
          <cell r="BA145">
            <v>0</v>
          </cell>
          <cell r="BB145">
            <v>94.832666863935046</v>
          </cell>
          <cell r="BC145">
            <v>97.355351958019767</v>
          </cell>
          <cell r="BD145">
            <v>0</v>
          </cell>
          <cell r="BE145">
            <v>107.3858768509302</v>
          </cell>
          <cell r="BF145">
            <v>97.355351958019767</v>
          </cell>
          <cell r="BG145">
            <v>97.355351958019767</v>
          </cell>
          <cell r="BH145">
            <v>97.355351958019767</v>
          </cell>
          <cell r="BI145">
            <v>0</v>
          </cell>
          <cell r="BJ145">
            <v>107.3858768509302</v>
          </cell>
          <cell r="BK145">
            <v>107.3858768509302</v>
          </cell>
          <cell r="BL145">
            <v>107.3858768509302</v>
          </cell>
          <cell r="BM145">
            <v>119.96557608609876</v>
          </cell>
          <cell r="BN145">
            <v>86.958557683982306</v>
          </cell>
          <cell r="BO145">
            <v>90</v>
          </cell>
          <cell r="BP145">
            <v>100</v>
          </cell>
          <cell r="BQ145">
            <v>831.00767841815536</v>
          </cell>
          <cell r="BR145">
            <v>602.36637456477001</v>
          </cell>
          <cell r="BS145">
            <v>623.43460097217428</v>
          </cell>
          <cell r="BT145">
            <v>0.15272563799873651</v>
          </cell>
          <cell r="BU145">
            <v>0.27832045366362135</v>
          </cell>
          <cell r="BV145">
            <v>0.27</v>
          </cell>
          <cell r="BW145">
            <v>616.32876712328766</v>
          </cell>
          <cell r="BX145">
            <v>0.13958700750854924</v>
          </cell>
          <cell r="BY145">
            <v>623.43460097217428</v>
          </cell>
          <cell r="BZ145">
            <v>0.15272563799873651</v>
          </cell>
          <cell r="CA145">
            <v>623.43460097217428</v>
          </cell>
          <cell r="CB145">
            <v>0.15272563799873651</v>
          </cell>
          <cell r="CD145">
            <v>0</v>
          </cell>
          <cell r="CE145">
            <v>925.20779199999993</v>
          </cell>
          <cell r="CF145">
            <v>540.83519999999999</v>
          </cell>
          <cell r="CG145">
            <v>692.70511219130469</v>
          </cell>
        </row>
        <row r="146">
          <cell r="B146">
            <v>894718</v>
          </cell>
          <cell r="C146" t="str">
            <v>MASTER MV310</v>
          </cell>
          <cell r="D146">
            <v>92.535206420902597</v>
          </cell>
          <cell r="E146">
            <v>88.909462296904536</v>
          </cell>
          <cell r="F146">
            <v>0</v>
          </cell>
          <cell r="G146">
            <v>0</v>
          </cell>
          <cell r="H146">
            <v>0</v>
          </cell>
          <cell r="I146">
            <v>89.740361991987413</v>
          </cell>
          <cell r="J146">
            <v>89.740361991987413</v>
          </cell>
          <cell r="K146">
            <v>0</v>
          </cell>
          <cell r="L146">
            <v>0</v>
          </cell>
          <cell r="M146">
            <v>0</v>
          </cell>
          <cell r="N146">
            <v>0</v>
          </cell>
          <cell r="O146">
            <v>0</v>
          </cell>
          <cell r="P146">
            <v>87.848865366514147</v>
          </cell>
          <cell r="Q146">
            <v>85.320578016425387</v>
          </cell>
          <cell r="R146">
            <v>91.865092161870464</v>
          </cell>
          <cell r="S146">
            <v>0</v>
          </cell>
          <cell r="T146">
            <v>0</v>
          </cell>
          <cell r="U146">
            <v>0</v>
          </cell>
          <cell r="V146">
            <v>87.848865366514147</v>
          </cell>
          <cell r="W146">
            <v>0</v>
          </cell>
          <cell r="X146">
            <v>0</v>
          </cell>
          <cell r="Y146">
            <v>0</v>
          </cell>
          <cell r="Z146">
            <v>0</v>
          </cell>
          <cell r="AA146">
            <v>0</v>
          </cell>
          <cell r="AB146">
            <v>0</v>
          </cell>
          <cell r="AC146">
            <v>0</v>
          </cell>
          <cell r="AD146">
            <v>0</v>
          </cell>
          <cell r="AE146">
            <v>0</v>
          </cell>
          <cell r="AF146">
            <v>0</v>
          </cell>
          <cell r="AG146">
            <v>0</v>
          </cell>
          <cell r="AH146">
            <v>114.47700127796418</v>
          </cell>
          <cell r="AI146">
            <v>120.8042390054982</v>
          </cell>
          <cell r="AJ146">
            <v>120.8042390054982</v>
          </cell>
          <cell r="AK146">
            <v>0</v>
          </cell>
          <cell r="AL146">
            <v>0</v>
          </cell>
          <cell r="AM146">
            <v>102.72781521231641</v>
          </cell>
          <cell r="AN146">
            <v>102.72781521231641</v>
          </cell>
          <cell r="AO146">
            <v>105.7291382154597</v>
          </cell>
          <cell r="AP146">
            <v>105.7291382154597</v>
          </cell>
          <cell r="AQ146">
            <v>105.7291382154597</v>
          </cell>
          <cell r="AR146">
            <v>105.7291382154597</v>
          </cell>
          <cell r="AS146">
            <v>0</v>
          </cell>
          <cell r="AT146">
            <v>98.177248757793379</v>
          </cell>
          <cell r="AU146">
            <v>0</v>
          </cell>
          <cell r="AV146">
            <v>0</v>
          </cell>
          <cell r="AW146">
            <v>0</v>
          </cell>
          <cell r="AX146">
            <v>98.177248757793379</v>
          </cell>
          <cell r="AY146">
            <v>0</v>
          </cell>
          <cell r="AZ146">
            <v>0</v>
          </cell>
          <cell r="BA146">
            <v>0</v>
          </cell>
          <cell r="BB146">
            <v>0</v>
          </cell>
          <cell r="BC146">
            <v>97.42483358181795</v>
          </cell>
          <cell r="BD146">
            <v>0</v>
          </cell>
          <cell r="BE146">
            <v>106.55227277521035</v>
          </cell>
          <cell r="BF146">
            <v>97.42483358181795</v>
          </cell>
          <cell r="BG146">
            <v>0</v>
          </cell>
          <cell r="BH146">
            <v>97.42483358181795</v>
          </cell>
          <cell r="BI146">
            <v>0</v>
          </cell>
          <cell r="BJ146">
            <v>0</v>
          </cell>
          <cell r="BK146">
            <v>106.55227277521035</v>
          </cell>
          <cell r="BL146">
            <v>0</v>
          </cell>
          <cell r="BM146">
            <v>120.8042390054982</v>
          </cell>
          <cell r="BN146">
            <v>85.320578016425387</v>
          </cell>
          <cell r="BO146">
            <v>90</v>
          </cell>
          <cell r="BP146">
            <v>100</v>
          </cell>
          <cell r="BQ146">
            <v>868.36971455067396</v>
          </cell>
          <cell r="BR146">
            <v>613.30468688312953</v>
          </cell>
          <cell r="BS146">
            <v>646.94148941250012</v>
          </cell>
          <cell r="BT146">
            <v>0.23347249174301865</v>
          </cell>
          <cell r="BU146">
            <v>0.29236258998362141</v>
          </cell>
          <cell r="BV146">
            <v>0.27</v>
          </cell>
          <cell r="BW146">
            <v>627.1232876712329</v>
          </cell>
          <cell r="BX146">
            <v>0.19568668408695711</v>
          </cell>
          <cell r="BY146">
            <v>646.94148941250012</v>
          </cell>
          <cell r="BZ146">
            <v>0.23347249174301865</v>
          </cell>
          <cell r="CA146">
            <v>646.94148941250012</v>
          </cell>
          <cell r="CB146">
            <v>0.23347249174301865</v>
          </cell>
          <cell r="CD146">
            <v>0</v>
          </cell>
          <cell r="CE146">
            <v>994.24415999999997</v>
          </cell>
          <cell r="CF146">
            <v>524.48797500000001</v>
          </cell>
          <cell r="CG146">
            <v>718.82387712500019</v>
          </cell>
        </row>
        <row r="147">
          <cell r="B147">
            <v>920616</v>
          </cell>
          <cell r="C147" t="str">
            <v>FAX INK RIBBON TYPE 500(570/580)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91.339745962155476</v>
          </cell>
          <cell r="BD147">
            <v>0</v>
          </cell>
          <cell r="BE147">
            <v>0</v>
          </cell>
          <cell r="BF147">
            <v>91.339745962155476</v>
          </cell>
          <cell r="BG147">
            <v>0</v>
          </cell>
          <cell r="BH147">
            <v>0</v>
          </cell>
          <cell r="BI147">
            <v>0</v>
          </cell>
          <cell r="BJ147">
            <v>108.6602540378445</v>
          </cell>
          <cell r="BK147">
            <v>0</v>
          </cell>
          <cell r="BL147">
            <v>108.6602540378445</v>
          </cell>
          <cell r="BM147">
            <v>108.6602540378445</v>
          </cell>
          <cell r="BN147">
            <v>91.339745962155476</v>
          </cell>
          <cell r="BO147">
            <v>90</v>
          </cell>
          <cell r="BP147">
            <v>100</v>
          </cell>
          <cell r="BQ147">
            <v>385.14580102484234</v>
          </cell>
          <cell r="BR147">
            <v>323.75333497515754</v>
          </cell>
          <cell r="BS147">
            <v>319.0046112</v>
          </cell>
          <cell r="BT147">
            <v>-3.4146341463414553E-2</v>
          </cell>
          <cell r="BU147">
            <v>8.9950458998255378E-2</v>
          </cell>
          <cell r="BV147">
            <v>0.27</v>
          </cell>
          <cell r="BW147">
            <v>397.68493150684935</v>
          </cell>
          <cell r="BX147">
            <v>0.20407490222750058</v>
          </cell>
          <cell r="BY147">
            <v>397.68493150684935</v>
          </cell>
          <cell r="BZ147">
            <v>0.20407490222750058</v>
          </cell>
          <cell r="CA147">
            <v>397.68493150684935</v>
          </cell>
          <cell r="CB147">
            <v>0.20407490222750058</v>
          </cell>
          <cell r="CE147">
            <v>378.61658399999999</v>
          </cell>
          <cell r="CF147">
            <v>330.28255199999995</v>
          </cell>
          <cell r="CG147">
            <v>354.449568</v>
          </cell>
        </row>
        <row r="148">
          <cell r="B148" t="str">
            <v>??</v>
          </cell>
          <cell r="C148" t="str">
            <v>SILICONE OIL</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t="e">
            <v>#REF!</v>
          </cell>
          <cell r="BC148">
            <v>0</v>
          </cell>
          <cell r="BD148">
            <v>0</v>
          </cell>
          <cell r="BE148" t="e">
            <v>#REF!</v>
          </cell>
          <cell r="BF148">
            <v>0</v>
          </cell>
          <cell r="BG148">
            <v>0</v>
          </cell>
          <cell r="BH148">
            <v>0</v>
          </cell>
          <cell r="BI148">
            <v>0</v>
          </cell>
          <cell r="BJ148">
            <v>0</v>
          </cell>
          <cell r="BK148">
            <v>0</v>
          </cell>
          <cell r="BL148">
            <v>0</v>
          </cell>
          <cell r="BM148" t="e">
            <v>#REF!</v>
          </cell>
          <cell r="BN148" t="e">
            <v>#REF!</v>
          </cell>
          <cell r="BO148">
            <v>90</v>
          </cell>
          <cell r="BP148">
            <v>100</v>
          </cell>
          <cell r="BQ148" t="e">
            <v>#REF!</v>
          </cell>
          <cell r="BR148" t="e">
            <v>#REF!</v>
          </cell>
          <cell r="BS148" t="e">
            <v>#REF!</v>
          </cell>
          <cell r="BT148" t="e">
            <v>#REF!</v>
          </cell>
          <cell r="BU148" t="e">
            <v>#REF!</v>
          </cell>
          <cell r="BV148">
            <v>0.27</v>
          </cell>
          <cell r="BW148">
            <v>0</v>
          </cell>
          <cell r="BX148" t="e">
            <v>#REF!</v>
          </cell>
          <cell r="BY148" t="e">
            <v>#REF!</v>
          </cell>
          <cell r="BZ148" t="e">
            <v>#REF!</v>
          </cell>
          <cell r="CA148" t="e">
            <v>#REF!</v>
          </cell>
          <cell r="CB148" t="e">
            <v>#REF!</v>
          </cell>
          <cell r="CD148">
            <v>0</v>
          </cell>
          <cell r="CE148" t="e">
            <v>#REF!</v>
          </cell>
          <cell r="CF148" t="e">
            <v>#REF!</v>
          </cell>
          <cell r="CG148" t="e">
            <v>#REF!</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p-mtp_001 "/>
      <sheetName val="upp-mtp_002"/>
      <sheetName val="upp-mtp_003"/>
      <sheetName val="ROJ-items"/>
      <sheetName val="RAU"/>
      <sheetName val="RBB"/>
      <sheetName val="RDG"/>
      <sheetName val="RES"/>
      <sheetName val="RFR"/>
      <sheetName val="RHU"/>
      <sheetName val="RIT"/>
      <sheetName val="RNO"/>
      <sheetName val="RNL"/>
      <sheetName val="RPB"/>
      <sheetName val="RPO"/>
      <sheetName val="RUK"/>
      <sheetName val="REBV  price list effective fr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
          <cell r="G2">
            <v>317927</v>
          </cell>
          <cell r="H2" t="str">
            <v>317927</v>
          </cell>
          <cell r="I2" t="str">
            <v>S</v>
          </cell>
          <cell r="J2" t="str">
            <v>JPN_CPB</v>
          </cell>
          <cell r="K2" t="str">
            <v>3</v>
          </cell>
          <cell r="L2" t="str">
            <v>FOB</v>
          </cell>
          <cell r="M2" t="str">
            <v xml:space="preserve"> E</v>
          </cell>
          <cell r="N2" t="str">
            <v>EURO</v>
          </cell>
          <cell r="O2">
            <v>13.67</v>
          </cell>
          <cell r="P2" t="str">
            <v>20001001</v>
          </cell>
          <cell r="Q2" t="str">
            <v>20991231</v>
          </cell>
          <cell r="R2" t="str">
            <v>13.19</v>
          </cell>
          <cell r="S2" t="str">
            <v>103.64</v>
          </cell>
        </row>
        <row r="3">
          <cell r="G3">
            <v>209307</v>
          </cell>
          <cell r="H3" t="str">
            <v>209307</v>
          </cell>
          <cell r="I3" t="str">
            <v>S</v>
          </cell>
          <cell r="J3" t="str">
            <v>JPN_CPB</v>
          </cell>
          <cell r="K3" t="str">
            <v>3</v>
          </cell>
          <cell r="L3" t="str">
            <v>FOB</v>
          </cell>
          <cell r="M3" t="str">
            <v xml:space="preserve"> E</v>
          </cell>
          <cell r="N3" t="str">
            <v>EURO</v>
          </cell>
          <cell r="O3">
            <v>20.52</v>
          </cell>
          <cell r="P3" t="str">
            <v>20001001</v>
          </cell>
          <cell r="Q3" t="str">
            <v>20991231</v>
          </cell>
          <cell r="R3" t="str">
            <v>19.80</v>
          </cell>
          <cell r="S3" t="str">
            <v>103.64</v>
          </cell>
        </row>
        <row r="4">
          <cell r="G4">
            <v>410509</v>
          </cell>
          <cell r="H4" t="str">
            <v>410509</v>
          </cell>
          <cell r="I4" t="str">
            <v>S</v>
          </cell>
          <cell r="J4" t="str">
            <v>JPN_CPB</v>
          </cell>
          <cell r="K4" t="str">
            <v>3</v>
          </cell>
          <cell r="L4" t="str">
            <v>FOB</v>
          </cell>
          <cell r="M4" t="str">
            <v xml:space="preserve"> E</v>
          </cell>
          <cell r="N4" t="str">
            <v>EURO</v>
          </cell>
          <cell r="O4">
            <v>49.02</v>
          </cell>
          <cell r="P4" t="str">
            <v>20001001</v>
          </cell>
          <cell r="Q4" t="str">
            <v>20991231</v>
          </cell>
          <cell r="R4" t="str">
            <v>47.29</v>
          </cell>
          <cell r="S4" t="str">
            <v>103.66</v>
          </cell>
        </row>
        <row r="5">
          <cell r="G5">
            <v>410133</v>
          </cell>
          <cell r="H5" t="str">
            <v>410133</v>
          </cell>
          <cell r="I5" t="str">
            <v>S</v>
          </cell>
          <cell r="J5" t="str">
            <v>JPN_CPB</v>
          </cell>
          <cell r="K5" t="str">
            <v>3</v>
          </cell>
          <cell r="L5" t="str">
            <v>FOB</v>
          </cell>
          <cell r="M5" t="str">
            <v xml:space="preserve"> E</v>
          </cell>
          <cell r="N5" t="str">
            <v>EURO</v>
          </cell>
          <cell r="O5">
            <v>20.52</v>
          </cell>
          <cell r="P5" t="str">
            <v>20001001</v>
          </cell>
          <cell r="Q5" t="str">
            <v>20991231</v>
          </cell>
          <cell r="R5" t="str">
            <v>19.80</v>
          </cell>
          <cell r="S5" t="str">
            <v>103.64</v>
          </cell>
        </row>
        <row r="6">
          <cell r="G6">
            <v>410508</v>
          </cell>
          <cell r="H6" t="str">
            <v>410508</v>
          </cell>
          <cell r="I6" t="str">
            <v>S</v>
          </cell>
          <cell r="J6" t="str">
            <v>JPN_CPB</v>
          </cell>
          <cell r="K6" t="str">
            <v>3</v>
          </cell>
          <cell r="L6" t="str">
            <v>FOB</v>
          </cell>
          <cell r="M6" t="str">
            <v xml:space="preserve"> E</v>
          </cell>
          <cell r="N6" t="str">
            <v>EURO</v>
          </cell>
          <cell r="O6">
            <v>21.78</v>
          </cell>
          <cell r="P6" t="str">
            <v>20001001</v>
          </cell>
          <cell r="Q6" t="str">
            <v>20991231</v>
          </cell>
          <cell r="R6" t="str">
            <v>21.01</v>
          </cell>
          <cell r="S6" t="str">
            <v>103.66</v>
          </cell>
        </row>
        <row r="7">
          <cell r="G7">
            <v>410597</v>
          </cell>
          <cell r="H7" t="str">
            <v>410597</v>
          </cell>
          <cell r="I7" t="str">
            <v>S</v>
          </cell>
          <cell r="J7" t="str">
            <v>JPN_CPB</v>
          </cell>
          <cell r="K7" t="str">
            <v>3</v>
          </cell>
          <cell r="L7" t="str">
            <v>FOB</v>
          </cell>
          <cell r="M7" t="str">
            <v xml:space="preserve"> E</v>
          </cell>
          <cell r="N7" t="str">
            <v>EURO</v>
          </cell>
          <cell r="O7">
            <v>25.2</v>
          </cell>
          <cell r="P7" t="str">
            <v>20001001</v>
          </cell>
          <cell r="Q7" t="str">
            <v>20991231</v>
          </cell>
          <cell r="R7" t="str">
            <v>24.31</v>
          </cell>
          <cell r="S7" t="str">
            <v>103.66</v>
          </cell>
        </row>
        <row r="8">
          <cell r="G8">
            <v>207866</v>
          </cell>
          <cell r="H8" t="str">
            <v>207866</v>
          </cell>
          <cell r="I8" t="str">
            <v>S</v>
          </cell>
          <cell r="J8" t="str">
            <v>JPN_CPB</v>
          </cell>
          <cell r="K8" t="str">
            <v>3</v>
          </cell>
          <cell r="L8" t="str">
            <v>FOB</v>
          </cell>
          <cell r="M8" t="str">
            <v xml:space="preserve"> E</v>
          </cell>
          <cell r="N8" t="str">
            <v>EURO</v>
          </cell>
          <cell r="O8">
            <v>24.44</v>
          </cell>
          <cell r="P8" t="str">
            <v>20001001</v>
          </cell>
          <cell r="Q8" t="str">
            <v>20991231</v>
          </cell>
          <cell r="R8" t="str">
            <v>23.58</v>
          </cell>
          <cell r="S8" t="str">
            <v>103.65</v>
          </cell>
        </row>
        <row r="9">
          <cell r="G9">
            <v>208171</v>
          </cell>
          <cell r="H9" t="str">
            <v>208171</v>
          </cell>
          <cell r="I9" t="str">
            <v>S</v>
          </cell>
          <cell r="J9" t="str">
            <v>JPN_CPB</v>
          </cell>
          <cell r="K9" t="str">
            <v>3</v>
          </cell>
          <cell r="L9" t="str">
            <v>FOB</v>
          </cell>
          <cell r="M9" t="str">
            <v xml:space="preserve"> E</v>
          </cell>
          <cell r="N9" t="str">
            <v>EURO</v>
          </cell>
          <cell r="O9">
            <v>18.8</v>
          </cell>
          <cell r="P9" t="str">
            <v>20001001</v>
          </cell>
          <cell r="Q9" t="str">
            <v>20991231</v>
          </cell>
          <cell r="R9" t="str">
            <v>18.14</v>
          </cell>
          <cell r="S9" t="str">
            <v>103.64</v>
          </cell>
        </row>
        <row r="10">
          <cell r="G10">
            <v>208532</v>
          </cell>
          <cell r="H10" t="str">
            <v>208532</v>
          </cell>
          <cell r="I10" t="str">
            <v>S</v>
          </cell>
          <cell r="J10" t="str">
            <v>JPN_CPB</v>
          </cell>
          <cell r="K10" t="str">
            <v>3</v>
          </cell>
          <cell r="L10" t="str">
            <v>FOB</v>
          </cell>
          <cell r="M10" t="str">
            <v xml:space="preserve"> E</v>
          </cell>
          <cell r="N10" t="str">
            <v>EURO</v>
          </cell>
          <cell r="O10">
            <v>15.04</v>
          </cell>
          <cell r="P10" t="str">
            <v>20001001</v>
          </cell>
          <cell r="Q10" t="str">
            <v>20991231</v>
          </cell>
          <cell r="R10" t="str">
            <v>14.51</v>
          </cell>
          <cell r="S10" t="str">
            <v>103.65</v>
          </cell>
        </row>
        <row r="11">
          <cell r="G11">
            <v>889015</v>
          </cell>
          <cell r="H11" t="str">
            <v>889015</v>
          </cell>
          <cell r="I11" t="str">
            <v>S</v>
          </cell>
          <cell r="J11" t="str">
            <v>JPN_CPB</v>
          </cell>
          <cell r="K11" t="str">
            <v>3</v>
          </cell>
          <cell r="L11" t="str">
            <v>FOB</v>
          </cell>
          <cell r="M11" t="str">
            <v xml:space="preserve"> E</v>
          </cell>
          <cell r="N11" t="str">
            <v>EURO</v>
          </cell>
          <cell r="O11">
            <v>105.19</v>
          </cell>
          <cell r="P11" t="str">
            <v>20001001</v>
          </cell>
          <cell r="Q11" t="str">
            <v>20991231</v>
          </cell>
          <cell r="R11" t="str">
            <v>101.48</v>
          </cell>
          <cell r="S11" t="str">
            <v>103.66</v>
          </cell>
        </row>
        <row r="12">
          <cell r="G12">
            <v>889260</v>
          </cell>
          <cell r="H12" t="str">
            <v>889260</v>
          </cell>
          <cell r="I12" t="str">
            <v>S</v>
          </cell>
          <cell r="J12" t="str">
            <v>JPN_CPB</v>
          </cell>
          <cell r="K12" t="str">
            <v>3</v>
          </cell>
          <cell r="L12" t="str">
            <v>FOB</v>
          </cell>
          <cell r="M12" t="str">
            <v xml:space="preserve"> E</v>
          </cell>
          <cell r="N12" t="str">
            <v>EURO</v>
          </cell>
          <cell r="O12">
            <v>100.67</v>
          </cell>
          <cell r="P12" t="str">
            <v>20001001</v>
          </cell>
          <cell r="Q12" t="str">
            <v>20991231</v>
          </cell>
          <cell r="R12" t="str">
            <v>97.12</v>
          </cell>
          <cell r="S12" t="str">
            <v>103.66</v>
          </cell>
        </row>
        <row r="13">
          <cell r="G13">
            <v>889351</v>
          </cell>
          <cell r="H13" t="str">
            <v>889351</v>
          </cell>
          <cell r="I13" t="str">
            <v>S</v>
          </cell>
          <cell r="J13" t="str">
            <v>JPN_CPB</v>
          </cell>
          <cell r="K13" t="str">
            <v>3</v>
          </cell>
          <cell r="L13" t="str">
            <v>FOB</v>
          </cell>
          <cell r="M13" t="str">
            <v xml:space="preserve"> E</v>
          </cell>
          <cell r="N13" t="str">
            <v>EURO</v>
          </cell>
          <cell r="O13">
            <v>109.23</v>
          </cell>
          <cell r="P13" t="str">
            <v>20001001</v>
          </cell>
          <cell r="Q13" t="str">
            <v>20991231</v>
          </cell>
          <cell r="R13" t="str">
            <v>105.37</v>
          </cell>
          <cell r="S13" t="str">
            <v>103.66</v>
          </cell>
        </row>
        <row r="14">
          <cell r="G14">
            <v>889776</v>
          </cell>
          <cell r="H14" t="str">
            <v>889776</v>
          </cell>
          <cell r="I14" t="str">
            <v>S</v>
          </cell>
          <cell r="J14" t="str">
            <v>JPN_CPB</v>
          </cell>
          <cell r="K14" t="str">
            <v>3</v>
          </cell>
          <cell r="L14" t="str">
            <v>FOB</v>
          </cell>
          <cell r="M14" t="str">
            <v xml:space="preserve"> E</v>
          </cell>
          <cell r="N14" t="str">
            <v>EURO</v>
          </cell>
          <cell r="O14">
            <v>166.54</v>
          </cell>
          <cell r="P14" t="str">
            <v>20001001</v>
          </cell>
          <cell r="Q14" t="str">
            <v>20991231</v>
          </cell>
          <cell r="R14" t="str">
            <v>160.66</v>
          </cell>
          <cell r="S14" t="str">
            <v>103.66</v>
          </cell>
        </row>
        <row r="15">
          <cell r="G15">
            <v>887754</v>
          </cell>
          <cell r="H15" t="str">
            <v>887754</v>
          </cell>
          <cell r="I15" t="str">
            <v>S</v>
          </cell>
          <cell r="J15" t="str">
            <v>JPN_CPB</v>
          </cell>
          <cell r="K15" t="str">
            <v>3</v>
          </cell>
          <cell r="L15" t="str">
            <v>FOB</v>
          </cell>
          <cell r="M15" t="str">
            <v xml:space="preserve"> E</v>
          </cell>
          <cell r="N15" t="str">
            <v>EURO</v>
          </cell>
          <cell r="O15">
            <v>33.42</v>
          </cell>
          <cell r="P15" t="str">
            <v>20001001</v>
          </cell>
          <cell r="Q15" t="str">
            <v>20991231</v>
          </cell>
          <cell r="R15" t="str">
            <v>32.24</v>
          </cell>
          <cell r="S15" t="str">
            <v>103.66</v>
          </cell>
        </row>
        <row r="16">
          <cell r="G16">
            <v>410649</v>
          </cell>
          <cell r="H16" t="str">
            <v>G75530</v>
          </cell>
          <cell r="I16" t="str">
            <v>S</v>
          </cell>
          <cell r="J16" t="str">
            <v>JPN_CPB</v>
          </cell>
          <cell r="K16" t="str">
            <v>3</v>
          </cell>
          <cell r="L16" t="str">
            <v>FOB</v>
          </cell>
          <cell r="M16" t="str">
            <v xml:space="preserve"> E</v>
          </cell>
          <cell r="N16" t="str">
            <v>EURO</v>
          </cell>
          <cell r="O16">
            <v>64.989999999999995</v>
          </cell>
          <cell r="P16" t="str">
            <v>20001001</v>
          </cell>
          <cell r="Q16" t="str">
            <v>20991231</v>
          </cell>
          <cell r="R16" t="str">
            <v>62.70</v>
          </cell>
          <cell r="S16" t="str">
            <v>103.65</v>
          </cell>
        </row>
        <row r="17">
          <cell r="G17">
            <v>410303</v>
          </cell>
          <cell r="H17" t="str">
            <v>G75527</v>
          </cell>
          <cell r="I17" t="str">
            <v>S</v>
          </cell>
          <cell r="J17" t="str">
            <v>JPN_CPB</v>
          </cell>
          <cell r="K17" t="str">
            <v>3</v>
          </cell>
          <cell r="L17" t="str">
            <v>FOB</v>
          </cell>
          <cell r="M17" t="str">
            <v xml:space="preserve"> E</v>
          </cell>
          <cell r="N17" t="str">
            <v>EURO</v>
          </cell>
          <cell r="O17">
            <v>64.989999999999995</v>
          </cell>
          <cell r="P17" t="str">
            <v>20001001</v>
          </cell>
          <cell r="Q17" t="str">
            <v>20991231</v>
          </cell>
          <cell r="R17" t="str">
            <v>62.70</v>
          </cell>
          <cell r="S17" t="str">
            <v>103.65</v>
          </cell>
        </row>
        <row r="18">
          <cell r="G18">
            <v>430207</v>
          </cell>
          <cell r="H18" t="str">
            <v>H19086</v>
          </cell>
          <cell r="I18" t="str">
            <v>S</v>
          </cell>
          <cell r="J18" t="str">
            <v>JPN_CPB</v>
          </cell>
          <cell r="K18" t="str">
            <v>3</v>
          </cell>
          <cell r="L18" t="str">
            <v>FOB</v>
          </cell>
          <cell r="M18" t="str">
            <v xml:space="preserve"> E</v>
          </cell>
          <cell r="N18" t="str">
            <v>EURO</v>
          </cell>
          <cell r="O18">
            <v>25.92</v>
          </cell>
          <cell r="P18" t="str">
            <v>20001001</v>
          </cell>
          <cell r="Q18" t="str">
            <v>20991231</v>
          </cell>
          <cell r="R18" t="str">
            <v>25.00</v>
          </cell>
          <cell r="S18" t="str">
            <v>103.68</v>
          </cell>
        </row>
        <row r="19">
          <cell r="G19">
            <v>430206</v>
          </cell>
          <cell r="H19" t="str">
            <v>H19084</v>
          </cell>
          <cell r="I19" t="str">
            <v>S</v>
          </cell>
          <cell r="J19" t="str">
            <v>JPN_CPB</v>
          </cell>
          <cell r="K19" t="str">
            <v>3</v>
          </cell>
          <cell r="L19" t="str">
            <v>FOB</v>
          </cell>
          <cell r="M19" t="str">
            <v xml:space="preserve"> E</v>
          </cell>
          <cell r="N19" t="str">
            <v>EURO</v>
          </cell>
          <cell r="O19">
            <v>67.38</v>
          </cell>
          <cell r="P19" t="str">
            <v>20001001</v>
          </cell>
          <cell r="Q19" t="str">
            <v>20991231</v>
          </cell>
          <cell r="R19" t="str">
            <v>65.00</v>
          </cell>
          <cell r="S19" t="str">
            <v>103.66</v>
          </cell>
        </row>
        <row r="20">
          <cell r="G20">
            <v>889347</v>
          </cell>
          <cell r="H20" t="str">
            <v>889347</v>
          </cell>
          <cell r="I20" t="str">
            <v>S</v>
          </cell>
          <cell r="J20" t="str">
            <v>JPN_CPB</v>
          </cell>
          <cell r="K20" t="str">
            <v>3</v>
          </cell>
          <cell r="L20" t="str">
            <v>FOB</v>
          </cell>
          <cell r="M20" t="str">
            <v xml:space="preserve"> E</v>
          </cell>
          <cell r="N20" t="str">
            <v>EURO</v>
          </cell>
          <cell r="O20">
            <v>203.2</v>
          </cell>
          <cell r="P20" t="str">
            <v>20001001</v>
          </cell>
          <cell r="Q20" t="str">
            <v>20991231</v>
          </cell>
          <cell r="R20" t="str">
            <v>196.03</v>
          </cell>
          <cell r="S20" t="str">
            <v>103.66</v>
          </cell>
        </row>
        <row r="21">
          <cell r="G21">
            <v>889606</v>
          </cell>
          <cell r="H21" t="str">
            <v>889606</v>
          </cell>
          <cell r="I21" t="str">
            <v>S</v>
          </cell>
          <cell r="J21" t="str">
            <v>JPN_CPB</v>
          </cell>
          <cell r="K21" t="str">
            <v>3</v>
          </cell>
          <cell r="L21" t="str">
            <v>FOB</v>
          </cell>
          <cell r="M21" t="str">
            <v xml:space="preserve"> E</v>
          </cell>
          <cell r="N21" t="str">
            <v>EURO</v>
          </cell>
          <cell r="O21">
            <v>88.65</v>
          </cell>
          <cell r="P21" t="str">
            <v>20001001</v>
          </cell>
          <cell r="Q21" t="str">
            <v>20991231</v>
          </cell>
          <cell r="R21" t="str">
            <v>85.52</v>
          </cell>
          <cell r="S21" t="str">
            <v>103.66</v>
          </cell>
        </row>
        <row r="22">
          <cell r="G22">
            <v>339588</v>
          </cell>
          <cell r="H22" t="str">
            <v>H19054</v>
          </cell>
          <cell r="I22" t="str">
            <v>S</v>
          </cell>
          <cell r="J22" t="str">
            <v>JPN_CPB</v>
          </cell>
          <cell r="K22" t="str">
            <v>3</v>
          </cell>
          <cell r="L22" t="str">
            <v>FOB</v>
          </cell>
          <cell r="M22" t="str">
            <v xml:space="preserve"> E</v>
          </cell>
          <cell r="N22" t="str">
            <v>EURO</v>
          </cell>
          <cell r="O22">
            <v>127.83</v>
          </cell>
          <cell r="P22" t="str">
            <v>20001001</v>
          </cell>
          <cell r="Q22" t="str">
            <v>20991231</v>
          </cell>
          <cell r="R22" t="str">
            <v>123.32</v>
          </cell>
          <cell r="S22" t="str">
            <v>103.66</v>
          </cell>
        </row>
        <row r="23">
          <cell r="G23">
            <v>887675</v>
          </cell>
          <cell r="H23" t="str">
            <v>H19013</v>
          </cell>
          <cell r="I23" t="str">
            <v>S</v>
          </cell>
          <cell r="J23" t="str">
            <v>JPN_CPB</v>
          </cell>
          <cell r="K23" t="str">
            <v>3</v>
          </cell>
          <cell r="L23" t="str">
            <v>FOB</v>
          </cell>
          <cell r="M23" t="str">
            <v xml:space="preserve"> E</v>
          </cell>
          <cell r="N23" t="str">
            <v>EURO</v>
          </cell>
          <cell r="O23">
            <v>189.85</v>
          </cell>
          <cell r="P23" t="str">
            <v>20001001</v>
          </cell>
          <cell r="Q23" t="str">
            <v>20991231</v>
          </cell>
          <cell r="R23" t="str">
            <v>183.15</v>
          </cell>
          <cell r="S23" t="str">
            <v>103.66</v>
          </cell>
        </row>
        <row r="24">
          <cell r="G24">
            <v>430245</v>
          </cell>
          <cell r="H24" t="str">
            <v>H19087</v>
          </cell>
          <cell r="I24" t="str">
            <v>S</v>
          </cell>
          <cell r="J24" t="str">
            <v>JPN_CPB</v>
          </cell>
          <cell r="K24" t="str">
            <v>3</v>
          </cell>
          <cell r="L24" t="str">
            <v>FOB</v>
          </cell>
          <cell r="M24" t="str">
            <v xml:space="preserve"> E</v>
          </cell>
          <cell r="N24" t="str">
            <v>EURO</v>
          </cell>
          <cell r="O24">
            <v>65.31</v>
          </cell>
          <cell r="P24" t="str">
            <v>20001001</v>
          </cell>
          <cell r="Q24" t="str">
            <v>20991231</v>
          </cell>
          <cell r="R24" t="str">
            <v>63.00</v>
          </cell>
          <cell r="S24" t="str">
            <v>103.67</v>
          </cell>
        </row>
        <row r="25">
          <cell r="G25">
            <v>352900</v>
          </cell>
          <cell r="H25" t="str">
            <v>G71500</v>
          </cell>
          <cell r="I25" t="str">
            <v>S</v>
          </cell>
          <cell r="J25" t="str">
            <v>JPN_CPB</v>
          </cell>
          <cell r="K25" t="str">
            <v>3</v>
          </cell>
          <cell r="L25" t="str">
            <v>FOB</v>
          </cell>
          <cell r="M25" t="str">
            <v xml:space="preserve"> E</v>
          </cell>
          <cell r="N25" t="str">
            <v>EURO</v>
          </cell>
          <cell r="O25">
            <v>33.67</v>
          </cell>
          <cell r="P25" t="str">
            <v>20001001</v>
          </cell>
          <cell r="Q25" t="str">
            <v>20991231</v>
          </cell>
          <cell r="R25" t="str">
            <v>32.48</v>
          </cell>
          <cell r="S25" t="str">
            <v>103.66</v>
          </cell>
        </row>
        <row r="26">
          <cell r="G26">
            <v>358810</v>
          </cell>
          <cell r="H26" t="str">
            <v>G70710</v>
          </cell>
          <cell r="I26" t="str">
            <v>S</v>
          </cell>
          <cell r="J26" t="str">
            <v>JPN_CPB</v>
          </cell>
          <cell r="K26" t="str">
            <v>3</v>
          </cell>
          <cell r="L26" t="str">
            <v>FOB</v>
          </cell>
          <cell r="M26" t="str">
            <v xml:space="preserve"> E</v>
          </cell>
          <cell r="N26" t="str">
            <v>EURO</v>
          </cell>
          <cell r="O26">
            <v>27.16</v>
          </cell>
          <cell r="P26" t="str">
            <v>20001001</v>
          </cell>
          <cell r="Q26" t="str">
            <v>20991231</v>
          </cell>
          <cell r="R26" t="str">
            <v>26.20</v>
          </cell>
          <cell r="S26" t="str">
            <v>103.66</v>
          </cell>
        </row>
        <row r="27">
          <cell r="G27">
            <v>352823</v>
          </cell>
          <cell r="H27" t="str">
            <v>G73103</v>
          </cell>
          <cell r="I27" t="str">
            <v>S</v>
          </cell>
          <cell r="J27" t="str">
            <v>JPN_CPB</v>
          </cell>
          <cell r="K27" t="str">
            <v>3</v>
          </cell>
          <cell r="L27" t="str">
            <v>FOB</v>
          </cell>
          <cell r="M27" t="str">
            <v xml:space="preserve"> E</v>
          </cell>
          <cell r="N27" t="str">
            <v>EURO</v>
          </cell>
          <cell r="O27">
            <v>53.82</v>
          </cell>
          <cell r="P27" t="str">
            <v>20001001</v>
          </cell>
          <cell r="Q27" t="str">
            <v>20991231</v>
          </cell>
          <cell r="R27" t="str">
            <v>51.92</v>
          </cell>
          <cell r="S27" t="str">
            <v>103.66</v>
          </cell>
        </row>
        <row r="28">
          <cell r="G28">
            <v>352822</v>
          </cell>
          <cell r="H28" t="str">
            <v>G73102</v>
          </cell>
          <cell r="I28" t="str">
            <v>S</v>
          </cell>
          <cell r="J28" t="str">
            <v>JPN_CPB</v>
          </cell>
          <cell r="K28" t="str">
            <v>3</v>
          </cell>
          <cell r="L28" t="str">
            <v>FOB</v>
          </cell>
          <cell r="M28" t="str">
            <v xml:space="preserve"> E</v>
          </cell>
          <cell r="N28" t="str">
            <v>EURO</v>
          </cell>
          <cell r="O28">
            <v>59.75</v>
          </cell>
          <cell r="P28" t="str">
            <v>20001001</v>
          </cell>
          <cell r="Q28" t="str">
            <v>20991231</v>
          </cell>
          <cell r="R28" t="str">
            <v>57.64</v>
          </cell>
          <cell r="S28" t="str">
            <v>103.66</v>
          </cell>
        </row>
        <row r="29">
          <cell r="G29">
            <v>392000</v>
          </cell>
          <cell r="H29" t="str">
            <v>G72805</v>
          </cell>
          <cell r="I29" t="str">
            <v>S</v>
          </cell>
          <cell r="J29" t="str">
            <v>JPN_CPB</v>
          </cell>
          <cell r="K29" t="str">
            <v>3</v>
          </cell>
          <cell r="L29" t="str">
            <v>FOB</v>
          </cell>
          <cell r="M29" t="str">
            <v xml:space="preserve"> E</v>
          </cell>
          <cell r="N29" t="str">
            <v>EURO</v>
          </cell>
          <cell r="O29">
            <v>54.84</v>
          </cell>
          <cell r="P29" t="str">
            <v>20001001</v>
          </cell>
          <cell r="Q29" t="str">
            <v>20991231</v>
          </cell>
          <cell r="R29" t="str">
            <v>52.90</v>
          </cell>
          <cell r="S29" t="str">
            <v>103.67</v>
          </cell>
        </row>
        <row r="30">
          <cell r="G30">
            <v>357140</v>
          </cell>
          <cell r="H30" t="str">
            <v>G70520</v>
          </cell>
          <cell r="I30" t="str">
            <v>S</v>
          </cell>
          <cell r="J30" t="str">
            <v>JPN_CPB</v>
          </cell>
          <cell r="K30" t="str">
            <v>3</v>
          </cell>
          <cell r="L30" t="str">
            <v>FOB</v>
          </cell>
          <cell r="M30" t="str">
            <v xml:space="preserve"> E</v>
          </cell>
          <cell r="N30" t="str">
            <v>EURO</v>
          </cell>
          <cell r="O30">
            <v>78.34</v>
          </cell>
          <cell r="P30" t="str">
            <v>20001001</v>
          </cell>
          <cell r="Q30" t="str">
            <v>20991231</v>
          </cell>
          <cell r="R30" t="str">
            <v>75.57</v>
          </cell>
          <cell r="S30" t="str">
            <v>103.67</v>
          </cell>
        </row>
        <row r="31">
          <cell r="G31">
            <v>352903</v>
          </cell>
          <cell r="H31" t="str">
            <v>G71503</v>
          </cell>
          <cell r="I31" t="str">
            <v>S</v>
          </cell>
          <cell r="J31" t="str">
            <v>JPN_CPB</v>
          </cell>
          <cell r="K31" t="str">
            <v>3</v>
          </cell>
          <cell r="L31" t="str">
            <v>FOB</v>
          </cell>
          <cell r="M31" t="str">
            <v xml:space="preserve"> E</v>
          </cell>
          <cell r="N31" t="str">
            <v>EURO</v>
          </cell>
          <cell r="O31">
            <v>28.05</v>
          </cell>
          <cell r="P31" t="str">
            <v>20001001</v>
          </cell>
          <cell r="Q31" t="str">
            <v>20991231</v>
          </cell>
          <cell r="R31" t="str">
            <v>27.06</v>
          </cell>
          <cell r="S31" t="str">
            <v>103.66</v>
          </cell>
        </row>
        <row r="32">
          <cell r="G32">
            <v>358601</v>
          </cell>
          <cell r="H32" t="str">
            <v>G70201</v>
          </cell>
          <cell r="I32" t="str">
            <v>S</v>
          </cell>
          <cell r="J32" t="str">
            <v>JPN_CPB</v>
          </cell>
          <cell r="K32" t="str">
            <v>3</v>
          </cell>
          <cell r="L32" t="str">
            <v>FOB</v>
          </cell>
          <cell r="M32" t="str">
            <v xml:space="preserve"> E</v>
          </cell>
          <cell r="N32" t="str">
            <v>EURO</v>
          </cell>
          <cell r="O32">
            <v>73.010000000000005</v>
          </cell>
          <cell r="P32" t="str">
            <v>20001001</v>
          </cell>
          <cell r="Q32" t="str">
            <v>20991231</v>
          </cell>
          <cell r="R32" t="str">
            <v>70.43</v>
          </cell>
          <cell r="S32" t="str">
            <v>103.66</v>
          </cell>
        </row>
        <row r="33">
          <cell r="G33">
            <v>394800</v>
          </cell>
          <cell r="H33" t="str">
            <v>G72900</v>
          </cell>
          <cell r="I33" t="str">
            <v>S</v>
          </cell>
          <cell r="J33" t="str">
            <v>JPN_CPB</v>
          </cell>
          <cell r="K33" t="str">
            <v>3</v>
          </cell>
          <cell r="L33" t="str">
            <v>FOB</v>
          </cell>
          <cell r="M33" t="str">
            <v xml:space="preserve"> E</v>
          </cell>
          <cell r="N33" t="str">
            <v>EURO</v>
          </cell>
          <cell r="O33">
            <v>80.459999999999994</v>
          </cell>
          <cell r="P33" t="str">
            <v>20001001</v>
          </cell>
          <cell r="Q33" t="str">
            <v>20991231</v>
          </cell>
          <cell r="R33" t="str">
            <v>77.62</v>
          </cell>
          <cell r="S33" t="str">
            <v>103.66</v>
          </cell>
        </row>
        <row r="34">
          <cell r="G34">
            <v>357270</v>
          </cell>
          <cell r="H34" t="str">
            <v>G70670</v>
          </cell>
          <cell r="I34" t="str">
            <v>S</v>
          </cell>
          <cell r="J34" t="str">
            <v>JPN_CPB</v>
          </cell>
          <cell r="K34" t="str">
            <v>3</v>
          </cell>
          <cell r="L34" t="str">
            <v>FOB</v>
          </cell>
          <cell r="M34" t="str">
            <v xml:space="preserve"> E</v>
          </cell>
          <cell r="N34" t="str">
            <v>EURO</v>
          </cell>
          <cell r="O34">
            <v>73.33</v>
          </cell>
          <cell r="P34" t="str">
            <v>20001001</v>
          </cell>
          <cell r="Q34" t="str">
            <v>20991231</v>
          </cell>
          <cell r="R34" t="str">
            <v>70.74</v>
          </cell>
          <cell r="S34" t="str">
            <v>103.66</v>
          </cell>
        </row>
        <row r="35">
          <cell r="G35">
            <v>357136</v>
          </cell>
          <cell r="H35" t="str">
            <v>539736</v>
          </cell>
          <cell r="I35" t="str">
            <v>S</v>
          </cell>
          <cell r="J35" t="str">
            <v>JPN_CPB</v>
          </cell>
          <cell r="K35" t="str">
            <v>3</v>
          </cell>
          <cell r="L35" t="str">
            <v>FOB</v>
          </cell>
          <cell r="M35" t="str">
            <v xml:space="preserve"> E</v>
          </cell>
          <cell r="N35" t="str">
            <v>EURO</v>
          </cell>
          <cell r="O35">
            <v>73.33</v>
          </cell>
          <cell r="P35" t="str">
            <v>20001001</v>
          </cell>
          <cell r="Q35" t="str">
            <v>20991231</v>
          </cell>
          <cell r="R35" t="str">
            <v>70.74</v>
          </cell>
          <cell r="S35" t="str">
            <v>103.66</v>
          </cell>
        </row>
        <row r="36">
          <cell r="G36">
            <v>358652</v>
          </cell>
          <cell r="H36" t="str">
            <v>G70552</v>
          </cell>
          <cell r="I36" t="str">
            <v>S</v>
          </cell>
          <cell r="J36" t="str">
            <v>JPN_CPB</v>
          </cell>
          <cell r="K36" t="str">
            <v>3</v>
          </cell>
          <cell r="L36" t="str">
            <v>FOB</v>
          </cell>
          <cell r="M36" t="str">
            <v xml:space="preserve"> E</v>
          </cell>
          <cell r="N36" t="str">
            <v>EURO</v>
          </cell>
          <cell r="O36">
            <v>73.33</v>
          </cell>
          <cell r="P36" t="str">
            <v>20001001</v>
          </cell>
          <cell r="Q36" t="str">
            <v>20991231</v>
          </cell>
          <cell r="R36" t="str">
            <v>70.74</v>
          </cell>
          <cell r="S36" t="str">
            <v>103.66</v>
          </cell>
        </row>
        <row r="37">
          <cell r="G37">
            <v>352913</v>
          </cell>
          <cell r="H37" t="str">
            <v>G73203</v>
          </cell>
          <cell r="I37" t="str">
            <v>S</v>
          </cell>
          <cell r="J37" t="str">
            <v>JPN_CPB</v>
          </cell>
          <cell r="K37" t="str">
            <v>3</v>
          </cell>
          <cell r="L37" t="str">
            <v>FOB</v>
          </cell>
          <cell r="M37" t="str">
            <v xml:space="preserve"> E</v>
          </cell>
          <cell r="N37" t="str">
            <v>EURO</v>
          </cell>
          <cell r="O37">
            <v>156.72</v>
          </cell>
          <cell r="P37" t="str">
            <v>20001001</v>
          </cell>
          <cell r="Q37" t="str">
            <v>20991231</v>
          </cell>
          <cell r="R37" t="str">
            <v>151.19</v>
          </cell>
          <cell r="S37" t="str">
            <v>103.66</v>
          </cell>
        </row>
        <row r="38">
          <cell r="G38">
            <v>394600</v>
          </cell>
          <cell r="H38" t="str">
            <v>G71300</v>
          </cell>
          <cell r="I38" t="str">
            <v>S</v>
          </cell>
          <cell r="J38" t="str">
            <v>JPN_CPB</v>
          </cell>
          <cell r="K38" t="str">
            <v>3</v>
          </cell>
          <cell r="L38" t="str">
            <v>FOB</v>
          </cell>
          <cell r="M38" t="str">
            <v xml:space="preserve"> E</v>
          </cell>
          <cell r="N38" t="str">
            <v>EURO</v>
          </cell>
          <cell r="O38">
            <v>87.99</v>
          </cell>
          <cell r="P38" t="str">
            <v>20001001</v>
          </cell>
          <cell r="Q38" t="str">
            <v>20991231</v>
          </cell>
          <cell r="R38" t="str">
            <v>84.88</v>
          </cell>
          <cell r="S38" t="str">
            <v>103.66</v>
          </cell>
        </row>
        <row r="39">
          <cell r="G39">
            <v>352912</v>
          </cell>
          <cell r="H39" t="str">
            <v>G73202</v>
          </cell>
          <cell r="I39" t="str">
            <v>S</v>
          </cell>
          <cell r="J39" t="str">
            <v>JPN_CPB</v>
          </cell>
          <cell r="K39" t="str">
            <v>3</v>
          </cell>
          <cell r="L39" t="str">
            <v>FOB</v>
          </cell>
          <cell r="M39" t="str">
            <v xml:space="preserve"> E</v>
          </cell>
          <cell r="N39" t="str">
            <v>EURO</v>
          </cell>
          <cell r="O39">
            <v>169.46</v>
          </cell>
          <cell r="P39" t="str">
            <v>20001001</v>
          </cell>
          <cell r="Q39" t="str">
            <v>20991231</v>
          </cell>
          <cell r="R39" t="str">
            <v>163.48</v>
          </cell>
          <cell r="S39" t="str">
            <v>103.66</v>
          </cell>
        </row>
        <row r="40">
          <cell r="G40">
            <v>358800</v>
          </cell>
          <cell r="H40" t="str">
            <v>G70700</v>
          </cell>
          <cell r="I40" t="str">
            <v>S</v>
          </cell>
          <cell r="J40" t="str">
            <v>JPN_CPB</v>
          </cell>
          <cell r="K40" t="str">
            <v>3</v>
          </cell>
          <cell r="L40" t="str">
            <v>FOB</v>
          </cell>
          <cell r="M40" t="str">
            <v xml:space="preserve"> E</v>
          </cell>
          <cell r="N40" t="str">
            <v>EURO</v>
          </cell>
          <cell r="O40">
            <v>60.31</v>
          </cell>
          <cell r="P40" t="str">
            <v>20001001</v>
          </cell>
          <cell r="Q40" t="str">
            <v>20991231</v>
          </cell>
          <cell r="R40" t="str">
            <v>58.18</v>
          </cell>
          <cell r="S40" t="str">
            <v>103.66</v>
          </cell>
        </row>
        <row r="41">
          <cell r="G41">
            <v>357126</v>
          </cell>
          <cell r="H41" t="str">
            <v>539726</v>
          </cell>
          <cell r="I41" t="str">
            <v>S</v>
          </cell>
          <cell r="J41" t="str">
            <v>JPN_CPB</v>
          </cell>
          <cell r="K41" t="str">
            <v>3</v>
          </cell>
          <cell r="L41" t="str">
            <v>FOB</v>
          </cell>
          <cell r="M41" t="str">
            <v xml:space="preserve"> E</v>
          </cell>
          <cell r="N41" t="str">
            <v>EURO</v>
          </cell>
          <cell r="O41">
            <v>16.97</v>
          </cell>
          <cell r="P41" t="str">
            <v>20001001</v>
          </cell>
          <cell r="Q41" t="str">
            <v>20991231</v>
          </cell>
          <cell r="R41" t="str">
            <v>16.37</v>
          </cell>
          <cell r="S41" t="str">
            <v>103.67</v>
          </cell>
        </row>
        <row r="42">
          <cell r="G42">
            <v>889873</v>
          </cell>
          <cell r="H42" t="str">
            <v>889873</v>
          </cell>
          <cell r="I42" t="str">
            <v>S</v>
          </cell>
          <cell r="J42" t="str">
            <v>JPN_CPB</v>
          </cell>
          <cell r="K42" t="str">
            <v>3</v>
          </cell>
          <cell r="L42" t="str">
            <v>FOB</v>
          </cell>
          <cell r="M42" t="str">
            <v xml:space="preserve"> E</v>
          </cell>
          <cell r="N42" t="str">
            <v>EURO</v>
          </cell>
          <cell r="O42">
            <v>142.12</v>
          </cell>
          <cell r="P42" t="str">
            <v>20001001</v>
          </cell>
          <cell r="Q42" t="str">
            <v>20991231</v>
          </cell>
          <cell r="R42" t="str">
            <v>137.10</v>
          </cell>
          <cell r="S42" t="str">
            <v>103.66</v>
          </cell>
        </row>
        <row r="43">
          <cell r="G43">
            <v>400398</v>
          </cell>
          <cell r="H43" t="str">
            <v>G75427</v>
          </cell>
          <cell r="I43" t="str">
            <v>S</v>
          </cell>
          <cell r="J43" t="str">
            <v>JPN_CPB</v>
          </cell>
          <cell r="K43" t="str">
            <v>3</v>
          </cell>
          <cell r="L43" t="str">
            <v>FOB</v>
          </cell>
          <cell r="M43" t="str">
            <v xml:space="preserve"> E</v>
          </cell>
          <cell r="N43" t="str">
            <v>EURO</v>
          </cell>
          <cell r="O43">
            <v>52.45</v>
          </cell>
          <cell r="P43" t="str">
            <v>19991001</v>
          </cell>
          <cell r="Q43" t="str">
            <v>20991231</v>
          </cell>
          <cell r="S43">
            <v>100</v>
          </cell>
        </row>
        <row r="44">
          <cell r="G44">
            <v>400395</v>
          </cell>
          <cell r="H44" t="str">
            <v>G75327</v>
          </cell>
          <cell r="I44" t="str">
            <v>S</v>
          </cell>
          <cell r="J44" t="str">
            <v>JPN_CPB</v>
          </cell>
          <cell r="K44" t="str">
            <v>3</v>
          </cell>
          <cell r="L44" t="str">
            <v>FOB</v>
          </cell>
          <cell r="M44" t="str">
            <v xml:space="preserve"> E</v>
          </cell>
          <cell r="N44" t="str">
            <v>EURO</v>
          </cell>
          <cell r="O44">
            <v>87.58</v>
          </cell>
          <cell r="P44" t="str">
            <v>19980401</v>
          </cell>
          <cell r="Q44" t="str">
            <v>20991231</v>
          </cell>
          <cell r="R44">
            <v>0</v>
          </cell>
          <cell r="S44">
            <v>100</v>
          </cell>
        </row>
        <row r="45">
          <cell r="G45">
            <v>352820</v>
          </cell>
          <cell r="H45" t="str">
            <v>G73100</v>
          </cell>
          <cell r="I45" t="str">
            <v>S</v>
          </cell>
          <cell r="J45" t="str">
            <v>JPN_CPB</v>
          </cell>
          <cell r="K45" t="str">
            <v>3</v>
          </cell>
          <cell r="L45" t="str">
            <v>FOB</v>
          </cell>
          <cell r="M45" t="str">
            <v xml:space="preserve"> E</v>
          </cell>
          <cell r="N45" t="str">
            <v>EURO</v>
          </cell>
          <cell r="O45">
            <v>54.72</v>
          </cell>
          <cell r="P45" t="str">
            <v>20001001</v>
          </cell>
          <cell r="Q45" t="str">
            <v>20991231</v>
          </cell>
          <cell r="R45" t="str">
            <v>52.79</v>
          </cell>
          <cell r="S45" t="str">
            <v>103.66</v>
          </cell>
        </row>
        <row r="46">
          <cell r="G46">
            <v>207946</v>
          </cell>
          <cell r="H46" t="str">
            <v>207946</v>
          </cell>
          <cell r="I46" t="str">
            <v>S</v>
          </cell>
          <cell r="J46" t="str">
            <v>JPN_CPB</v>
          </cell>
          <cell r="K46" t="str">
            <v>3</v>
          </cell>
          <cell r="L46" t="str">
            <v>FOB</v>
          </cell>
          <cell r="M46" t="str">
            <v xml:space="preserve"> E</v>
          </cell>
          <cell r="N46" t="str">
            <v>EURO</v>
          </cell>
          <cell r="O46">
            <v>21.31</v>
          </cell>
          <cell r="P46" t="str">
            <v>20001001</v>
          </cell>
          <cell r="Q46" t="str">
            <v>20991231</v>
          </cell>
          <cell r="R46" t="str">
            <v>20.56</v>
          </cell>
          <cell r="S46" t="str">
            <v>103.65</v>
          </cell>
        </row>
        <row r="47">
          <cell r="G47">
            <v>619130</v>
          </cell>
          <cell r="H47" t="str">
            <v>619130</v>
          </cell>
          <cell r="I47" t="str">
            <v>S</v>
          </cell>
          <cell r="J47" t="str">
            <v>JPN_CPB</v>
          </cell>
          <cell r="K47" t="str">
            <v>3</v>
          </cell>
          <cell r="L47" t="str">
            <v>FOB</v>
          </cell>
          <cell r="M47" t="str">
            <v xml:space="preserve"> E</v>
          </cell>
          <cell r="N47" t="str">
            <v>EURO</v>
          </cell>
          <cell r="O47">
            <v>13.33</v>
          </cell>
          <cell r="P47" t="str">
            <v>20001001</v>
          </cell>
          <cell r="Q47" t="str">
            <v>20991231</v>
          </cell>
          <cell r="R47" t="str">
            <v>12.86</v>
          </cell>
          <cell r="S47" t="str">
            <v>103.65</v>
          </cell>
        </row>
        <row r="48">
          <cell r="G48">
            <v>619132</v>
          </cell>
          <cell r="H48" t="str">
            <v>619132</v>
          </cell>
          <cell r="I48" t="str">
            <v>S</v>
          </cell>
          <cell r="J48" t="str">
            <v>JPN_CPB</v>
          </cell>
          <cell r="K48" t="str">
            <v>3</v>
          </cell>
          <cell r="L48" t="str">
            <v>FOB</v>
          </cell>
          <cell r="M48" t="str">
            <v xml:space="preserve"> E</v>
          </cell>
          <cell r="N48" t="str">
            <v>EURO</v>
          </cell>
          <cell r="O48">
            <v>10.67</v>
          </cell>
          <cell r="P48" t="str">
            <v>20001001</v>
          </cell>
          <cell r="Q48" t="str">
            <v>20991231</v>
          </cell>
          <cell r="R48" t="str">
            <v>10.29</v>
          </cell>
          <cell r="S48" t="str">
            <v>103.69</v>
          </cell>
        </row>
        <row r="49">
          <cell r="G49">
            <v>814505</v>
          </cell>
          <cell r="H49" t="str">
            <v>814505</v>
          </cell>
          <cell r="I49" t="str">
            <v>S</v>
          </cell>
          <cell r="J49" t="str">
            <v>JPN_CPB</v>
          </cell>
          <cell r="K49" t="str">
            <v>3</v>
          </cell>
          <cell r="L49" t="str">
            <v>FOB</v>
          </cell>
          <cell r="M49" t="str">
            <v xml:space="preserve"> E</v>
          </cell>
          <cell r="N49" t="str">
            <v>EURO</v>
          </cell>
          <cell r="O49">
            <v>19.54</v>
          </cell>
          <cell r="P49" t="str">
            <v>20001001</v>
          </cell>
          <cell r="Q49" t="str">
            <v>20991231</v>
          </cell>
          <cell r="R49" t="str">
            <v>18.85</v>
          </cell>
          <cell r="S49" t="str">
            <v>103.66</v>
          </cell>
        </row>
        <row r="50">
          <cell r="G50">
            <v>814514</v>
          </cell>
          <cell r="H50" t="str">
            <v>814514</v>
          </cell>
          <cell r="I50" t="str">
            <v>S</v>
          </cell>
          <cell r="J50" t="str">
            <v>JPN_CPB</v>
          </cell>
          <cell r="K50" t="str">
            <v>3</v>
          </cell>
          <cell r="L50" t="str">
            <v>FOB</v>
          </cell>
          <cell r="M50" t="str">
            <v xml:space="preserve"> E</v>
          </cell>
          <cell r="N50" t="str">
            <v>EURO</v>
          </cell>
          <cell r="O50">
            <v>124.66</v>
          </cell>
          <cell r="P50" t="str">
            <v>20001001</v>
          </cell>
          <cell r="Q50" t="str">
            <v>20991231</v>
          </cell>
          <cell r="R50" t="str">
            <v>120.26</v>
          </cell>
          <cell r="S50" t="str">
            <v>103.66</v>
          </cell>
        </row>
        <row r="51">
          <cell r="G51">
            <v>612000</v>
          </cell>
          <cell r="H51" t="str">
            <v>612000</v>
          </cell>
          <cell r="I51" t="str">
            <v>S</v>
          </cell>
          <cell r="J51" t="str">
            <v>JPN_CPB</v>
          </cell>
          <cell r="K51" t="str">
            <v>3</v>
          </cell>
          <cell r="L51" t="str">
            <v>FOB</v>
          </cell>
          <cell r="M51" t="str">
            <v xml:space="preserve"> E</v>
          </cell>
          <cell r="N51" t="str">
            <v>EURO</v>
          </cell>
          <cell r="O51">
            <v>1.69</v>
          </cell>
          <cell r="P51" t="str">
            <v>20001001</v>
          </cell>
          <cell r="Q51" t="str">
            <v>20991231</v>
          </cell>
          <cell r="R51" t="str">
            <v>1.63</v>
          </cell>
          <cell r="S51" t="str">
            <v>103.68</v>
          </cell>
        </row>
        <row r="52">
          <cell r="G52">
            <v>893802</v>
          </cell>
          <cell r="H52" t="str">
            <v>893802</v>
          </cell>
          <cell r="I52" t="str">
            <v>S</v>
          </cell>
          <cell r="J52" t="str">
            <v>JPN_CPB</v>
          </cell>
          <cell r="K52" t="str">
            <v>3</v>
          </cell>
          <cell r="L52" t="str">
            <v>FOB</v>
          </cell>
          <cell r="M52" t="str">
            <v xml:space="preserve"> E</v>
          </cell>
          <cell r="N52" t="str">
            <v>EURO</v>
          </cell>
          <cell r="O52">
            <v>389.94</v>
          </cell>
          <cell r="P52" t="str">
            <v>20001001</v>
          </cell>
          <cell r="Q52" t="str">
            <v>20991231</v>
          </cell>
          <cell r="R52" t="str">
            <v>376.17</v>
          </cell>
          <cell r="S52" t="str">
            <v>103.66</v>
          </cell>
        </row>
        <row r="53">
          <cell r="G53">
            <v>893801</v>
          </cell>
          <cell r="H53" t="str">
            <v>893801</v>
          </cell>
          <cell r="I53" t="str">
            <v>S</v>
          </cell>
          <cell r="J53" t="str">
            <v>JPN_CPB</v>
          </cell>
          <cell r="K53" t="str">
            <v>3</v>
          </cell>
          <cell r="L53" t="str">
            <v>FOB</v>
          </cell>
          <cell r="M53" t="str">
            <v xml:space="preserve"> E</v>
          </cell>
          <cell r="N53" t="str">
            <v>EURO</v>
          </cell>
          <cell r="O53">
            <v>45.94</v>
          </cell>
          <cell r="P53" t="str">
            <v>20001001</v>
          </cell>
          <cell r="Q53" t="str">
            <v>20991231</v>
          </cell>
          <cell r="R53" t="str">
            <v>44.32</v>
          </cell>
          <cell r="S53" t="str">
            <v>103.66</v>
          </cell>
        </row>
        <row r="54">
          <cell r="G54">
            <v>614500</v>
          </cell>
          <cell r="H54" t="str">
            <v>614500</v>
          </cell>
          <cell r="I54" t="str">
            <v>S</v>
          </cell>
          <cell r="J54" t="str">
            <v>JPN_CPB</v>
          </cell>
          <cell r="K54" t="str">
            <v>3</v>
          </cell>
          <cell r="L54" t="str">
            <v>FOB</v>
          </cell>
          <cell r="M54" t="str">
            <v xml:space="preserve"> E</v>
          </cell>
          <cell r="N54" t="str">
            <v>EURO</v>
          </cell>
          <cell r="O54">
            <v>8.8000000000000007</v>
          </cell>
          <cell r="P54" t="str">
            <v>20001001</v>
          </cell>
          <cell r="Q54" t="str">
            <v>20991231</v>
          </cell>
          <cell r="R54" t="str">
            <v>8.49</v>
          </cell>
          <cell r="S54" t="str">
            <v>103.65</v>
          </cell>
        </row>
        <row r="55">
          <cell r="G55">
            <v>613301</v>
          </cell>
          <cell r="H55" t="str">
            <v>613301</v>
          </cell>
          <cell r="I55" t="str">
            <v>S</v>
          </cell>
          <cell r="J55" t="str">
            <v>JPN_CPB</v>
          </cell>
          <cell r="K55" t="str">
            <v>3</v>
          </cell>
          <cell r="L55" t="str">
            <v>FOB</v>
          </cell>
          <cell r="M55" t="str">
            <v xml:space="preserve"> E</v>
          </cell>
          <cell r="N55" t="str">
            <v>EURO</v>
          </cell>
          <cell r="O55">
            <v>10.220000000000001</v>
          </cell>
          <cell r="P55" t="str">
            <v>20001001</v>
          </cell>
          <cell r="Q55" t="str">
            <v>20991231</v>
          </cell>
          <cell r="R55" t="str">
            <v>9.86</v>
          </cell>
          <cell r="S55" t="str">
            <v>103.65</v>
          </cell>
        </row>
        <row r="56">
          <cell r="G56">
            <v>612101</v>
          </cell>
          <cell r="H56" t="str">
            <v>612101</v>
          </cell>
          <cell r="I56" t="str">
            <v>S</v>
          </cell>
          <cell r="J56" t="str">
            <v>JPN_CPB</v>
          </cell>
          <cell r="K56" t="str">
            <v>3</v>
          </cell>
          <cell r="L56" t="str">
            <v>FOB</v>
          </cell>
          <cell r="M56" t="str">
            <v xml:space="preserve"> E</v>
          </cell>
          <cell r="N56" t="str">
            <v>EURO</v>
          </cell>
          <cell r="O56">
            <v>7.19</v>
          </cell>
          <cell r="P56" t="str">
            <v>20001001</v>
          </cell>
          <cell r="Q56" t="str">
            <v>20991231</v>
          </cell>
          <cell r="R56" t="str">
            <v>6.94</v>
          </cell>
          <cell r="S56" t="str">
            <v>103.60</v>
          </cell>
        </row>
        <row r="57">
          <cell r="G57">
            <v>880941</v>
          </cell>
          <cell r="H57" t="str">
            <v>880941</v>
          </cell>
          <cell r="I57" t="str">
            <v>S</v>
          </cell>
          <cell r="J57" t="str">
            <v>JPN_CPB</v>
          </cell>
          <cell r="K57" t="str">
            <v>3</v>
          </cell>
          <cell r="L57" t="str">
            <v>FOB</v>
          </cell>
          <cell r="M57" t="str">
            <v xml:space="preserve"> E</v>
          </cell>
          <cell r="N57" t="str">
            <v>EURO</v>
          </cell>
          <cell r="O57">
            <v>36.979999999999997</v>
          </cell>
          <cell r="P57" t="str">
            <v>20001001</v>
          </cell>
          <cell r="Q57" t="str">
            <v>20991231</v>
          </cell>
          <cell r="R57" t="str">
            <v>35.67</v>
          </cell>
          <cell r="S57" t="str">
            <v>103.67</v>
          </cell>
        </row>
        <row r="58">
          <cell r="G58">
            <v>614502</v>
          </cell>
          <cell r="H58" t="str">
            <v>614502</v>
          </cell>
          <cell r="I58" t="str">
            <v>S</v>
          </cell>
          <cell r="J58" t="str">
            <v>JPN_CPB</v>
          </cell>
          <cell r="K58" t="str">
            <v>3</v>
          </cell>
          <cell r="L58" t="str">
            <v>FOB</v>
          </cell>
          <cell r="M58" t="str">
            <v xml:space="preserve"> E</v>
          </cell>
          <cell r="N58" t="str">
            <v>EURO</v>
          </cell>
          <cell r="O58">
            <v>5.14</v>
          </cell>
          <cell r="P58" t="str">
            <v>20001001</v>
          </cell>
          <cell r="Q58" t="str">
            <v>20991231</v>
          </cell>
          <cell r="R58" t="str">
            <v>4.96</v>
          </cell>
          <cell r="S58" t="str">
            <v>103.63</v>
          </cell>
        </row>
        <row r="59">
          <cell r="G59">
            <v>614501</v>
          </cell>
          <cell r="H59" t="str">
            <v>614501</v>
          </cell>
          <cell r="I59" t="str">
            <v>S</v>
          </cell>
          <cell r="J59" t="str">
            <v>JPN_CPB</v>
          </cell>
          <cell r="K59" t="str">
            <v>3</v>
          </cell>
          <cell r="L59" t="str">
            <v>FOB</v>
          </cell>
          <cell r="M59" t="str">
            <v xml:space="preserve"> E</v>
          </cell>
          <cell r="N59" t="str">
            <v>EURO</v>
          </cell>
          <cell r="O59">
            <v>7.46</v>
          </cell>
          <cell r="P59" t="str">
            <v>20001001</v>
          </cell>
          <cell r="Q59" t="str">
            <v>20991231</v>
          </cell>
          <cell r="R59" t="str">
            <v>7.20</v>
          </cell>
          <cell r="S59" t="str">
            <v>103.61</v>
          </cell>
        </row>
        <row r="60">
          <cell r="G60">
            <v>810407</v>
          </cell>
          <cell r="H60" t="str">
            <v>810407</v>
          </cell>
          <cell r="I60" t="str">
            <v>S</v>
          </cell>
          <cell r="J60" t="str">
            <v>JPN_CPB</v>
          </cell>
          <cell r="K60" t="str">
            <v>3</v>
          </cell>
          <cell r="L60" t="str">
            <v>FOB</v>
          </cell>
          <cell r="M60" t="str">
            <v xml:space="preserve"> E</v>
          </cell>
          <cell r="N60" t="str">
            <v>EURO</v>
          </cell>
          <cell r="O60">
            <v>27.16</v>
          </cell>
          <cell r="P60" t="str">
            <v>20001001</v>
          </cell>
          <cell r="Q60" t="str">
            <v>20991231</v>
          </cell>
          <cell r="R60" t="str">
            <v>26.20</v>
          </cell>
          <cell r="S60" t="str">
            <v>103.66</v>
          </cell>
        </row>
        <row r="61">
          <cell r="G61">
            <v>810403</v>
          </cell>
          <cell r="H61" t="str">
            <v>810403</v>
          </cell>
          <cell r="I61" t="str">
            <v>S</v>
          </cell>
          <cell r="J61" t="str">
            <v>JPN_CPB</v>
          </cell>
          <cell r="K61" t="str">
            <v>3</v>
          </cell>
          <cell r="L61" t="str">
            <v>FOB</v>
          </cell>
          <cell r="M61" t="str">
            <v xml:space="preserve"> E</v>
          </cell>
          <cell r="N61" t="str">
            <v>EURO</v>
          </cell>
          <cell r="O61">
            <v>27.16</v>
          </cell>
          <cell r="P61" t="str">
            <v>20001001</v>
          </cell>
          <cell r="Q61" t="str">
            <v>20991231</v>
          </cell>
          <cell r="R61" t="str">
            <v>26.20</v>
          </cell>
          <cell r="S61" t="str">
            <v>103.66</v>
          </cell>
        </row>
        <row r="62">
          <cell r="G62">
            <v>810408</v>
          </cell>
          <cell r="H62" t="str">
            <v>810408</v>
          </cell>
          <cell r="I62" t="str">
            <v>S</v>
          </cell>
          <cell r="J62" t="str">
            <v>JPN_CPB</v>
          </cell>
          <cell r="K62" t="str">
            <v>3</v>
          </cell>
          <cell r="L62" t="str">
            <v>FOB</v>
          </cell>
          <cell r="M62" t="str">
            <v xml:space="preserve"> E</v>
          </cell>
          <cell r="N62" t="str">
            <v>EURO</v>
          </cell>
          <cell r="O62">
            <v>27.16</v>
          </cell>
          <cell r="P62" t="str">
            <v>20001001</v>
          </cell>
          <cell r="Q62" t="str">
            <v>20991231</v>
          </cell>
          <cell r="R62" t="str">
            <v>26.20</v>
          </cell>
          <cell r="S62" t="str">
            <v>103.66</v>
          </cell>
        </row>
        <row r="63">
          <cell r="G63">
            <v>810404</v>
          </cell>
          <cell r="H63" t="str">
            <v>810404</v>
          </cell>
          <cell r="I63" t="str">
            <v>S</v>
          </cell>
          <cell r="J63" t="str">
            <v>JPN_CPB</v>
          </cell>
          <cell r="K63" t="str">
            <v>3</v>
          </cell>
          <cell r="L63" t="str">
            <v>FOB</v>
          </cell>
          <cell r="M63" t="str">
            <v xml:space="preserve"> E</v>
          </cell>
          <cell r="N63" t="str">
            <v>EURO</v>
          </cell>
          <cell r="O63">
            <v>27.16</v>
          </cell>
          <cell r="P63" t="str">
            <v>20001001</v>
          </cell>
          <cell r="Q63" t="str">
            <v>20991231</v>
          </cell>
          <cell r="R63" t="str">
            <v>26.20</v>
          </cell>
          <cell r="S63" t="str">
            <v>103.66</v>
          </cell>
        </row>
        <row r="64">
          <cell r="G64">
            <v>893965</v>
          </cell>
          <cell r="H64" t="str">
            <v>893965</v>
          </cell>
          <cell r="I64" t="str">
            <v>S</v>
          </cell>
          <cell r="J64" t="str">
            <v>JPN_CPB</v>
          </cell>
          <cell r="K64" t="str">
            <v>3</v>
          </cell>
          <cell r="L64" t="str">
            <v>FOB</v>
          </cell>
          <cell r="M64" t="str">
            <v xml:space="preserve"> E</v>
          </cell>
          <cell r="N64" t="str">
            <v>EURO</v>
          </cell>
          <cell r="O64">
            <v>27.16</v>
          </cell>
          <cell r="P64" t="str">
            <v>20001001</v>
          </cell>
          <cell r="Q64" t="str">
            <v>20991231</v>
          </cell>
          <cell r="R64" t="str">
            <v>26.20</v>
          </cell>
          <cell r="S64" t="str">
            <v>103.66</v>
          </cell>
        </row>
        <row r="65">
          <cell r="G65">
            <v>810401</v>
          </cell>
          <cell r="H65" t="str">
            <v>810401</v>
          </cell>
          <cell r="I65" t="str">
            <v>S</v>
          </cell>
          <cell r="J65" t="str">
            <v>JPN_CPB</v>
          </cell>
          <cell r="K65" t="str">
            <v>3</v>
          </cell>
          <cell r="L65" t="str">
            <v>FOB</v>
          </cell>
          <cell r="M65" t="str">
            <v xml:space="preserve"> E</v>
          </cell>
          <cell r="N65" t="str">
            <v>EURO</v>
          </cell>
          <cell r="O65">
            <v>27.16</v>
          </cell>
          <cell r="P65" t="str">
            <v>20001001</v>
          </cell>
          <cell r="Q65" t="str">
            <v>20991231</v>
          </cell>
          <cell r="R65" t="str">
            <v>26.20</v>
          </cell>
          <cell r="S65" t="str">
            <v>103.66</v>
          </cell>
        </row>
        <row r="66">
          <cell r="G66">
            <v>893962</v>
          </cell>
          <cell r="H66" t="str">
            <v>893962</v>
          </cell>
          <cell r="I66" t="str">
            <v>S</v>
          </cell>
          <cell r="J66" t="str">
            <v>JPN_CPB</v>
          </cell>
          <cell r="K66" t="str">
            <v>3</v>
          </cell>
          <cell r="L66" t="str">
            <v>FOB</v>
          </cell>
          <cell r="M66" t="str">
            <v xml:space="preserve"> E</v>
          </cell>
          <cell r="N66" t="str">
            <v>EURO</v>
          </cell>
          <cell r="O66">
            <v>27.16</v>
          </cell>
          <cell r="P66" t="str">
            <v>20001001</v>
          </cell>
          <cell r="Q66" t="str">
            <v>20991231</v>
          </cell>
          <cell r="R66" t="str">
            <v>26.20</v>
          </cell>
          <cell r="S66" t="str">
            <v>103.66</v>
          </cell>
        </row>
        <row r="67">
          <cell r="G67">
            <v>810402</v>
          </cell>
          <cell r="H67" t="str">
            <v>810402</v>
          </cell>
          <cell r="I67" t="str">
            <v>S</v>
          </cell>
          <cell r="J67" t="str">
            <v>JPN_CPB</v>
          </cell>
          <cell r="K67" t="str">
            <v>3</v>
          </cell>
          <cell r="L67" t="str">
            <v>FOB</v>
          </cell>
          <cell r="M67" t="str">
            <v xml:space="preserve"> E</v>
          </cell>
          <cell r="N67" t="str">
            <v>EURO</v>
          </cell>
          <cell r="O67">
            <v>27.16</v>
          </cell>
          <cell r="P67" t="str">
            <v>20001001</v>
          </cell>
          <cell r="Q67" t="str">
            <v>20991231</v>
          </cell>
          <cell r="R67" t="str">
            <v>26.20</v>
          </cell>
          <cell r="S67" t="str">
            <v>103.66</v>
          </cell>
        </row>
        <row r="68">
          <cell r="G68">
            <v>893963</v>
          </cell>
          <cell r="H68" t="str">
            <v>893963</v>
          </cell>
          <cell r="I68" t="str">
            <v>S</v>
          </cell>
          <cell r="J68" t="str">
            <v>JPN_CPB</v>
          </cell>
          <cell r="K68" t="str">
            <v>3</v>
          </cell>
          <cell r="L68" t="str">
            <v>FOB</v>
          </cell>
          <cell r="M68" t="str">
            <v xml:space="preserve"> E</v>
          </cell>
          <cell r="N68" t="str">
            <v>EURO</v>
          </cell>
          <cell r="O68">
            <v>27.16</v>
          </cell>
          <cell r="P68" t="str">
            <v>20001001</v>
          </cell>
          <cell r="Q68" t="str">
            <v>20991231</v>
          </cell>
          <cell r="R68" t="str">
            <v>26.20</v>
          </cell>
          <cell r="S68" t="str">
            <v>103.66</v>
          </cell>
        </row>
        <row r="69">
          <cell r="G69">
            <v>810406</v>
          </cell>
          <cell r="H69" t="str">
            <v>810406</v>
          </cell>
          <cell r="I69" t="str">
            <v>S</v>
          </cell>
          <cell r="J69" t="str">
            <v>JPN_CPB</v>
          </cell>
          <cell r="K69" t="str">
            <v>3</v>
          </cell>
          <cell r="L69" t="str">
            <v>FOB</v>
          </cell>
          <cell r="M69" t="str">
            <v xml:space="preserve"> E</v>
          </cell>
          <cell r="N69" t="str">
            <v>EURO</v>
          </cell>
          <cell r="O69">
            <v>27.16</v>
          </cell>
          <cell r="P69" t="str">
            <v>20001001</v>
          </cell>
          <cell r="Q69" t="str">
            <v>20991231</v>
          </cell>
          <cell r="R69" t="str">
            <v>26.20</v>
          </cell>
          <cell r="S69" t="str">
            <v>103.66</v>
          </cell>
        </row>
        <row r="70">
          <cell r="G70">
            <v>810405</v>
          </cell>
          <cell r="H70" t="str">
            <v>810405</v>
          </cell>
          <cell r="I70" t="str">
            <v>S</v>
          </cell>
          <cell r="J70" t="str">
            <v>JPN_CPB</v>
          </cell>
          <cell r="K70" t="str">
            <v>3</v>
          </cell>
          <cell r="L70" t="str">
            <v>FOB</v>
          </cell>
          <cell r="M70" t="str">
            <v xml:space="preserve"> E</v>
          </cell>
          <cell r="N70" t="str">
            <v>EURO</v>
          </cell>
          <cell r="O70">
            <v>27.16</v>
          </cell>
          <cell r="P70" t="str">
            <v>20001001</v>
          </cell>
          <cell r="Q70" t="str">
            <v>20991231</v>
          </cell>
          <cell r="R70" t="str">
            <v>26.20</v>
          </cell>
          <cell r="S70" t="str">
            <v>103.66</v>
          </cell>
        </row>
        <row r="71">
          <cell r="G71">
            <v>813093</v>
          </cell>
          <cell r="H71" t="str">
            <v>813093</v>
          </cell>
          <cell r="I71" t="str">
            <v>S</v>
          </cell>
          <cell r="J71" t="str">
            <v>JPN_CPB</v>
          </cell>
          <cell r="K71" t="str">
            <v>3</v>
          </cell>
          <cell r="L71" t="str">
            <v>FOB</v>
          </cell>
          <cell r="M71" t="str">
            <v xml:space="preserve"> E</v>
          </cell>
          <cell r="N71" t="str">
            <v>EURO</v>
          </cell>
          <cell r="O71">
            <v>21.3</v>
          </cell>
          <cell r="P71" t="str">
            <v>20001001</v>
          </cell>
          <cell r="Q71" t="str">
            <v>20991231</v>
          </cell>
          <cell r="R71" t="str">
            <v>20.55</v>
          </cell>
          <cell r="S71" t="str">
            <v>103.65</v>
          </cell>
        </row>
        <row r="72">
          <cell r="G72">
            <v>813094</v>
          </cell>
          <cell r="H72" t="str">
            <v>813094</v>
          </cell>
          <cell r="I72" t="str">
            <v>S</v>
          </cell>
          <cell r="J72" t="str">
            <v>JPN_CPB</v>
          </cell>
          <cell r="K72" t="str">
            <v>3</v>
          </cell>
          <cell r="L72" t="str">
            <v>FOB</v>
          </cell>
          <cell r="M72" t="str">
            <v xml:space="preserve"> E</v>
          </cell>
          <cell r="N72" t="str">
            <v>EURO</v>
          </cell>
          <cell r="O72">
            <v>21.3</v>
          </cell>
          <cell r="P72" t="str">
            <v>20001001</v>
          </cell>
          <cell r="Q72" t="str">
            <v>20991231</v>
          </cell>
          <cell r="R72" t="str">
            <v>20.55</v>
          </cell>
          <cell r="S72" t="str">
            <v>103.65</v>
          </cell>
        </row>
        <row r="73">
          <cell r="G73">
            <v>813091</v>
          </cell>
          <cell r="H73" t="str">
            <v>813091</v>
          </cell>
          <cell r="I73" t="str">
            <v>S</v>
          </cell>
          <cell r="J73" t="str">
            <v>JPN_CPB</v>
          </cell>
          <cell r="K73" t="str">
            <v>3</v>
          </cell>
          <cell r="L73" t="str">
            <v>FOB</v>
          </cell>
          <cell r="M73" t="str">
            <v xml:space="preserve"> E</v>
          </cell>
          <cell r="N73" t="str">
            <v>EURO</v>
          </cell>
          <cell r="O73">
            <v>21.3</v>
          </cell>
          <cell r="P73" t="str">
            <v>20001001</v>
          </cell>
          <cell r="Q73" t="str">
            <v>20991231</v>
          </cell>
          <cell r="R73" t="str">
            <v>20.55</v>
          </cell>
          <cell r="S73" t="str">
            <v>103.65</v>
          </cell>
        </row>
        <row r="74">
          <cell r="G74">
            <v>893970</v>
          </cell>
          <cell r="H74" t="str">
            <v>893970</v>
          </cell>
          <cell r="I74" t="str">
            <v>S</v>
          </cell>
          <cell r="J74" t="str">
            <v>JPN_CPB</v>
          </cell>
          <cell r="K74" t="str">
            <v>3</v>
          </cell>
          <cell r="L74" t="str">
            <v>FOB</v>
          </cell>
          <cell r="M74" t="str">
            <v xml:space="preserve"> E</v>
          </cell>
          <cell r="N74" t="str">
            <v>EURO</v>
          </cell>
          <cell r="O74">
            <v>21.3</v>
          </cell>
          <cell r="P74" t="str">
            <v>20001001</v>
          </cell>
          <cell r="Q74" t="str">
            <v>20991231</v>
          </cell>
          <cell r="R74" t="str">
            <v>20.55</v>
          </cell>
          <cell r="S74" t="str">
            <v>103.65</v>
          </cell>
        </row>
        <row r="75">
          <cell r="G75">
            <v>813097</v>
          </cell>
          <cell r="H75" t="str">
            <v>813097</v>
          </cell>
          <cell r="I75" t="str">
            <v>S</v>
          </cell>
          <cell r="J75" t="str">
            <v>JPN_CPB</v>
          </cell>
          <cell r="K75" t="str">
            <v>3</v>
          </cell>
          <cell r="L75" t="str">
            <v>FOB</v>
          </cell>
          <cell r="M75" t="str">
            <v xml:space="preserve"> E</v>
          </cell>
          <cell r="N75" t="str">
            <v>EURO</v>
          </cell>
          <cell r="O75">
            <v>21.3</v>
          </cell>
          <cell r="P75" t="str">
            <v>20001001</v>
          </cell>
          <cell r="Q75" t="str">
            <v>20991231</v>
          </cell>
          <cell r="R75" t="str">
            <v>20.55</v>
          </cell>
          <cell r="S75" t="str">
            <v>103.65</v>
          </cell>
        </row>
        <row r="76">
          <cell r="G76">
            <v>813096</v>
          </cell>
          <cell r="H76" t="str">
            <v>813096</v>
          </cell>
          <cell r="I76" t="str">
            <v>S</v>
          </cell>
          <cell r="J76" t="str">
            <v>JPN_CPB</v>
          </cell>
          <cell r="K76" t="str">
            <v>3</v>
          </cell>
          <cell r="L76" t="str">
            <v>FOB</v>
          </cell>
          <cell r="M76" t="str">
            <v xml:space="preserve"> E</v>
          </cell>
          <cell r="N76" t="str">
            <v>EURO</v>
          </cell>
          <cell r="O76">
            <v>21.3</v>
          </cell>
          <cell r="P76" t="str">
            <v>20001001</v>
          </cell>
          <cell r="Q76" t="str">
            <v>20991231</v>
          </cell>
          <cell r="R76" t="str">
            <v>20.55</v>
          </cell>
          <cell r="S76" t="str">
            <v>103.65</v>
          </cell>
        </row>
        <row r="77">
          <cell r="G77">
            <v>813095</v>
          </cell>
          <cell r="H77" t="str">
            <v>813095</v>
          </cell>
          <cell r="I77" t="str">
            <v>S</v>
          </cell>
          <cell r="J77" t="str">
            <v>JPN_CPB</v>
          </cell>
          <cell r="K77" t="str">
            <v>3</v>
          </cell>
          <cell r="L77" t="str">
            <v>FOB</v>
          </cell>
          <cell r="M77" t="str">
            <v xml:space="preserve"> E</v>
          </cell>
          <cell r="N77" t="str">
            <v>EURO</v>
          </cell>
          <cell r="O77">
            <v>21.3</v>
          </cell>
          <cell r="P77" t="str">
            <v>20001001</v>
          </cell>
          <cell r="Q77" t="str">
            <v>20991231</v>
          </cell>
          <cell r="R77" t="str">
            <v>20.55</v>
          </cell>
          <cell r="S77" t="str">
            <v>103.65</v>
          </cell>
        </row>
        <row r="78">
          <cell r="G78">
            <v>889541</v>
          </cell>
          <cell r="H78" t="str">
            <v>889541</v>
          </cell>
          <cell r="I78" t="str">
            <v>S</v>
          </cell>
          <cell r="J78" t="str">
            <v>JPN_CPB</v>
          </cell>
          <cell r="K78" t="str">
            <v>3</v>
          </cell>
          <cell r="L78" t="str">
            <v>FOB</v>
          </cell>
          <cell r="M78" t="str">
            <v xml:space="preserve"> E</v>
          </cell>
          <cell r="N78" t="str">
            <v>EURO</v>
          </cell>
          <cell r="O78">
            <v>155.91999999999999</v>
          </cell>
          <cell r="P78" t="str">
            <v>20001001</v>
          </cell>
          <cell r="Q78" t="str">
            <v>20991231</v>
          </cell>
          <cell r="R78" t="str">
            <v>150.41</v>
          </cell>
          <cell r="S78" t="str">
            <v>103.66</v>
          </cell>
        </row>
        <row r="79">
          <cell r="G79">
            <v>887530</v>
          </cell>
          <cell r="H79" t="str">
            <v>887530</v>
          </cell>
          <cell r="I79" t="str">
            <v>S</v>
          </cell>
          <cell r="J79" t="str">
            <v>JPN_CPB</v>
          </cell>
          <cell r="K79" t="str">
            <v>3</v>
          </cell>
          <cell r="L79" t="str">
            <v>FOB</v>
          </cell>
          <cell r="M79" t="str">
            <v xml:space="preserve"> E</v>
          </cell>
          <cell r="N79" t="str">
            <v>EURO</v>
          </cell>
          <cell r="O79">
            <v>38.840000000000003</v>
          </cell>
          <cell r="P79" t="str">
            <v>20001001</v>
          </cell>
          <cell r="Q79" t="str">
            <v>20991231</v>
          </cell>
          <cell r="R79" t="str">
            <v>37.47</v>
          </cell>
          <cell r="S79" t="str">
            <v>103.66</v>
          </cell>
        </row>
        <row r="80">
          <cell r="G80">
            <v>887704</v>
          </cell>
          <cell r="H80" t="str">
            <v>887704</v>
          </cell>
          <cell r="I80" t="str">
            <v>S</v>
          </cell>
          <cell r="J80" t="str">
            <v>JPN_CPB</v>
          </cell>
          <cell r="K80" t="str">
            <v>3</v>
          </cell>
          <cell r="L80" t="str">
            <v>FOB</v>
          </cell>
          <cell r="M80" t="str">
            <v xml:space="preserve"> E</v>
          </cell>
          <cell r="N80" t="str">
            <v>EURO</v>
          </cell>
          <cell r="O80">
            <v>38.840000000000003</v>
          </cell>
          <cell r="P80" t="str">
            <v>20001001</v>
          </cell>
          <cell r="Q80" t="str">
            <v>20991231</v>
          </cell>
          <cell r="R80" t="str">
            <v>37.47</v>
          </cell>
          <cell r="S80" t="str">
            <v>103.66</v>
          </cell>
        </row>
        <row r="81">
          <cell r="G81">
            <v>887890</v>
          </cell>
          <cell r="H81" t="str">
            <v>887890</v>
          </cell>
          <cell r="I81" t="str">
            <v>S</v>
          </cell>
          <cell r="J81" t="str">
            <v>JPN_CPB</v>
          </cell>
          <cell r="K81" t="str">
            <v>3</v>
          </cell>
          <cell r="L81" t="str">
            <v>FOB</v>
          </cell>
          <cell r="M81" t="str">
            <v xml:space="preserve"> E</v>
          </cell>
          <cell r="N81" t="str">
            <v>EURO</v>
          </cell>
          <cell r="O81">
            <v>118.38</v>
          </cell>
          <cell r="P81" t="str">
            <v>20001001</v>
          </cell>
          <cell r="Q81" t="str">
            <v>20991231</v>
          </cell>
          <cell r="R81" t="str">
            <v>114.20</v>
          </cell>
          <cell r="S81" t="str">
            <v>103.66</v>
          </cell>
        </row>
        <row r="82">
          <cell r="G82">
            <v>887908</v>
          </cell>
          <cell r="H82" t="str">
            <v>887908</v>
          </cell>
          <cell r="I82" t="str">
            <v>S</v>
          </cell>
          <cell r="J82" t="str">
            <v>JPN_CPB</v>
          </cell>
          <cell r="K82" t="str">
            <v>3</v>
          </cell>
          <cell r="L82" t="str">
            <v>FOB</v>
          </cell>
          <cell r="M82" t="str">
            <v xml:space="preserve"> E</v>
          </cell>
          <cell r="N82" t="str">
            <v>EURO</v>
          </cell>
          <cell r="O82">
            <v>134.54</v>
          </cell>
          <cell r="P82" t="str">
            <v>20001001</v>
          </cell>
          <cell r="Q82" t="str">
            <v>20991231</v>
          </cell>
          <cell r="R82" t="str">
            <v>129.79</v>
          </cell>
          <cell r="S82" t="str">
            <v>103.66</v>
          </cell>
        </row>
        <row r="83">
          <cell r="G83">
            <v>887902</v>
          </cell>
          <cell r="H83" t="str">
            <v>887902</v>
          </cell>
          <cell r="I83" t="str">
            <v>S</v>
          </cell>
          <cell r="J83" t="str">
            <v>JPN_CPB</v>
          </cell>
          <cell r="K83" t="str">
            <v>3</v>
          </cell>
          <cell r="L83" t="str">
            <v>FOB</v>
          </cell>
          <cell r="M83" t="str">
            <v xml:space="preserve"> E</v>
          </cell>
          <cell r="N83" t="str">
            <v>EURO</v>
          </cell>
          <cell r="O83">
            <v>134.54</v>
          </cell>
          <cell r="P83" t="str">
            <v>20001001</v>
          </cell>
          <cell r="Q83" t="str">
            <v>20991231</v>
          </cell>
          <cell r="R83" t="str">
            <v>129.79</v>
          </cell>
          <cell r="S83" t="str">
            <v>103.66</v>
          </cell>
        </row>
        <row r="84">
          <cell r="G84">
            <v>887896</v>
          </cell>
          <cell r="H84" t="str">
            <v>887896</v>
          </cell>
          <cell r="I84" t="str">
            <v>S</v>
          </cell>
          <cell r="J84" t="str">
            <v>JPN_CPB</v>
          </cell>
          <cell r="K84" t="str">
            <v>3</v>
          </cell>
          <cell r="L84" t="str">
            <v>FOB</v>
          </cell>
          <cell r="M84" t="str">
            <v xml:space="preserve"> E</v>
          </cell>
          <cell r="N84" t="str">
            <v>EURO</v>
          </cell>
          <cell r="O84">
            <v>134.54</v>
          </cell>
          <cell r="P84" t="str">
            <v>20001001</v>
          </cell>
          <cell r="Q84" t="str">
            <v>20991231</v>
          </cell>
          <cell r="R84" t="str">
            <v>129.79</v>
          </cell>
          <cell r="S84" t="str">
            <v>103.66</v>
          </cell>
        </row>
        <row r="85">
          <cell r="G85">
            <v>889550</v>
          </cell>
          <cell r="H85" t="str">
            <v>889550</v>
          </cell>
          <cell r="I85" t="str">
            <v>S</v>
          </cell>
          <cell r="J85" t="str">
            <v>JPN_CPB</v>
          </cell>
          <cell r="K85" t="str">
            <v>3</v>
          </cell>
          <cell r="L85" t="str">
            <v>FOB</v>
          </cell>
          <cell r="M85" t="str">
            <v xml:space="preserve"> E</v>
          </cell>
          <cell r="N85" t="str">
            <v>EURO</v>
          </cell>
          <cell r="O85">
            <v>155.91999999999999</v>
          </cell>
          <cell r="P85" t="str">
            <v>20001001</v>
          </cell>
          <cell r="Q85" t="str">
            <v>20991231</v>
          </cell>
          <cell r="R85" t="str">
            <v>150.41</v>
          </cell>
          <cell r="S85" t="str">
            <v>103.66</v>
          </cell>
        </row>
        <row r="86">
          <cell r="G86">
            <v>887079</v>
          </cell>
          <cell r="H86" t="str">
            <v>887079</v>
          </cell>
          <cell r="I86" t="str">
            <v>S</v>
          </cell>
          <cell r="J86" t="str">
            <v>JPN_CPB</v>
          </cell>
          <cell r="K86" t="str">
            <v>3</v>
          </cell>
          <cell r="L86" t="str">
            <v>FOB</v>
          </cell>
          <cell r="M86" t="str">
            <v xml:space="preserve"> E</v>
          </cell>
          <cell r="N86" t="str">
            <v>EURO</v>
          </cell>
          <cell r="O86">
            <v>97.49</v>
          </cell>
          <cell r="P86" t="str">
            <v>20001001</v>
          </cell>
          <cell r="Q86" t="str">
            <v>20991231</v>
          </cell>
          <cell r="R86" t="str">
            <v>94.05</v>
          </cell>
          <cell r="S86" t="str">
            <v>103.66</v>
          </cell>
        </row>
        <row r="87">
          <cell r="G87">
            <v>887409</v>
          </cell>
          <cell r="H87" t="str">
            <v>887409</v>
          </cell>
          <cell r="I87" t="str">
            <v>S</v>
          </cell>
          <cell r="J87" t="str">
            <v>JPN_CPB</v>
          </cell>
          <cell r="K87" t="str">
            <v>3</v>
          </cell>
          <cell r="L87" t="str">
            <v>FOB</v>
          </cell>
          <cell r="M87" t="str">
            <v xml:space="preserve"> E</v>
          </cell>
          <cell r="N87" t="str">
            <v>EURO</v>
          </cell>
          <cell r="O87">
            <v>217.27</v>
          </cell>
          <cell r="P87" t="str">
            <v>20001001</v>
          </cell>
          <cell r="Q87" t="str">
            <v>20991231</v>
          </cell>
          <cell r="R87" t="str">
            <v>209.60</v>
          </cell>
          <cell r="S87" t="str">
            <v>103.66</v>
          </cell>
        </row>
        <row r="88">
          <cell r="G88">
            <v>887413</v>
          </cell>
          <cell r="H88" t="str">
            <v>887413</v>
          </cell>
          <cell r="I88" t="str">
            <v>S</v>
          </cell>
          <cell r="J88" t="str">
            <v>JPN_CPB</v>
          </cell>
          <cell r="K88" t="str">
            <v>3</v>
          </cell>
          <cell r="L88" t="str">
            <v>FOB</v>
          </cell>
          <cell r="M88" t="str">
            <v xml:space="preserve"> E</v>
          </cell>
          <cell r="N88" t="str">
            <v>EURO</v>
          </cell>
          <cell r="O88">
            <v>217.27</v>
          </cell>
          <cell r="P88" t="str">
            <v>20001001</v>
          </cell>
          <cell r="Q88" t="str">
            <v>20991231</v>
          </cell>
          <cell r="R88" t="str">
            <v>209.60</v>
          </cell>
          <cell r="S88" t="str">
            <v>103.66</v>
          </cell>
        </row>
        <row r="89">
          <cell r="G89">
            <v>887533</v>
          </cell>
          <cell r="H89" t="str">
            <v>887533</v>
          </cell>
          <cell r="I89" t="str">
            <v>S</v>
          </cell>
          <cell r="J89" t="str">
            <v>JPN_CPB</v>
          </cell>
          <cell r="K89" t="str">
            <v>3</v>
          </cell>
          <cell r="L89" t="str">
            <v>FOB</v>
          </cell>
          <cell r="M89" t="str">
            <v xml:space="preserve"> E</v>
          </cell>
          <cell r="N89" t="str">
            <v>EURO</v>
          </cell>
          <cell r="O89">
            <v>38.840000000000003</v>
          </cell>
          <cell r="P89" t="str">
            <v>20001001</v>
          </cell>
          <cell r="Q89" t="str">
            <v>20991231</v>
          </cell>
          <cell r="R89" t="str">
            <v>37.47</v>
          </cell>
          <cell r="S89" t="str">
            <v>103.66</v>
          </cell>
        </row>
        <row r="90">
          <cell r="G90">
            <v>887914</v>
          </cell>
          <cell r="H90" t="str">
            <v>887914</v>
          </cell>
          <cell r="I90" t="str">
            <v>S</v>
          </cell>
          <cell r="J90" t="str">
            <v>JPN_CPB</v>
          </cell>
          <cell r="K90" t="str">
            <v>3</v>
          </cell>
          <cell r="L90" t="str">
            <v>FOB</v>
          </cell>
          <cell r="M90" t="str">
            <v xml:space="preserve"> E</v>
          </cell>
          <cell r="N90" t="str">
            <v>EURO</v>
          </cell>
          <cell r="O90">
            <v>44.25</v>
          </cell>
          <cell r="P90" t="str">
            <v>20001001</v>
          </cell>
          <cell r="Q90" t="str">
            <v>20991231</v>
          </cell>
          <cell r="R90" t="str">
            <v>42.69</v>
          </cell>
          <cell r="S90" t="str">
            <v>103.65</v>
          </cell>
        </row>
        <row r="91">
          <cell r="G91">
            <v>887933</v>
          </cell>
          <cell r="H91" t="str">
            <v>887933</v>
          </cell>
          <cell r="I91" t="str">
            <v>S</v>
          </cell>
          <cell r="J91" t="str">
            <v>JPN_CPB</v>
          </cell>
          <cell r="K91" t="str">
            <v>3</v>
          </cell>
          <cell r="L91" t="str">
            <v>FOB</v>
          </cell>
          <cell r="M91" t="str">
            <v xml:space="preserve"> E</v>
          </cell>
          <cell r="N91" t="str">
            <v>EURO</v>
          </cell>
          <cell r="O91">
            <v>75.599999999999994</v>
          </cell>
          <cell r="P91" t="str">
            <v>20001001</v>
          </cell>
          <cell r="Q91" t="str">
            <v>20991231</v>
          </cell>
          <cell r="R91" t="str">
            <v>72.93</v>
          </cell>
          <cell r="S91" t="str">
            <v>103.66</v>
          </cell>
        </row>
        <row r="92">
          <cell r="G92">
            <v>887927</v>
          </cell>
          <cell r="H92" t="str">
            <v>887927</v>
          </cell>
          <cell r="I92" t="str">
            <v>S</v>
          </cell>
          <cell r="J92" t="str">
            <v>JPN_CPB</v>
          </cell>
          <cell r="K92" t="str">
            <v>3</v>
          </cell>
          <cell r="L92" t="str">
            <v>FOB</v>
          </cell>
          <cell r="M92" t="str">
            <v xml:space="preserve"> E</v>
          </cell>
          <cell r="N92" t="str">
            <v>EURO</v>
          </cell>
          <cell r="O92">
            <v>75.599999999999994</v>
          </cell>
          <cell r="P92" t="str">
            <v>20001001</v>
          </cell>
          <cell r="Q92" t="str">
            <v>20991231</v>
          </cell>
          <cell r="R92" t="str">
            <v>72.93</v>
          </cell>
          <cell r="S92" t="str">
            <v>103.66</v>
          </cell>
        </row>
        <row r="93">
          <cell r="G93">
            <v>887921</v>
          </cell>
          <cell r="H93" t="str">
            <v>887921</v>
          </cell>
          <cell r="I93" t="str">
            <v>S</v>
          </cell>
          <cell r="J93" t="str">
            <v>JPN_CPB</v>
          </cell>
          <cell r="K93" t="str">
            <v>3</v>
          </cell>
          <cell r="L93" t="str">
            <v>FOB</v>
          </cell>
          <cell r="M93" t="str">
            <v xml:space="preserve"> E</v>
          </cell>
          <cell r="N93" t="str">
            <v>EURO</v>
          </cell>
          <cell r="O93">
            <v>75.599999999999994</v>
          </cell>
          <cell r="P93" t="str">
            <v>20001001</v>
          </cell>
          <cell r="Q93" t="str">
            <v>20991231</v>
          </cell>
          <cell r="R93" t="str">
            <v>72.93</v>
          </cell>
          <cell r="S93" t="str">
            <v>103.66</v>
          </cell>
        </row>
        <row r="94">
          <cell r="G94">
            <v>392063</v>
          </cell>
          <cell r="H94" t="str">
            <v>G70111</v>
          </cell>
          <cell r="I94" t="str">
            <v>S</v>
          </cell>
          <cell r="J94" t="str">
            <v>JPN_CPB</v>
          </cell>
          <cell r="K94" t="str">
            <v>3</v>
          </cell>
          <cell r="L94" t="str">
            <v>FOB</v>
          </cell>
          <cell r="M94" t="str">
            <v xml:space="preserve"> E</v>
          </cell>
          <cell r="N94" t="str">
            <v>EURO</v>
          </cell>
          <cell r="O94">
            <v>82.54</v>
          </cell>
          <cell r="P94" t="str">
            <v>20001001</v>
          </cell>
          <cell r="Q94" t="str">
            <v>20991231</v>
          </cell>
          <cell r="R94" t="str">
            <v>79.63</v>
          </cell>
          <cell r="S94" t="str">
            <v>103.65</v>
          </cell>
        </row>
        <row r="95">
          <cell r="G95">
            <v>889213</v>
          </cell>
          <cell r="H95" t="str">
            <v>889213</v>
          </cell>
          <cell r="I95" t="str">
            <v>S</v>
          </cell>
          <cell r="J95" t="str">
            <v>JPN_CPB</v>
          </cell>
          <cell r="K95" t="str">
            <v>3</v>
          </cell>
          <cell r="L95" t="str">
            <v>FOB</v>
          </cell>
          <cell r="M95" t="str">
            <v xml:space="preserve"> E</v>
          </cell>
          <cell r="N95" t="str">
            <v>EURO</v>
          </cell>
          <cell r="O95">
            <v>36.35</v>
          </cell>
          <cell r="P95" t="str">
            <v>20001001</v>
          </cell>
          <cell r="Q95" t="str">
            <v>20991231</v>
          </cell>
          <cell r="R95" t="str">
            <v>35.07</v>
          </cell>
          <cell r="S95" t="str">
            <v>103.65</v>
          </cell>
        </row>
        <row r="96">
          <cell r="G96">
            <v>889219</v>
          </cell>
          <cell r="H96" t="str">
            <v>889219</v>
          </cell>
          <cell r="I96" t="str">
            <v>S</v>
          </cell>
          <cell r="J96" t="str">
            <v>JPN_CPB</v>
          </cell>
          <cell r="K96" t="str">
            <v>3</v>
          </cell>
          <cell r="L96" t="str">
            <v>FOB</v>
          </cell>
          <cell r="M96" t="str">
            <v xml:space="preserve"> E</v>
          </cell>
          <cell r="N96" t="str">
            <v>EURO</v>
          </cell>
          <cell r="O96">
            <v>36.35</v>
          </cell>
          <cell r="P96" t="str">
            <v>20001001</v>
          </cell>
          <cell r="Q96" t="str">
            <v>20991231</v>
          </cell>
          <cell r="R96" t="str">
            <v>35.07</v>
          </cell>
          <cell r="S96" t="str">
            <v>103.65</v>
          </cell>
        </row>
        <row r="97">
          <cell r="G97">
            <v>889207</v>
          </cell>
          <cell r="H97" t="str">
            <v>889207</v>
          </cell>
          <cell r="I97" t="str">
            <v>S</v>
          </cell>
          <cell r="J97" t="str">
            <v>JPN_CPB</v>
          </cell>
          <cell r="K97" t="str">
            <v>3</v>
          </cell>
          <cell r="L97" t="str">
            <v>FOB</v>
          </cell>
          <cell r="M97" t="str">
            <v xml:space="preserve"> E</v>
          </cell>
          <cell r="N97" t="str">
            <v>EURO</v>
          </cell>
          <cell r="O97">
            <v>34.53</v>
          </cell>
          <cell r="P97" t="str">
            <v>20001001</v>
          </cell>
          <cell r="Q97" t="str">
            <v>20991231</v>
          </cell>
          <cell r="R97" t="str">
            <v>33.31</v>
          </cell>
          <cell r="S97" t="str">
            <v>103.66</v>
          </cell>
        </row>
        <row r="98">
          <cell r="G98">
            <v>889547</v>
          </cell>
          <cell r="H98" t="str">
            <v>889547</v>
          </cell>
          <cell r="I98" t="str">
            <v>S</v>
          </cell>
          <cell r="J98" t="str">
            <v>JPN_CPB</v>
          </cell>
          <cell r="K98" t="str">
            <v>3</v>
          </cell>
          <cell r="L98" t="str">
            <v>FOB</v>
          </cell>
          <cell r="M98" t="str">
            <v xml:space="preserve"> E</v>
          </cell>
          <cell r="N98" t="str">
            <v>EURO</v>
          </cell>
          <cell r="O98">
            <v>155.91999999999999</v>
          </cell>
          <cell r="P98" t="str">
            <v>20001001</v>
          </cell>
          <cell r="Q98" t="str">
            <v>20991231</v>
          </cell>
          <cell r="R98" t="str">
            <v>150.41</v>
          </cell>
          <cell r="S98" t="str">
            <v>103.66</v>
          </cell>
        </row>
        <row r="99">
          <cell r="G99">
            <v>593928</v>
          </cell>
          <cell r="H99" t="str">
            <v>593928</v>
          </cell>
          <cell r="I99" t="str">
            <v>S</v>
          </cell>
          <cell r="J99" t="str">
            <v>JPN_CPB</v>
          </cell>
          <cell r="K99" t="str">
            <v>3</v>
          </cell>
          <cell r="L99" t="str">
            <v>FOB</v>
          </cell>
          <cell r="M99" t="str">
            <v xml:space="preserve"> E</v>
          </cell>
          <cell r="N99" t="str">
            <v>EURO</v>
          </cell>
          <cell r="O99">
            <v>384.11</v>
          </cell>
          <cell r="P99" t="str">
            <v>20001001</v>
          </cell>
          <cell r="Q99" t="str">
            <v>20991231</v>
          </cell>
          <cell r="R99" t="str">
            <v>370.55</v>
          </cell>
          <cell r="S99" t="str">
            <v>103.66</v>
          </cell>
        </row>
        <row r="100">
          <cell r="G100">
            <v>887527</v>
          </cell>
          <cell r="H100" t="str">
            <v>887527</v>
          </cell>
          <cell r="I100" t="str">
            <v>S</v>
          </cell>
          <cell r="J100" t="str">
            <v>JPN_CPB</v>
          </cell>
          <cell r="K100" t="str">
            <v>3</v>
          </cell>
          <cell r="L100" t="str">
            <v>FOB</v>
          </cell>
          <cell r="M100" t="str">
            <v xml:space="preserve"> E</v>
          </cell>
          <cell r="N100" t="str">
            <v>EURO</v>
          </cell>
          <cell r="O100">
            <v>38.840000000000003</v>
          </cell>
          <cell r="P100" t="str">
            <v>20001001</v>
          </cell>
          <cell r="Q100" t="str">
            <v>20991231</v>
          </cell>
          <cell r="R100" t="str">
            <v>37.47</v>
          </cell>
          <cell r="S100" t="str">
            <v>103.66</v>
          </cell>
        </row>
        <row r="101">
          <cell r="G101">
            <v>887845</v>
          </cell>
          <cell r="H101" t="str">
            <v>887845</v>
          </cell>
          <cell r="I101" t="str">
            <v>S</v>
          </cell>
          <cell r="J101" t="str">
            <v>JPN_CPB</v>
          </cell>
          <cell r="K101" t="str">
            <v>3</v>
          </cell>
          <cell r="L101" t="str">
            <v>FOB</v>
          </cell>
          <cell r="M101" t="str">
            <v xml:space="preserve"> E</v>
          </cell>
          <cell r="N101" t="str">
            <v>EURO</v>
          </cell>
          <cell r="O101">
            <v>67.36</v>
          </cell>
          <cell r="P101" t="str">
            <v>20001001</v>
          </cell>
          <cell r="Q101" t="str">
            <v>20991231</v>
          </cell>
          <cell r="R101" t="str">
            <v>64.98</v>
          </cell>
          <cell r="S101" t="str">
            <v>103.66</v>
          </cell>
        </row>
        <row r="102">
          <cell r="G102">
            <v>887849</v>
          </cell>
          <cell r="H102" t="str">
            <v>887849</v>
          </cell>
          <cell r="I102" t="str">
            <v>S</v>
          </cell>
          <cell r="J102" t="str">
            <v>JPN_CPB</v>
          </cell>
          <cell r="K102" t="str">
            <v>3</v>
          </cell>
          <cell r="L102" t="str">
            <v>FOB</v>
          </cell>
          <cell r="M102" t="str">
            <v xml:space="preserve"> E</v>
          </cell>
          <cell r="N102" t="str">
            <v>EURO</v>
          </cell>
          <cell r="O102">
            <v>63.95</v>
          </cell>
          <cell r="P102" t="str">
            <v>20001001</v>
          </cell>
          <cell r="Q102" t="str">
            <v>20991231</v>
          </cell>
          <cell r="R102" t="str">
            <v>61.69</v>
          </cell>
          <cell r="S102" t="str">
            <v>103.66</v>
          </cell>
        </row>
        <row r="103">
          <cell r="G103">
            <v>887848</v>
          </cell>
          <cell r="H103" t="str">
            <v>887848</v>
          </cell>
          <cell r="I103" t="str">
            <v>S</v>
          </cell>
          <cell r="J103" t="str">
            <v>JPN_CPB</v>
          </cell>
          <cell r="K103" t="str">
            <v>3</v>
          </cell>
          <cell r="L103" t="str">
            <v>FOB</v>
          </cell>
          <cell r="M103" t="str">
            <v xml:space="preserve"> E</v>
          </cell>
          <cell r="N103" t="str">
            <v>EURO</v>
          </cell>
          <cell r="O103">
            <v>63.95</v>
          </cell>
          <cell r="P103" t="str">
            <v>20001001</v>
          </cell>
          <cell r="Q103" t="str">
            <v>20991231</v>
          </cell>
          <cell r="R103" t="str">
            <v>61.69</v>
          </cell>
          <cell r="S103" t="str">
            <v>103.66</v>
          </cell>
        </row>
        <row r="104">
          <cell r="G104">
            <v>887847</v>
          </cell>
          <cell r="H104" t="str">
            <v>887847</v>
          </cell>
          <cell r="I104" t="str">
            <v>S</v>
          </cell>
          <cell r="J104" t="str">
            <v>JPN_CPB</v>
          </cell>
          <cell r="K104" t="str">
            <v>3</v>
          </cell>
          <cell r="L104" t="str">
            <v>FOB</v>
          </cell>
          <cell r="M104" t="str">
            <v xml:space="preserve"> E</v>
          </cell>
          <cell r="N104" t="str">
            <v>EURO</v>
          </cell>
          <cell r="O104">
            <v>63.95</v>
          </cell>
          <cell r="P104" t="str">
            <v>20001001</v>
          </cell>
          <cell r="Q104" t="str">
            <v>20991231</v>
          </cell>
          <cell r="R104" t="str">
            <v>61.69</v>
          </cell>
          <cell r="S104" t="str">
            <v>103.66</v>
          </cell>
        </row>
        <row r="105">
          <cell r="G105">
            <v>887813</v>
          </cell>
          <cell r="H105" t="str">
            <v>887813</v>
          </cell>
          <cell r="I105" t="str">
            <v>S</v>
          </cell>
          <cell r="J105" t="str">
            <v>JPN_CPB</v>
          </cell>
          <cell r="K105" t="str">
            <v>3</v>
          </cell>
          <cell r="L105" t="str">
            <v>FOB</v>
          </cell>
          <cell r="M105" t="str">
            <v xml:space="preserve"> E</v>
          </cell>
          <cell r="N105" t="str">
            <v>EURO</v>
          </cell>
          <cell r="O105">
            <v>74.05</v>
          </cell>
          <cell r="P105" t="str">
            <v>20001001</v>
          </cell>
          <cell r="Q105" t="str">
            <v>20991231</v>
          </cell>
          <cell r="R105" t="str">
            <v>71.44</v>
          </cell>
          <cell r="S105" t="str">
            <v>103.65</v>
          </cell>
        </row>
        <row r="106">
          <cell r="G106">
            <v>887816</v>
          </cell>
          <cell r="H106" t="str">
            <v>887816</v>
          </cell>
          <cell r="I106" t="str">
            <v>S</v>
          </cell>
          <cell r="J106" t="str">
            <v>JPN_CPB</v>
          </cell>
          <cell r="K106" t="str">
            <v>3</v>
          </cell>
          <cell r="L106" t="str">
            <v>FOB</v>
          </cell>
          <cell r="M106" t="str">
            <v xml:space="preserve"> E</v>
          </cell>
          <cell r="N106" t="str">
            <v>EURO</v>
          </cell>
          <cell r="O106">
            <v>82.29</v>
          </cell>
          <cell r="P106" t="str">
            <v>20001001</v>
          </cell>
          <cell r="Q106" t="str">
            <v>20991231</v>
          </cell>
          <cell r="R106" t="str">
            <v>79.38</v>
          </cell>
          <cell r="S106" t="str">
            <v>103.67</v>
          </cell>
        </row>
        <row r="107">
          <cell r="G107">
            <v>887815</v>
          </cell>
          <cell r="H107" t="str">
            <v>887815</v>
          </cell>
          <cell r="I107" t="str">
            <v>S</v>
          </cell>
          <cell r="J107" t="str">
            <v>JPN_CPB</v>
          </cell>
          <cell r="K107" t="str">
            <v>3</v>
          </cell>
          <cell r="L107" t="str">
            <v>FOB</v>
          </cell>
          <cell r="M107" t="str">
            <v xml:space="preserve"> E</v>
          </cell>
          <cell r="N107" t="str">
            <v>EURO</v>
          </cell>
          <cell r="O107">
            <v>82.29</v>
          </cell>
          <cell r="P107" t="str">
            <v>20001001</v>
          </cell>
          <cell r="Q107" t="str">
            <v>20991231</v>
          </cell>
          <cell r="R107" t="str">
            <v>79.38</v>
          </cell>
          <cell r="S107" t="str">
            <v>103.67</v>
          </cell>
        </row>
        <row r="108">
          <cell r="G108">
            <v>887814</v>
          </cell>
          <cell r="H108" t="str">
            <v>887814</v>
          </cell>
          <cell r="I108" t="str">
            <v>S</v>
          </cell>
          <cell r="J108" t="str">
            <v>JPN_CPB</v>
          </cell>
          <cell r="K108" t="str">
            <v>3</v>
          </cell>
          <cell r="L108" t="str">
            <v>FOB</v>
          </cell>
          <cell r="M108" t="str">
            <v xml:space="preserve"> E</v>
          </cell>
          <cell r="N108" t="str">
            <v>EURO</v>
          </cell>
          <cell r="O108">
            <v>82.29</v>
          </cell>
          <cell r="P108" t="str">
            <v>20001001</v>
          </cell>
          <cell r="Q108" t="str">
            <v>20991231</v>
          </cell>
          <cell r="R108" t="str">
            <v>79.38</v>
          </cell>
          <cell r="S108" t="str">
            <v>103.67</v>
          </cell>
        </row>
        <row r="109">
          <cell r="G109">
            <v>887977</v>
          </cell>
          <cell r="H109" t="str">
            <v>887977</v>
          </cell>
          <cell r="I109" t="str">
            <v>S</v>
          </cell>
          <cell r="J109" t="str">
            <v>JPN_CPB</v>
          </cell>
          <cell r="K109" t="str">
            <v>3</v>
          </cell>
          <cell r="L109" t="str">
            <v>FOB</v>
          </cell>
          <cell r="M109" t="str">
            <v xml:space="preserve"> E</v>
          </cell>
          <cell r="N109" t="str">
            <v>EURO</v>
          </cell>
          <cell r="O109">
            <v>58.46</v>
          </cell>
          <cell r="P109" t="str">
            <v>20001001</v>
          </cell>
          <cell r="Q109" t="str">
            <v>20991231</v>
          </cell>
          <cell r="R109" t="str">
            <v>56.40</v>
          </cell>
          <cell r="S109" t="str">
            <v>103.65</v>
          </cell>
        </row>
        <row r="110">
          <cell r="G110">
            <v>887995</v>
          </cell>
          <cell r="H110" t="str">
            <v>887995</v>
          </cell>
          <cell r="I110" t="str">
            <v>S</v>
          </cell>
          <cell r="J110" t="str">
            <v>JPN_CPB</v>
          </cell>
          <cell r="K110" t="str">
            <v>3</v>
          </cell>
          <cell r="L110" t="str">
            <v>FOB</v>
          </cell>
          <cell r="M110" t="str">
            <v xml:space="preserve"> E</v>
          </cell>
          <cell r="N110" t="str">
            <v>EURO</v>
          </cell>
          <cell r="O110">
            <v>108.78</v>
          </cell>
          <cell r="P110" t="str">
            <v>20001001</v>
          </cell>
          <cell r="Q110" t="str">
            <v>20991231</v>
          </cell>
          <cell r="R110" t="str">
            <v>104.94</v>
          </cell>
          <cell r="S110" t="str">
            <v>103.66</v>
          </cell>
        </row>
        <row r="111">
          <cell r="G111">
            <v>888009</v>
          </cell>
          <cell r="H111" t="str">
            <v>888009</v>
          </cell>
          <cell r="I111" t="str">
            <v>S</v>
          </cell>
          <cell r="J111" t="str">
            <v>JPN_CPB</v>
          </cell>
          <cell r="K111" t="str">
            <v>3</v>
          </cell>
          <cell r="L111" t="str">
            <v>FOB</v>
          </cell>
          <cell r="M111" t="str">
            <v xml:space="preserve"> E</v>
          </cell>
          <cell r="N111" t="str">
            <v>EURO</v>
          </cell>
          <cell r="O111">
            <v>119.21</v>
          </cell>
          <cell r="P111" t="str">
            <v>20001001</v>
          </cell>
          <cell r="Q111" t="str">
            <v>20991231</v>
          </cell>
          <cell r="R111" t="str">
            <v>115.00</v>
          </cell>
          <cell r="S111" t="str">
            <v>103.66</v>
          </cell>
        </row>
        <row r="112">
          <cell r="G112">
            <v>889614</v>
          </cell>
          <cell r="H112" t="str">
            <v>889614</v>
          </cell>
          <cell r="I112" t="str">
            <v>S</v>
          </cell>
          <cell r="J112" t="str">
            <v>JPN_CPB</v>
          </cell>
          <cell r="K112" t="str">
            <v>3</v>
          </cell>
          <cell r="L112" t="str">
            <v>FOB</v>
          </cell>
          <cell r="M112" t="str">
            <v xml:space="preserve"> E</v>
          </cell>
          <cell r="N112" t="str">
            <v>EURO</v>
          </cell>
          <cell r="O112">
            <v>43.05</v>
          </cell>
          <cell r="P112" t="str">
            <v>20001001</v>
          </cell>
          <cell r="Q112" t="str">
            <v>20991231</v>
          </cell>
          <cell r="R112" t="str">
            <v>41.53</v>
          </cell>
          <cell r="S112" t="str">
            <v>103.66</v>
          </cell>
        </row>
        <row r="113">
          <cell r="G113">
            <v>889283</v>
          </cell>
          <cell r="H113" t="str">
            <v>889283</v>
          </cell>
          <cell r="I113" t="str">
            <v>S</v>
          </cell>
          <cell r="J113" t="str">
            <v>JPN_CPB</v>
          </cell>
          <cell r="K113" t="str">
            <v>3</v>
          </cell>
          <cell r="L113" t="str">
            <v>FOB</v>
          </cell>
          <cell r="M113" t="str">
            <v xml:space="preserve"> E</v>
          </cell>
          <cell r="N113" t="str">
            <v>EURO</v>
          </cell>
          <cell r="O113">
            <v>37.85</v>
          </cell>
          <cell r="P113" t="str">
            <v>20001001</v>
          </cell>
          <cell r="Q113" t="str">
            <v>20991231</v>
          </cell>
          <cell r="R113" t="str">
            <v>36.51</v>
          </cell>
          <cell r="S113" t="str">
            <v>103.67</v>
          </cell>
        </row>
        <row r="114">
          <cell r="G114">
            <v>889286</v>
          </cell>
          <cell r="H114" t="str">
            <v>889286</v>
          </cell>
          <cell r="I114" t="str">
            <v>S</v>
          </cell>
          <cell r="J114" t="str">
            <v>JPN_CPB</v>
          </cell>
          <cell r="K114" t="str">
            <v>3</v>
          </cell>
          <cell r="L114" t="str">
            <v>FOB</v>
          </cell>
          <cell r="M114" t="str">
            <v xml:space="preserve"> E</v>
          </cell>
          <cell r="N114" t="str">
            <v>EURO</v>
          </cell>
          <cell r="O114">
            <v>37.85</v>
          </cell>
          <cell r="P114" t="str">
            <v>20001001</v>
          </cell>
          <cell r="Q114" t="str">
            <v>20991231</v>
          </cell>
          <cell r="R114" t="str">
            <v>36.51</v>
          </cell>
          <cell r="S114" t="str">
            <v>103.67</v>
          </cell>
        </row>
        <row r="115">
          <cell r="G115">
            <v>889280</v>
          </cell>
          <cell r="H115" t="str">
            <v>889280</v>
          </cell>
          <cell r="I115" t="str">
            <v>S</v>
          </cell>
          <cell r="J115" t="str">
            <v>JPN_CPB</v>
          </cell>
          <cell r="K115" t="str">
            <v>3</v>
          </cell>
          <cell r="L115" t="str">
            <v>FOB</v>
          </cell>
          <cell r="M115" t="str">
            <v xml:space="preserve"> E</v>
          </cell>
          <cell r="N115" t="str">
            <v>EURO</v>
          </cell>
          <cell r="O115">
            <v>37.85</v>
          </cell>
          <cell r="P115" t="str">
            <v>20001001</v>
          </cell>
          <cell r="Q115" t="str">
            <v>20991231</v>
          </cell>
          <cell r="R115" t="str">
            <v>36.51</v>
          </cell>
          <cell r="S115" t="str">
            <v>103.67</v>
          </cell>
        </row>
        <row r="116">
          <cell r="G116">
            <v>889735</v>
          </cell>
          <cell r="H116" t="str">
            <v>889735</v>
          </cell>
          <cell r="I116" t="str">
            <v>S</v>
          </cell>
          <cell r="J116" t="str">
            <v>JPN_CPB</v>
          </cell>
          <cell r="K116" t="str">
            <v>3</v>
          </cell>
          <cell r="L116" t="str">
            <v>FOB</v>
          </cell>
          <cell r="M116" t="str">
            <v xml:space="preserve"> E</v>
          </cell>
          <cell r="N116" t="str">
            <v>EURO</v>
          </cell>
          <cell r="O116">
            <v>198.15</v>
          </cell>
          <cell r="P116" t="str">
            <v>20001001</v>
          </cell>
          <cell r="Q116" t="str">
            <v>20991231</v>
          </cell>
          <cell r="R116" t="str">
            <v>191.15</v>
          </cell>
          <cell r="S116" t="str">
            <v>103.66</v>
          </cell>
        </row>
        <row r="117">
          <cell r="G117">
            <v>887453</v>
          </cell>
          <cell r="H117" t="str">
            <v>887453</v>
          </cell>
          <cell r="I117" t="str">
            <v>S</v>
          </cell>
          <cell r="J117" t="str">
            <v>JPN_CPB</v>
          </cell>
          <cell r="K117" t="str">
            <v>3</v>
          </cell>
          <cell r="L117" t="str">
            <v>FOB</v>
          </cell>
          <cell r="M117" t="str">
            <v xml:space="preserve"> E</v>
          </cell>
          <cell r="N117" t="str">
            <v>EURO</v>
          </cell>
          <cell r="O117">
            <v>33.42</v>
          </cell>
          <cell r="P117" t="str">
            <v>20001001</v>
          </cell>
          <cell r="Q117" t="str">
            <v>20991231</v>
          </cell>
          <cell r="R117" t="str">
            <v>32.24</v>
          </cell>
          <cell r="S117" t="str">
            <v>103.66</v>
          </cell>
        </row>
        <row r="118">
          <cell r="G118">
            <v>887459</v>
          </cell>
          <cell r="H118" t="str">
            <v>887459</v>
          </cell>
          <cell r="I118" t="str">
            <v>S</v>
          </cell>
          <cell r="J118" t="str">
            <v>JPN_CPB</v>
          </cell>
          <cell r="K118" t="str">
            <v>3</v>
          </cell>
          <cell r="L118" t="str">
            <v>FOB</v>
          </cell>
          <cell r="M118" t="str">
            <v xml:space="preserve"> E</v>
          </cell>
          <cell r="N118" t="str">
            <v>EURO</v>
          </cell>
          <cell r="O118">
            <v>113.28</v>
          </cell>
          <cell r="P118" t="str">
            <v>20001001</v>
          </cell>
          <cell r="Q118" t="str">
            <v>20991231</v>
          </cell>
          <cell r="R118" t="str">
            <v>109.28</v>
          </cell>
          <cell r="S118" t="str">
            <v>103.66</v>
          </cell>
        </row>
        <row r="119">
          <cell r="G119">
            <v>887454</v>
          </cell>
          <cell r="H119" t="str">
            <v>887454</v>
          </cell>
          <cell r="I119" t="str">
            <v>S</v>
          </cell>
          <cell r="J119" t="str">
            <v>JPN_CPB</v>
          </cell>
          <cell r="K119" t="str">
            <v>3</v>
          </cell>
          <cell r="L119" t="str">
            <v>FOB</v>
          </cell>
          <cell r="M119" t="str">
            <v xml:space="preserve"> E</v>
          </cell>
          <cell r="N119" t="str">
            <v>EURO</v>
          </cell>
          <cell r="O119">
            <v>33.42</v>
          </cell>
          <cell r="P119" t="str">
            <v>20001001</v>
          </cell>
          <cell r="Q119" t="str">
            <v>20991231</v>
          </cell>
          <cell r="R119" t="str">
            <v>32.24</v>
          </cell>
          <cell r="S119" t="str">
            <v>103.66</v>
          </cell>
        </row>
        <row r="120">
          <cell r="G120">
            <v>887452</v>
          </cell>
          <cell r="H120" t="str">
            <v>887452</v>
          </cell>
          <cell r="I120" t="str">
            <v>S</v>
          </cell>
          <cell r="J120" t="str">
            <v>JPN_CPB</v>
          </cell>
          <cell r="K120" t="str">
            <v>3</v>
          </cell>
          <cell r="L120" t="str">
            <v>FOB</v>
          </cell>
          <cell r="M120" t="str">
            <v xml:space="preserve"> E</v>
          </cell>
          <cell r="N120" t="str">
            <v>EURO</v>
          </cell>
          <cell r="O120">
            <v>33.42</v>
          </cell>
          <cell r="P120" t="str">
            <v>20001001</v>
          </cell>
          <cell r="Q120" t="str">
            <v>20991231</v>
          </cell>
          <cell r="R120" t="str">
            <v>32.24</v>
          </cell>
          <cell r="S120" t="str">
            <v>103.66</v>
          </cell>
        </row>
        <row r="121">
          <cell r="G121">
            <v>887405</v>
          </cell>
          <cell r="H121" t="str">
            <v>887405</v>
          </cell>
          <cell r="I121" t="str">
            <v>S</v>
          </cell>
          <cell r="J121" t="str">
            <v>JPN_CPB</v>
          </cell>
          <cell r="K121" t="str">
            <v>3</v>
          </cell>
          <cell r="L121" t="str">
            <v>FOB</v>
          </cell>
          <cell r="M121" t="str">
            <v xml:space="preserve"> E</v>
          </cell>
          <cell r="N121" t="str">
            <v>EURO</v>
          </cell>
          <cell r="O121">
            <v>217.27</v>
          </cell>
          <cell r="P121" t="str">
            <v>20001001</v>
          </cell>
          <cell r="Q121" t="str">
            <v>20991231</v>
          </cell>
          <cell r="R121" t="str">
            <v>209.60</v>
          </cell>
          <cell r="S121" t="str">
            <v>103.66</v>
          </cell>
        </row>
        <row r="122">
          <cell r="G122">
            <v>887447</v>
          </cell>
          <cell r="H122" t="str">
            <v>887447</v>
          </cell>
          <cell r="I122" t="str">
            <v>S</v>
          </cell>
          <cell r="J122" t="str">
            <v>JPN_CPB</v>
          </cell>
          <cell r="K122" t="str">
            <v>3</v>
          </cell>
          <cell r="L122" t="str">
            <v>FOB</v>
          </cell>
          <cell r="M122" t="str">
            <v xml:space="preserve"> E</v>
          </cell>
          <cell r="N122" t="str">
            <v>EURO</v>
          </cell>
          <cell r="O122">
            <v>422.28</v>
          </cell>
          <cell r="P122" t="str">
            <v>20001001</v>
          </cell>
          <cell r="Q122" t="str">
            <v>20991231</v>
          </cell>
          <cell r="R122" t="str">
            <v>407.37</v>
          </cell>
          <cell r="S122" t="str">
            <v>103.66</v>
          </cell>
        </row>
        <row r="123">
          <cell r="G123">
            <v>889341</v>
          </cell>
          <cell r="H123" t="str">
            <v>889341</v>
          </cell>
          <cell r="I123" t="str">
            <v>S</v>
          </cell>
          <cell r="J123" t="str">
            <v>JPN_CPB</v>
          </cell>
          <cell r="K123" t="str">
            <v>3</v>
          </cell>
          <cell r="L123" t="str">
            <v>FOB</v>
          </cell>
          <cell r="M123" t="str">
            <v xml:space="preserve"> E</v>
          </cell>
          <cell r="N123" t="str">
            <v>EURO</v>
          </cell>
          <cell r="O123">
            <v>59.81</v>
          </cell>
          <cell r="P123" t="str">
            <v>20001001</v>
          </cell>
          <cell r="Q123" t="str">
            <v>20991231</v>
          </cell>
          <cell r="R123" t="str">
            <v>57.70</v>
          </cell>
          <cell r="S123" t="str">
            <v>103.66</v>
          </cell>
        </row>
        <row r="124">
          <cell r="G124">
            <v>889744</v>
          </cell>
          <cell r="H124" t="str">
            <v>889744</v>
          </cell>
          <cell r="I124" t="str">
            <v>S</v>
          </cell>
          <cell r="J124" t="str">
            <v>JPN_CPB</v>
          </cell>
          <cell r="K124" t="str">
            <v>3</v>
          </cell>
          <cell r="L124" t="str">
            <v>FOB</v>
          </cell>
          <cell r="M124" t="str">
            <v xml:space="preserve"> E</v>
          </cell>
          <cell r="N124" t="str">
            <v>EURO</v>
          </cell>
          <cell r="O124">
            <v>46.89</v>
          </cell>
          <cell r="P124" t="str">
            <v>20001001</v>
          </cell>
          <cell r="Q124" t="str">
            <v>20991231</v>
          </cell>
          <cell r="R124" t="str">
            <v>45.23</v>
          </cell>
          <cell r="S124" t="str">
            <v>103.67</v>
          </cell>
        </row>
        <row r="125">
          <cell r="G125">
            <v>887487</v>
          </cell>
          <cell r="H125" t="str">
            <v>887487</v>
          </cell>
          <cell r="I125" t="str">
            <v>S</v>
          </cell>
          <cell r="J125" t="str">
            <v>JPN_CPB</v>
          </cell>
          <cell r="K125" t="str">
            <v>3</v>
          </cell>
          <cell r="L125" t="str">
            <v>FOB</v>
          </cell>
          <cell r="M125" t="str">
            <v xml:space="preserve"> E</v>
          </cell>
          <cell r="N125" t="str">
            <v>EURO</v>
          </cell>
          <cell r="O125">
            <v>64.31</v>
          </cell>
          <cell r="P125" t="str">
            <v>20001001</v>
          </cell>
          <cell r="Q125" t="str">
            <v>20991231</v>
          </cell>
          <cell r="R125" t="str">
            <v>62.04</v>
          </cell>
          <cell r="S125" t="str">
            <v>103.66</v>
          </cell>
        </row>
        <row r="126">
          <cell r="G126">
            <v>887485</v>
          </cell>
          <cell r="H126" t="str">
            <v>887485</v>
          </cell>
          <cell r="I126" t="str">
            <v>S</v>
          </cell>
          <cell r="J126" t="str">
            <v>JPN_CPB</v>
          </cell>
          <cell r="K126" t="str">
            <v>3</v>
          </cell>
          <cell r="L126" t="str">
            <v>FOB</v>
          </cell>
          <cell r="M126" t="str">
            <v xml:space="preserve"> E</v>
          </cell>
          <cell r="N126" t="str">
            <v>EURO</v>
          </cell>
          <cell r="O126">
            <v>64.31</v>
          </cell>
          <cell r="P126" t="str">
            <v>20001001</v>
          </cell>
          <cell r="Q126" t="str">
            <v>20991231</v>
          </cell>
          <cell r="R126" t="str">
            <v>62.04</v>
          </cell>
          <cell r="S126" t="str">
            <v>103.66</v>
          </cell>
        </row>
        <row r="127">
          <cell r="G127">
            <v>887483</v>
          </cell>
          <cell r="H127" t="str">
            <v>887483</v>
          </cell>
          <cell r="I127" t="str">
            <v>S</v>
          </cell>
          <cell r="J127" t="str">
            <v>JPN_CPB</v>
          </cell>
          <cell r="K127" t="str">
            <v>3</v>
          </cell>
          <cell r="L127" t="str">
            <v>FOB</v>
          </cell>
          <cell r="M127" t="str">
            <v xml:space="preserve"> E</v>
          </cell>
          <cell r="N127" t="str">
            <v>EURO</v>
          </cell>
          <cell r="O127">
            <v>64.31</v>
          </cell>
          <cell r="P127" t="str">
            <v>20001001</v>
          </cell>
          <cell r="Q127" t="str">
            <v>20991231</v>
          </cell>
          <cell r="R127" t="str">
            <v>62.04</v>
          </cell>
          <cell r="S127" t="str">
            <v>103.66</v>
          </cell>
        </row>
        <row r="128">
          <cell r="G128">
            <v>889544</v>
          </cell>
          <cell r="H128" t="str">
            <v>889544</v>
          </cell>
          <cell r="I128" t="str">
            <v>S</v>
          </cell>
          <cell r="J128" t="str">
            <v>JPN_CPB</v>
          </cell>
          <cell r="K128" t="str">
            <v>3</v>
          </cell>
          <cell r="L128" t="str">
            <v>FOB</v>
          </cell>
          <cell r="M128" t="str">
            <v xml:space="preserve"> E</v>
          </cell>
          <cell r="N128" t="str">
            <v>EURO</v>
          </cell>
          <cell r="O128">
            <v>155.91999999999999</v>
          </cell>
          <cell r="P128" t="str">
            <v>20001001</v>
          </cell>
          <cell r="Q128" t="str">
            <v>20991231</v>
          </cell>
          <cell r="R128" t="str">
            <v>150.41</v>
          </cell>
          <cell r="S128" t="str">
            <v>103.66</v>
          </cell>
        </row>
        <row r="129">
          <cell r="G129">
            <v>894718</v>
          </cell>
          <cell r="H129" t="str">
            <v>894718</v>
          </cell>
          <cell r="I129" t="str">
            <v>S</v>
          </cell>
          <cell r="J129" t="str">
            <v>JPN_CPB</v>
          </cell>
          <cell r="K129" t="str">
            <v>3</v>
          </cell>
          <cell r="L129" t="str">
            <v>FOB</v>
          </cell>
          <cell r="M129" t="str">
            <v xml:space="preserve"> E</v>
          </cell>
          <cell r="N129" t="str">
            <v>EURO</v>
          </cell>
          <cell r="O129">
            <v>203.98</v>
          </cell>
          <cell r="P129" t="str">
            <v>20001001</v>
          </cell>
          <cell r="Q129" t="str">
            <v>20991231</v>
          </cell>
          <cell r="R129" t="str">
            <v>196.78</v>
          </cell>
          <cell r="S129" t="str">
            <v>103.66</v>
          </cell>
        </row>
        <row r="130">
          <cell r="G130">
            <v>894716</v>
          </cell>
          <cell r="H130" t="str">
            <v>894716</v>
          </cell>
          <cell r="I130" t="str">
            <v>S</v>
          </cell>
          <cell r="J130" t="str">
            <v>JPN_CPB</v>
          </cell>
          <cell r="K130" t="str">
            <v>3</v>
          </cell>
          <cell r="L130" t="str">
            <v>FOB</v>
          </cell>
          <cell r="M130" t="str">
            <v xml:space="preserve"> E</v>
          </cell>
          <cell r="N130" t="str">
            <v>EURO</v>
          </cell>
          <cell r="O130">
            <v>203.98</v>
          </cell>
          <cell r="P130" t="str">
            <v>20001001</v>
          </cell>
          <cell r="Q130" t="str">
            <v>20991231</v>
          </cell>
          <cell r="R130" t="str">
            <v>196.78</v>
          </cell>
          <cell r="S130" t="str">
            <v>103.66</v>
          </cell>
        </row>
        <row r="131">
          <cell r="G131">
            <v>665619</v>
          </cell>
          <cell r="H131" t="str">
            <v>665619</v>
          </cell>
          <cell r="I131" t="str">
            <v>S</v>
          </cell>
          <cell r="J131" t="str">
            <v>JPN_CPB</v>
          </cell>
          <cell r="K131" t="str">
            <v>3</v>
          </cell>
          <cell r="L131" t="str">
            <v>FOB</v>
          </cell>
          <cell r="M131" t="str">
            <v xml:space="preserve"> E</v>
          </cell>
          <cell r="N131" t="str">
            <v>EURO</v>
          </cell>
          <cell r="O131">
            <v>21.04</v>
          </cell>
          <cell r="P131" t="str">
            <v>20001001</v>
          </cell>
          <cell r="Q131" t="str">
            <v>20991231</v>
          </cell>
          <cell r="R131" t="str">
            <v>20.30</v>
          </cell>
          <cell r="S131" t="str">
            <v>103.65</v>
          </cell>
        </row>
        <row r="132">
          <cell r="G132">
            <v>587450</v>
          </cell>
          <cell r="H132" t="str">
            <v>587450</v>
          </cell>
          <cell r="I132" t="str">
            <v>S</v>
          </cell>
          <cell r="J132" t="str">
            <v>JPN_CPB</v>
          </cell>
          <cell r="K132" t="str">
            <v>3</v>
          </cell>
          <cell r="L132" t="str">
            <v>FOB</v>
          </cell>
          <cell r="M132" t="str">
            <v xml:space="preserve"> E</v>
          </cell>
          <cell r="N132" t="str">
            <v>EURO</v>
          </cell>
          <cell r="O132">
            <v>29.76</v>
          </cell>
          <cell r="P132" t="str">
            <v>20001001</v>
          </cell>
          <cell r="Q132" t="str">
            <v>20991231</v>
          </cell>
          <cell r="R132" t="str">
            <v>28.71</v>
          </cell>
          <cell r="S132" t="str">
            <v>103.66</v>
          </cell>
        </row>
        <row r="133">
          <cell r="G133">
            <v>889553</v>
          </cell>
          <cell r="H133" t="str">
            <v>889553</v>
          </cell>
          <cell r="I133" t="str">
            <v>S</v>
          </cell>
          <cell r="J133" t="str">
            <v>JPN_CPB</v>
          </cell>
          <cell r="K133" t="str">
            <v>3</v>
          </cell>
          <cell r="L133" t="str">
            <v>FOB</v>
          </cell>
          <cell r="M133" t="str">
            <v xml:space="preserve"> E</v>
          </cell>
          <cell r="N133" t="str">
            <v>EURO</v>
          </cell>
          <cell r="O133">
            <v>27.27</v>
          </cell>
          <cell r="P133" t="str">
            <v>20001001</v>
          </cell>
          <cell r="Q133" t="str">
            <v>20991231</v>
          </cell>
          <cell r="R133" t="str">
            <v>26.31</v>
          </cell>
          <cell r="S133" t="str">
            <v>103.65</v>
          </cell>
        </row>
        <row r="134">
          <cell r="G134">
            <v>887564</v>
          </cell>
          <cell r="H134" t="str">
            <v>887564</v>
          </cell>
          <cell r="I134" t="str">
            <v>S</v>
          </cell>
          <cell r="J134" t="str">
            <v>JPN_CPB</v>
          </cell>
          <cell r="K134" t="str">
            <v>3</v>
          </cell>
          <cell r="L134" t="str">
            <v>FOB</v>
          </cell>
          <cell r="M134" t="str">
            <v xml:space="preserve"> E</v>
          </cell>
          <cell r="N134" t="str">
            <v>EURO</v>
          </cell>
          <cell r="O134">
            <v>27.71</v>
          </cell>
          <cell r="P134" t="str">
            <v>20001001</v>
          </cell>
          <cell r="Q134" t="str">
            <v>20991231</v>
          </cell>
          <cell r="R134" t="str">
            <v>26.73</v>
          </cell>
          <cell r="S134" t="str">
            <v>103.67</v>
          </cell>
        </row>
        <row r="135">
          <cell r="G135">
            <v>887566</v>
          </cell>
          <cell r="H135" t="str">
            <v>887566</v>
          </cell>
          <cell r="I135" t="str">
            <v>S</v>
          </cell>
          <cell r="J135" t="str">
            <v>JPN_CPB</v>
          </cell>
          <cell r="K135" t="str">
            <v>3</v>
          </cell>
          <cell r="L135" t="str">
            <v>FOB</v>
          </cell>
          <cell r="M135" t="str">
            <v xml:space="preserve"> E</v>
          </cell>
          <cell r="N135" t="str">
            <v>EURO</v>
          </cell>
          <cell r="O135">
            <v>57.48</v>
          </cell>
          <cell r="P135" t="str">
            <v>20001001</v>
          </cell>
          <cell r="Q135" t="str">
            <v>20991231</v>
          </cell>
          <cell r="R135" t="str">
            <v>55.45</v>
          </cell>
          <cell r="S135" t="str">
            <v>103.66</v>
          </cell>
        </row>
        <row r="136">
          <cell r="G136">
            <v>886908</v>
          </cell>
          <cell r="H136" t="str">
            <v>886908</v>
          </cell>
          <cell r="I136" t="str">
            <v>S</v>
          </cell>
          <cell r="J136" t="str">
            <v>JPN_CPB</v>
          </cell>
          <cell r="K136" t="str">
            <v>3</v>
          </cell>
          <cell r="L136" t="str">
            <v>FOB</v>
          </cell>
          <cell r="M136" t="str">
            <v xml:space="preserve"> E</v>
          </cell>
          <cell r="N136" t="str">
            <v>EURO</v>
          </cell>
          <cell r="O136">
            <v>25.62</v>
          </cell>
          <cell r="P136" t="str">
            <v>20001001</v>
          </cell>
          <cell r="Q136" t="str">
            <v>20991231</v>
          </cell>
          <cell r="R136" t="str">
            <v>24.72</v>
          </cell>
          <cell r="S136" t="str">
            <v>103.64</v>
          </cell>
        </row>
        <row r="137">
          <cell r="G137">
            <v>887951</v>
          </cell>
          <cell r="H137" t="str">
            <v>887951</v>
          </cell>
          <cell r="I137" t="str">
            <v>S</v>
          </cell>
          <cell r="J137" t="str">
            <v>JPN_CPB</v>
          </cell>
          <cell r="K137" t="str">
            <v>3</v>
          </cell>
          <cell r="L137" t="str">
            <v>FOB</v>
          </cell>
          <cell r="M137" t="str">
            <v xml:space="preserve"> E</v>
          </cell>
          <cell r="N137" t="str">
            <v>EURO</v>
          </cell>
          <cell r="O137">
            <v>71.040000000000006</v>
          </cell>
          <cell r="P137" t="str">
            <v>20001001</v>
          </cell>
          <cell r="Q137" t="str">
            <v>20991231</v>
          </cell>
          <cell r="R137" t="str">
            <v>68.53</v>
          </cell>
          <cell r="S137" t="str">
            <v>103.66</v>
          </cell>
        </row>
        <row r="138">
          <cell r="G138">
            <v>887954</v>
          </cell>
          <cell r="H138" t="str">
            <v>887954</v>
          </cell>
          <cell r="I138" t="str">
            <v>S</v>
          </cell>
          <cell r="J138" t="str">
            <v>JPN_CPB</v>
          </cell>
          <cell r="K138" t="str">
            <v>3</v>
          </cell>
          <cell r="L138" t="str">
            <v>FOB</v>
          </cell>
          <cell r="M138" t="str">
            <v xml:space="preserve"> E</v>
          </cell>
          <cell r="N138" t="str">
            <v>EURO</v>
          </cell>
          <cell r="O138">
            <v>56.82</v>
          </cell>
          <cell r="P138" t="str">
            <v>20001001</v>
          </cell>
          <cell r="Q138" t="str">
            <v>20991231</v>
          </cell>
          <cell r="R138" t="str">
            <v>54.81</v>
          </cell>
          <cell r="S138" t="str">
            <v>103.67</v>
          </cell>
        </row>
        <row r="139">
          <cell r="G139">
            <v>887953</v>
          </cell>
          <cell r="H139" t="str">
            <v>887953</v>
          </cell>
          <cell r="I139" t="str">
            <v>S</v>
          </cell>
          <cell r="J139" t="str">
            <v>JPN_CPB</v>
          </cell>
          <cell r="K139" t="str">
            <v>3</v>
          </cell>
          <cell r="L139" t="str">
            <v>FOB</v>
          </cell>
          <cell r="M139" t="str">
            <v xml:space="preserve"> E</v>
          </cell>
          <cell r="N139" t="str">
            <v>EURO</v>
          </cell>
          <cell r="O139">
            <v>56.82</v>
          </cell>
          <cell r="P139" t="str">
            <v>20001001</v>
          </cell>
          <cell r="Q139" t="str">
            <v>20991231</v>
          </cell>
          <cell r="R139" t="str">
            <v>54.81</v>
          </cell>
          <cell r="S139" t="str">
            <v>103.67</v>
          </cell>
        </row>
        <row r="140">
          <cell r="G140">
            <v>887952</v>
          </cell>
          <cell r="H140" t="str">
            <v>887952</v>
          </cell>
          <cell r="I140" t="str">
            <v>S</v>
          </cell>
          <cell r="J140" t="str">
            <v>JPN_CPB</v>
          </cell>
          <cell r="K140" t="str">
            <v>3</v>
          </cell>
          <cell r="L140" t="str">
            <v>FOB</v>
          </cell>
          <cell r="M140" t="str">
            <v xml:space="preserve"> E</v>
          </cell>
          <cell r="N140" t="str">
            <v>EURO</v>
          </cell>
          <cell r="O140">
            <v>56.82</v>
          </cell>
          <cell r="P140" t="str">
            <v>20001001</v>
          </cell>
          <cell r="Q140" t="str">
            <v>20991231</v>
          </cell>
          <cell r="R140" t="str">
            <v>54.81</v>
          </cell>
          <cell r="S140" t="str">
            <v>103.67</v>
          </cell>
        </row>
        <row r="141">
          <cell r="G141">
            <v>889409</v>
          </cell>
          <cell r="H141" t="str">
            <v>889409</v>
          </cell>
          <cell r="I141" t="str">
            <v>S</v>
          </cell>
          <cell r="J141" t="str">
            <v>JPN_CPB</v>
          </cell>
          <cell r="K141" t="str">
            <v>3</v>
          </cell>
          <cell r="L141" t="str">
            <v>FOB</v>
          </cell>
          <cell r="M141" t="str">
            <v xml:space="preserve"> E</v>
          </cell>
          <cell r="N141" t="str">
            <v>EURO</v>
          </cell>
          <cell r="O141">
            <v>24.63</v>
          </cell>
          <cell r="P141" t="str">
            <v>20001001</v>
          </cell>
          <cell r="Q141" t="str">
            <v>20991231</v>
          </cell>
          <cell r="R141" t="str">
            <v>23.76</v>
          </cell>
          <cell r="S141" t="str">
            <v>103.66</v>
          </cell>
        </row>
        <row r="142">
          <cell r="G142">
            <v>889737</v>
          </cell>
          <cell r="H142" t="str">
            <v>889737</v>
          </cell>
          <cell r="I142" t="str">
            <v>S</v>
          </cell>
          <cell r="J142" t="str">
            <v>JPN_CPB</v>
          </cell>
          <cell r="K142" t="str">
            <v>3</v>
          </cell>
          <cell r="L142" t="str">
            <v>FOB</v>
          </cell>
          <cell r="M142" t="str">
            <v xml:space="preserve"> E</v>
          </cell>
          <cell r="N142" t="str">
            <v>EURO</v>
          </cell>
          <cell r="O142">
            <v>69.28</v>
          </cell>
          <cell r="P142" t="str">
            <v>20001001</v>
          </cell>
          <cell r="Q142" t="str">
            <v>20991231</v>
          </cell>
          <cell r="R142" t="str">
            <v>66.83</v>
          </cell>
          <cell r="S142" t="str">
            <v>103.67</v>
          </cell>
        </row>
        <row r="143">
          <cell r="G143">
            <v>886905</v>
          </cell>
          <cell r="H143" t="str">
            <v>886905</v>
          </cell>
          <cell r="I143" t="str">
            <v>S</v>
          </cell>
          <cell r="J143" t="str">
            <v>JPN_CPB</v>
          </cell>
          <cell r="K143" t="str">
            <v>3</v>
          </cell>
          <cell r="L143" t="str">
            <v>FOB</v>
          </cell>
          <cell r="M143" t="str">
            <v xml:space="preserve"> E</v>
          </cell>
          <cell r="N143" t="str">
            <v>EURO</v>
          </cell>
          <cell r="O143">
            <v>25.62</v>
          </cell>
          <cell r="P143" t="str">
            <v>20001001</v>
          </cell>
          <cell r="Q143" t="str">
            <v>20991231</v>
          </cell>
          <cell r="R143" t="str">
            <v>24.72</v>
          </cell>
          <cell r="S143" t="str">
            <v>103.64</v>
          </cell>
        </row>
        <row r="144">
          <cell r="G144">
            <v>886907</v>
          </cell>
          <cell r="H144" t="str">
            <v>886907</v>
          </cell>
          <cell r="I144" t="str">
            <v>S</v>
          </cell>
          <cell r="J144" t="str">
            <v>JPN_CPB</v>
          </cell>
          <cell r="K144" t="str">
            <v>3</v>
          </cell>
          <cell r="L144" t="str">
            <v>FOB</v>
          </cell>
          <cell r="M144" t="str">
            <v xml:space="preserve"> E</v>
          </cell>
          <cell r="N144" t="str">
            <v>EURO</v>
          </cell>
          <cell r="O144">
            <v>25.62</v>
          </cell>
          <cell r="P144" t="str">
            <v>20001001</v>
          </cell>
          <cell r="Q144" t="str">
            <v>20991231</v>
          </cell>
          <cell r="R144" t="str">
            <v>24.72</v>
          </cell>
          <cell r="S144" t="str">
            <v>103.64</v>
          </cell>
        </row>
        <row r="145">
          <cell r="G145">
            <v>886906</v>
          </cell>
          <cell r="H145" t="str">
            <v>886906</v>
          </cell>
          <cell r="I145" t="str">
            <v>S</v>
          </cell>
          <cell r="J145" t="str">
            <v>JPN_CPB</v>
          </cell>
          <cell r="K145" t="str">
            <v>3</v>
          </cell>
          <cell r="L145" t="str">
            <v>FOB</v>
          </cell>
          <cell r="M145" t="str">
            <v xml:space="preserve"> E</v>
          </cell>
          <cell r="N145" t="str">
            <v>EURO</v>
          </cell>
          <cell r="O145">
            <v>25.62</v>
          </cell>
          <cell r="P145" t="str">
            <v>20001001</v>
          </cell>
          <cell r="Q145" t="str">
            <v>20991231</v>
          </cell>
          <cell r="R145" t="str">
            <v>24.72</v>
          </cell>
          <cell r="S145" t="str">
            <v>103.64</v>
          </cell>
        </row>
        <row r="146">
          <cell r="G146">
            <v>889562</v>
          </cell>
          <cell r="H146" t="str">
            <v>889562</v>
          </cell>
          <cell r="I146" t="str">
            <v>S</v>
          </cell>
          <cell r="J146" t="str">
            <v>JPN_CPB</v>
          </cell>
          <cell r="K146" t="str">
            <v>3</v>
          </cell>
          <cell r="L146" t="str">
            <v>FOB</v>
          </cell>
          <cell r="M146" t="str">
            <v xml:space="preserve"> E</v>
          </cell>
          <cell r="N146" t="str">
            <v>EURO</v>
          </cell>
          <cell r="O146">
            <v>27.27</v>
          </cell>
          <cell r="P146" t="str">
            <v>20001001</v>
          </cell>
          <cell r="Q146" t="str">
            <v>20991231</v>
          </cell>
          <cell r="R146" t="str">
            <v>26.31</v>
          </cell>
          <cell r="S146" t="str">
            <v>103.65</v>
          </cell>
        </row>
        <row r="147">
          <cell r="G147">
            <v>889268</v>
          </cell>
          <cell r="H147" t="str">
            <v>889268</v>
          </cell>
          <cell r="I147" t="str">
            <v>S</v>
          </cell>
          <cell r="J147" t="str">
            <v>JPN_CPB</v>
          </cell>
          <cell r="K147" t="str">
            <v>3</v>
          </cell>
          <cell r="L147" t="str">
            <v>FOB</v>
          </cell>
          <cell r="M147" t="str">
            <v xml:space="preserve"> E</v>
          </cell>
          <cell r="N147" t="str">
            <v>EURO</v>
          </cell>
          <cell r="O147">
            <v>29.33</v>
          </cell>
          <cell r="P147" t="str">
            <v>20001001</v>
          </cell>
          <cell r="Q147" t="str">
            <v>20991231</v>
          </cell>
          <cell r="R147" t="str">
            <v>28.29</v>
          </cell>
          <cell r="S147" t="str">
            <v>103.68</v>
          </cell>
        </row>
        <row r="148">
          <cell r="G148">
            <v>889385</v>
          </cell>
          <cell r="H148" t="str">
            <v>889385</v>
          </cell>
          <cell r="I148" t="str">
            <v>S</v>
          </cell>
          <cell r="J148" t="str">
            <v>JPN_CPB</v>
          </cell>
          <cell r="K148" t="str">
            <v>3</v>
          </cell>
          <cell r="L148" t="str">
            <v>FOB</v>
          </cell>
          <cell r="M148" t="str">
            <v xml:space="preserve"> E</v>
          </cell>
          <cell r="N148" t="str">
            <v>EURO</v>
          </cell>
          <cell r="O148">
            <v>92.8</v>
          </cell>
          <cell r="P148" t="str">
            <v>20001001</v>
          </cell>
          <cell r="Q148" t="str">
            <v>20991231</v>
          </cell>
          <cell r="R148" t="str">
            <v>89.52</v>
          </cell>
          <cell r="S148" t="str">
            <v>103.66</v>
          </cell>
        </row>
        <row r="149">
          <cell r="G149">
            <v>889292</v>
          </cell>
          <cell r="H149" t="str">
            <v>889292</v>
          </cell>
          <cell r="I149" t="str">
            <v>S</v>
          </cell>
          <cell r="J149" t="str">
            <v>JPN_CPB</v>
          </cell>
          <cell r="K149" t="str">
            <v>3</v>
          </cell>
          <cell r="L149" t="str">
            <v>FOB</v>
          </cell>
          <cell r="M149" t="str">
            <v xml:space="preserve"> E</v>
          </cell>
          <cell r="N149" t="str">
            <v>EURO</v>
          </cell>
          <cell r="O149">
            <v>21.22</v>
          </cell>
          <cell r="P149" t="str">
            <v>20001001</v>
          </cell>
          <cell r="Q149" t="str">
            <v>20991231</v>
          </cell>
          <cell r="R149" t="str">
            <v>20.47</v>
          </cell>
          <cell r="S149" t="str">
            <v>103.66</v>
          </cell>
        </row>
        <row r="150">
          <cell r="G150">
            <v>889295</v>
          </cell>
          <cell r="H150" t="str">
            <v>889295</v>
          </cell>
          <cell r="I150" t="str">
            <v>S</v>
          </cell>
          <cell r="J150" t="str">
            <v>JPN_CPB</v>
          </cell>
          <cell r="K150" t="str">
            <v>3</v>
          </cell>
          <cell r="L150" t="str">
            <v>FOB</v>
          </cell>
          <cell r="M150" t="str">
            <v xml:space="preserve"> E</v>
          </cell>
          <cell r="N150" t="str">
            <v>EURO</v>
          </cell>
          <cell r="O150">
            <v>21.22</v>
          </cell>
          <cell r="P150" t="str">
            <v>20001001</v>
          </cell>
          <cell r="Q150" t="str">
            <v>20991231</v>
          </cell>
          <cell r="R150" t="str">
            <v>20.47</v>
          </cell>
          <cell r="S150" t="str">
            <v>103.66</v>
          </cell>
        </row>
        <row r="151">
          <cell r="G151">
            <v>889289</v>
          </cell>
          <cell r="H151" t="str">
            <v>889289</v>
          </cell>
          <cell r="I151" t="str">
            <v>S</v>
          </cell>
          <cell r="J151" t="str">
            <v>JPN_CPB</v>
          </cell>
          <cell r="K151" t="str">
            <v>3</v>
          </cell>
          <cell r="L151" t="str">
            <v>FOB</v>
          </cell>
          <cell r="M151" t="str">
            <v xml:space="preserve"> E</v>
          </cell>
          <cell r="N151" t="str">
            <v>EURO</v>
          </cell>
          <cell r="O151">
            <v>21.22</v>
          </cell>
          <cell r="P151" t="str">
            <v>20001001</v>
          </cell>
          <cell r="Q151" t="str">
            <v>20991231</v>
          </cell>
          <cell r="R151" t="str">
            <v>20.47</v>
          </cell>
          <cell r="S151" t="str">
            <v>103.66</v>
          </cell>
        </row>
        <row r="152">
          <cell r="G152">
            <v>889580</v>
          </cell>
          <cell r="H152" t="str">
            <v>889580</v>
          </cell>
          <cell r="I152" t="str">
            <v>S</v>
          </cell>
          <cell r="J152" t="str">
            <v>JPN_CPB</v>
          </cell>
          <cell r="K152" t="str">
            <v>3</v>
          </cell>
          <cell r="L152" t="str">
            <v>FOB</v>
          </cell>
          <cell r="M152" t="str">
            <v xml:space="preserve"> E</v>
          </cell>
          <cell r="N152" t="str">
            <v>EURO</v>
          </cell>
          <cell r="O152">
            <v>124.3</v>
          </cell>
          <cell r="P152" t="str">
            <v>20001001</v>
          </cell>
          <cell r="Q152" t="str">
            <v>20991231</v>
          </cell>
          <cell r="R152" t="str">
            <v>119.91</v>
          </cell>
          <cell r="S152" t="str">
            <v>103.66</v>
          </cell>
        </row>
        <row r="153">
          <cell r="G153">
            <v>889526</v>
          </cell>
          <cell r="H153" t="str">
            <v>889526</v>
          </cell>
          <cell r="I153" t="str">
            <v>S</v>
          </cell>
          <cell r="J153" t="str">
            <v>JPN_CPB</v>
          </cell>
          <cell r="K153" t="str">
            <v>3</v>
          </cell>
          <cell r="L153" t="str">
            <v>FOB</v>
          </cell>
          <cell r="M153" t="str">
            <v xml:space="preserve"> E</v>
          </cell>
          <cell r="N153" t="str">
            <v>EURO</v>
          </cell>
          <cell r="O153">
            <v>84.16</v>
          </cell>
          <cell r="P153" t="str">
            <v>20001001</v>
          </cell>
          <cell r="Q153" t="str">
            <v>20991231</v>
          </cell>
          <cell r="R153" t="str">
            <v>81.19</v>
          </cell>
          <cell r="S153" t="str">
            <v>103.66</v>
          </cell>
        </row>
        <row r="154">
          <cell r="G154">
            <v>889405</v>
          </cell>
          <cell r="H154" t="str">
            <v>889405</v>
          </cell>
          <cell r="I154" t="str">
            <v>S</v>
          </cell>
          <cell r="J154" t="str">
            <v>JPN_CPB</v>
          </cell>
          <cell r="K154" t="str">
            <v>3</v>
          </cell>
          <cell r="L154" t="str">
            <v>FOB</v>
          </cell>
          <cell r="M154" t="str">
            <v xml:space="preserve"> E</v>
          </cell>
          <cell r="N154" t="str">
            <v>EURO</v>
          </cell>
          <cell r="O154">
            <v>96.49</v>
          </cell>
          <cell r="P154" t="str">
            <v>20001001</v>
          </cell>
          <cell r="Q154" t="str">
            <v>20991231</v>
          </cell>
          <cell r="R154" t="str">
            <v>93.08</v>
          </cell>
          <cell r="S154" t="str">
            <v>103.66</v>
          </cell>
        </row>
        <row r="155">
          <cell r="G155">
            <v>887449</v>
          </cell>
          <cell r="H155" t="str">
            <v>887449</v>
          </cell>
          <cell r="I155" t="str">
            <v>S</v>
          </cell>
          <cell r="J155" t="str">
            <v>JPN_CPB</v>
          </cell>
          <cell r="K155" t="str">
            <v>3</v>
          </cell>
          <cell r="L155" t="str">
            <v>FOB</v>
          </cell>
          <cell r="M155" t="str">
            <v xml:space="preserve"> E</v>
          </cell>
          <cell r="N155" t="str">
            <v>EURO</v>
          </cell>
          <cell r="O155">
            <v>70.87</v>
          </cell>
          <cell r="P155" t="str">
            <v>20001001</v>
          </cell>
          <cell r="Q155" t="str">
            <v>20991231</v>
          </cell>
          <cell r="R155" t="str">
            <v>68.37</v>
          </cell>
          <cell r="S155" t="str">
            <v>103.66</v>
          </cell>
        </row>
        <row r="156">
          <cell r="G156">
            <v>889408</v>
          </cell>
          <cell r="H156" t="str">
            <v>889408</v>
          </cell>
          <cell r="I156" t="str">
            <v>S</v>
          </cell>
          <cell r="J156" t="str">
            <v>JPN_CPB</v>
          </cell>
          <cell r="K156" t="str">
            <v>3</v>
          </cell>
          <cell r="L156" t="str">
            <v>FOB</v>
          </cell>
          <cell r="M156" t="str">
            <v xml:space="preserve"> E</v>
          </cell>
          <cell r="N156" t="str">
            <v>EURO</v>
          </cell>
          <cell r="O156">
            <v>41.35</v>
          </cell>
          <cell r="P156" t="str">
            <v>20001001</v>
          </cell>
          <cell r="Q156" t="str">
            <v>20991231</v>
          </cell>
          <cell r="R156" t="str">
            <v>39.89</v>
          </cell>
          <cell r="S156" t="str">
            <v>103.66</v>
          </cell>
        </row>
        <row r="157">
          <cell r="G157">
            <v>889407</v>
          </cell>
          <cell r="H157" t="str">
            <v>889407</v>
          </cell>
          <cell r="I157" t="str">
            <v>S</v>
          </cell>
          <cell r="J157" t="str">
            <v>JPN_CPB</v>
          </cell>
          <cell r="K157" t="str">
            <v>3</v>
          </cell>
          <cell r="L157" t="str">
            <v>FOB</v>
          </cell>
          <cell r="M157" t="str">
            <v xml:space="preserve"> E</v>
          </cell>
          <cell r="N157" t="str">
            <v>EURO</v>
          </cell>
          <cell r="O157">
            <v>41.35</v>
          </cell>
          <cell r="P157" t="str">
            <v>20001001</v>
          </cell>
          <cell r="Q157" t="str">
            <v>20991231</v>
          </cell>
          <cell r="R157" t="str">
            <v>39.89</v>
          </cell>
          <cell r="S157" t="str">
            <v>103.66</v>
          </cell>
        </row>
        <row r="158">
          <cell r="G158">
            <v>887576</v>
          </cell>
          <cell r="H158" t="str">
            <v>887576</v>
          </cell>
          <cell r="I158" t="str">
            <v>S</v>
          </cell>
          <cell r="J158" t="str">
            <v>JPN_CPB</v>
          </cell>
          <cell r="K158" t="str">
            <v>3</v>
          </cell>
          <cell r="L158" t="str">
            <v>FOB</v>
          </cell>
          <cell r="M158" t="str">
            <v xml:space="preserve"> E</v>
          </cell>
          <cell r="N158" t="str">
            <v>EURO</v>
          </cell>
          <cell r="O158">
            <v>57.46</v>
          </cell>
          <cell r="P158" t="str">
            <v>20001001</v>
          </cell>
          <cell r="Q158" t="str">
            <v>20991231</v>
          </cell>
          <cell r="R158" t="str">
            <v>55.43</v>
          </cell>
          <cell r="S158" t="str">
            <v>103.66</v>
          </cell>
        </row>
        <row r="159">
          <cell r="G159">
            <v>889736</v>
          </cell>
          <cell r="H159" t="str">
            <v>889736</v>
          </cell>
          <cell r="I159" t="str">
            <v>S</v>
          </cell>
          <cell r="J159" t="str">
            <v>JPN_CPB</v>
          </cell>
          <cell r="K159" t="str">
            <v>3</v>
          </cell>
          <cell r="L159" t="str">
            <v>FOB</v>
          </cell>
          <cell r="M159" t="str">
            <v xml:space="preserve"> E</v>
          </cell>
          <cell r="N159" t="str">
            <v>EURO</v>
          </cell>
          <cell r="O159">
            <v>64.84</v>
          </cell>
          <cell r="P159" t="str">
            <v>20001001</v>
          </cell>
          <cell r="Q159" t="str">
            <v>20991231</v>
          </cell>
          <cell r="R159" t="str">
            <v>62.55</v>
          </cell>
          <cell r="S159" t="str">
            <v>103.66</v>
          </cell>
        </row>
        <row r="160">
          <cell r="G160">
            <v>889855</v>
          </cell>
          <cell r="H160" t="str">
            <v>889855</v>
          </cell>
          <cell r="I160" t="str">
            <v>S</v>
          </cell>
          <cell r="J160" t="str">
            <v>JPN_CPB</v>
          </cell>
          <cell r="K160" t="str">
            <v>3</v>
          </cell>
          <cell r="L160" t="str">
            <v>FOB</v>
          </cell>
          <cell r="M160" t="str">
            <v xml:space="preserve"> E</v>
          </cell>
          <cell r="N160" t="str">
            <v>EURO</v>
          </cell>
          <cell r="O160">
            <v>43.56</v>
          </cell>
          <cell r="P160" t="str">
            <v>20001001</v>
          </cell>
          <cell r="Q160" t="str">
            <v>20991231</v>
          </cell>
          <cell r="R160" t="str">
            <v>42.02</v>
          </cell>
          <cell r="S160" t="str">
            <v>103.66</v>
          </cell>
        </row>
        <row r="161">
          <cell r="G161">
            <v>887637</v>
          </cell>
          <cell r="H161" t="str">
            <v>887637</v>
          </cell>
          <cell r="I161" t="str">
            <v>S</v>
          </cell>
          <cell r="J161" t="str">
            <v>JPN_CPB</v>
          </cell>
          <cell r="K161" t="str">
            <v>3</v>
          </cell>
          <cell r="L161" t="str">
            <v>FOB</v>
          </cell>
          <cell r="M161" t="str">
            <v xml:space="preserve"> E</v>
          </cell>
          <cell r="N161" t="str">
            <v>EURO</v>
          </cell>
          <cell r="O161">
            <v>210.62</v>
          </cell>
          <cell r="P161" t="str">
            <v>20001001</v>
          </cell>
          <cell r="Q161" t="str">
            <v>20991231</v>
          </cell>
          <cell r="R161" t="str">
            <v>203.18</v>
          </cell>
          <cell r="S161" t="str">
            <v>103.66</v>
          </cell>
        </row>
        <row r="162">
          <cell r="G162">
            <v>889406</v>
          </cell>
          <cell r="H162" t="str">
            <v>889406</v>
          </cell>
          <cell r="I162" t="str">
            <v>S</v>
          </cell>
          <cell r="J162" t="str">
            <v>JPN_CPB</v>
          </cell>
          <cell r="K162" t="str">
            <v>3</v>
          </cell>
          <cell r="L162" t="str">
            <v>FOB</v>
          </cell>
          <cell r="M162" t="str">
            <v xml:space="preserve"> E</v>
          </cell>
          <cell r="N162" t="str">
            <v>EURO</v>
          </cell>
          <cell r="O162">
            <v>41.35</v>
          </cell>
          <cell r="P162" t="str">
            <v>20001001</v>
          </cell>
          <cell r="Q162" t="str">
            <v>20991231</v>
          </cell>
          <cell r="R162" t="str">
            <v>39.89</v>
          </cell>
          <cell r="S162" t="str">
            <v>103.66</v>
          </cell>
        </row>
        <row r="163">
          <cell r="G163">
            <v>887188</v>
          </cell>
          <cell r="H163" t="str">
            <v>887188</v>
          </cell>
          <cell r="I163" t="str">
            <v>S</v>
          </cell>
          <cell r="J163" t="str">
            <v>JPN_CPB</v>
          </cell>
          <cell r="K163" t="str">
            <v>3</v>
          </cell>
          <cell r="L163" t="str">
            <v>FOB</v>
          </cell>
          <cell r="M163" t="str">
            <v xml:space="preserve"> E</v>
          </cell>
          <cell r="N163" t="str">
            <v>EURO</v>
          </cell>
          <cell r="O163">
            <v>138.25</v>
          </cell>
          <cell r="P163" t="str">
            <v>20001001</v>
          </cell>
          <cell r="Q163" t="str">
            <v>20991231</v>
          </cell>
          <cell r="R163" t="str">
            <v>133.37</v>
          </cell>
          <cell r="S163" t="str">
            <v>103.66</v>
          </cell>
        </row>
        <row r="164">
          <cell r="G164">
            <v>889386</v>
          </cell>
          <cell r="H164" t="str">
            <v>889386</v>
          </cell>
          <cell r="I164" t="str">
            <v>S</v>
          </cell>
          <cell r="J164" t="str">
            <v>JPN_CPB</v>
          </cell>
          <cell r="K164" t="str">
            <v>3</v>
          </cell>
          <cell r="L164" t="str">
            <v>FOB</v>
          </cell>
          <cell r="M164" t="str">
            <v xml:space="preserve"> E</v>
          </cell>
          <cell r="N164" t="str">
            <v>EURO</v>
          </cell>
          <cell r="O164">
            <v>92.8</v>
          </cell>
          <cell r="P164" t="str">
            <v>20001001</v>
          </cell>
          <cell r="Q164" t="str">
            <v>20991231</v>
          </cell>
          <cell r="R164" t="str">
            <v>89.52</v>
          </cell>
          <cell r="S164" t="str">
            <v>103.66</v>
          </cell>
        </row>
        <row r="165">
          <cell r="G165">
            <v>889387</v>
          </cell>
          <cell r="H165" t="str">
            <v>889387</v>
          </cell>
          <cell r="I165" t="str">
            <v>S</v>
          </cell>
          <cell r="J165" t="str">
            <v>JPN_CPB</v>
          </cell>
          <cell r="K165" t="str">
            <v>3</v>
          </cell>
          <cell r="L165" t="str">
            <v>FOB</v>
          </cell>
          <cell r="M165" t="str">
            <v xml:space="preserve"> E</v>
          </cell>
          <cell r="N165" t="str">
            <v>EURO</v>
          </cell>
          <cell r="O165">
            <v>92.8</v>
          </cell>
          <cell r="P165" t="str">
            <v>20001001</v>
          </cell>
          <cell r="Q165" t="str">
            <v>20991231</v>
          </cell>
          <cell r="R165" t="str">
            <v>89.52</v>
          </cell>
          <cell r="S165" t="str">
            <v>103.66</v>
          </cell>
        </row>
        <row r="166">
          <cell r="G166">
            <v>887567</v>
          </cell>
          <cell r="H166" t="str">
            <v>887567</v>
          </cell>
          <cell r="I166" t="str">
            <v>S</v>
          </cell>
          <cell r="J166" t="str">
            <v>JPN_CPB</v>
          </cell>
          <cell r="K166" t="str">
            <v>3</v>
          </cell>
          <cell r="L166" t="str">
            <v>FOB</v>
          </cell>
          <cell r="M166" t="str">
            <v xml:space="preserve"> E</v>
          </cell>
          <cell r="N166" t="str">
            <v>EURO</v>
          </cell>
          <cell r="O166">
            <v>57.48</v>
          </cell>
          <cell r="P166" t="str">
            <v>20001001</v>
          </cell>
          <cell r="Q166" t="str">
            <v>20991231</v>
          </cell>
          <cell r="R166" t="str">
            <v>55.45</v>
          </cell>
          <cell r="S166" t="str">
            <v>103.66</v>
          </cell>
        </row>
        <row r="167">
          <cell r="G167">
            <v>887880</v>
          </cell>
          <cell r="H167" t="str">
            <v>887880</v>
          </cell>
          <cell r="I167" t="str">
            <v>S</v>
          </cell>
          <cell r="J167" t="str">
            <v>JPN_CPB</v>
          </cell>
          <cell r="K167" t="str">
            <v>3</v>
          </cell>
          <cell r="L167" t="str">
            <v>FOB</v>
          </cell>
          <cell r="M167" t="str">
            <v xml:space="preserve"> E</v>
          </cell>
          <cell r="N167" t="str">
            <v>EURO</v>
          </cell>
          <cell r="O167">
            <v>20.54</v>
          </cell>
          <cell r="P167" t="str">
            <v>20001001</v>
          </cell>
          <cell r="Q167" t="str">
            <v>20991231</v>
          </cell>
          <cell r="R167" t="str">
            <v>19.81</v>
          </cell>
          <cell r="S167" t="str">
            <v>103.69</v>
          </cell>
        </row>
        <row r="168">
          <cell r="G168">
            <v>887883</v>
          </cell>
          <cell r="H168" t="str">
            <v>887883</v>
          </cell>
          <cell r="I168" t="str">
            <v>S</v>
          </cell>
          <cell r="J168" t="str">
            <v>JPN_CPB</v>
          </cell>
          <cell r="K168" t="str">
            <v>3</v>
          </cell>
          <cell r="L168" t="str">
            <v>FOB</v>
          </cell>
          <cell r="M168" t="str">
            <v xml:space="preserve"> E</v>
          </cell>
          <cell r="N168" t="str">
            <v>EURO</v>
          </cell>
          <cell r="O168">
            <v>34.450000000000003</v>
          </cell>
          <cell r="P168" t="str">
            <v>20001001</v>
          </cell>
          <cell r="Q168" t="str">
            <v>20991231</v>
          </cell>
          <cell r="R168" t="str">
            <v>33.23</v>
          </cell>
          <cell r="S168" t="str">
            <v>103.67</v>
          </cell>
        </row>
        <row r="169">
          <cell r="G169">
            <v>887882</v>
          </cell>
          <cell r="H169" t="str">
            <v>887882</v>
          </cell>
          <cell r="I169" t="str">
            <v>S</v>
          </cell>
          <cell r="J169" t="str">
            <v>JPN_CPB</v>
          </cell>
          <cell r="K169" t="str">
            <v>3</v>
          </cell>
          <cell r="L169" t="str">
            <v>FOB</v>
          </cell>
          <cell r="M169" t="str">
            <v xml:space="preserve"> E</v>
          </cell>
          <cell r="N169" t="str">
            <v>EURO</v>
          </cell>
          <cell r="O169">
            <v>34.450000000000003</v>
          </cell>
          <cell r="P169" t="str">
            <v>20001001</v>
          </cell>
          <cell r="Q169" t="str">
            <v>20991231</v>
          </cell>
          <cell r="R169" t="str">
            <v>33.23</v>
          </cell>
          <cell r="S169" t="str">
            <v>103.67</v>
          </cell>
        </row>
        <row r="170">
          <cell r="G170">
            <v>887881</v>
          </cell>
          <cell r="H170" t="str">
            <v>887881</v>
          </cell>
          <cell r="I170" t="str">
            <v>S</v>
          </cell>
          <cell r="J170" t="str">
            <v>JPN_CPB</v>
          </cell>
          <cell r="K170" t="str">
            <v>3</v>
          </cell>
          <cell r="L170" t="str">
            <v>FOB</v>
          </cell>
          <cell r="M170" t="str">
            <v xml:space="preserve"> E</v>
          </cell>
          <cell r="N170" t="str">
            <v>EURO</v>
          </cell>
          <cell r="O170">
            <v>34.450000000000003</v>
          </cell>
          <cell r="P170" t="str">
            <v>20001001</v>
          </cell>
          <cell r="Q170" t="str">
            <v>20991231</v>
          </cell>
          <cell r="R170" t="str">
            <v>33.23</v>
          </cell>
          <cell r="S170" t="str">
            <v>103.67</v>
          </cell>
        </row>
        <row r="171">
          <cell r="G171">
            <v>889559</v>
          </cell>
          <cell r="H171" t="str">
            <v>889559</v>
          </cell>
          <cell r="I171" t="str">
            <v>S</v>
          </cell>
          <cell r="J171" t="str">
            <v>JPN_CPB</v>
          </cell>
          <cell r="K171" t="str">
            <v>3</v>
          </cell>
          <cell r="L171" t="str">
            <v>FOB</v>
          </cell>
          <cell r="M171" t="str">
            <v xml:space="preserve"> E</v>
          </cell>
          <cell r="N171" t="str">
            <v>EURO</v>
          </cell>
          <cell r="O171">
            <v>27.27</v>
          </cell>
          <cell r="P171" t="str">
            <v>20001001</v>
          </cell>
          <cell r="Q171" t="str">
            <v>20991231</v>
          </cell>
          <cell r="R171" t="str">
            <v>26.31</v>
          </cell>
          <cell r="S171" t="str">
            <v>103.65</v>
          </cell>
        </row>
        <row r="172">
          <cell r="G172">
            <v>887565</v>
          </cell>
          <cell r="H172" t="str">
            <v>887565</v>
          </cell>
          <cell r="I172" t="str">
            <v>S</v>
          </cell>
          <cell r="J172" t="str">
            <v>JPN_CPB</v>
          </cell>
          <cell r="K172" t="str">
            <v>3</v>
          </cell>
          <cell r="L172" t="str">
            <v>FOB</v>
          </cell>
          <cell r="M172" t="str">
            <v xml:space="preserve"> E</v>
          </cell>
          <cell r="N172" t="str">
            <v>EURO</v>
          </cell>
          <cell r="O172">
            <v>54.63</v>
          </cell>
          <cell r="P172" t="str">
            <v>20001001</v>
          </cell>
          <cell r="Q172" t="str">
            <v>20991231</v>
          </cell>
          <cell r="R172" t="str">
            <v>52.70</v>
          </cell>
          <cell r="S172" t="str">
            <v>103.66</v>
          </cell>
        </row>
        <row r="173">
          <cell r="G173">
            <v>889881</v>
          </cell>
          <cell r="H173" t="str">
            <v>889881</v>
          </cell>
          <cell r="I173" t="str">
            <v>S</v>
          </cell>
          <cell r="J173" t="str">
            <v>JPN_CPB</v>
          </cell>
          <cell r="K173" t="str">
            <v>3</v>
          </cell>
          <cell r="L173" t="str">
            <v>FOB</v>
          </cell>
          <cell r="M173" t="str">
            <v xml:space="preserve"> E</v>
          </cell>
          <cell r="N173" t="str">
            <v>EURO</v>
          </cell>
          <cell r="O173">
            <v>23.78</v>
          </cell>
          <cell r="P173" t="str">
            <v>20001001</v>
          </cell>
          <cell r="Q173" t="str">
            <v>20991231</v>
          </cell>
          <cell r="R173" t="str">
            <v>22.94</v>
          </cell>
          <cell r="S173" t="str">
            <v>103.66</v>
          </cell>
        </row>
        <row r="174">
          <cell r="G174">
            <v>889880</v>
          </cell>
          <cell r="H174" t="str">
            <v>889880</v>
          </cell>
          <cell r="I174" t="str">
            <v>S</v>
          </cell>
          <cell r="J174" t="str">
            <v>JPN_CPB</v>
          </cell>
          <cell r="K174" t="str">
            <v>3</v>
          </cell>
          <cell r="L174" t="str">
            <v>FOB</v>
          </cell>
          <cell r="M174" t="str">
            <v xml:space="preserve"> E</v>
          </cell>
          <cell r="N174" t="str">
            <v>EURO</v>
          </cell>
          <cell r="O174">
            <v>23.78</v>
          </cell>
          <cell r="P174" t="str">
            <v>20001001</v>
          </cell>
          <cell r="Q174" t="str">
            <v>20991231</v>
          </cell>
          <cell r="R174" t="str">
            <v>22.94</v>
          </cell>
          <cell r="S174" t="str">
            <v>103.66</v>
          </cell>
        </row>
        <row r="175">
          <cell r="G175">
            <v>889759</v>
          </cell>
          <cell r="H175" t="str">
            <v>889759</v>
          </cell>
          <cell r="I175" t="str">
            <v>S</v>
          </cell>
          <cell r="J175" t="str">
            <v>JPN_CPB</v>
          </cell>
          <cell r="K175" t="str">
            <v>3</v>
          </cell>
          <cell r="L175" t="str">
            <v>FOB</v>
          </cell>
          <cell r="M175" t="str">
            <v xml:space="preserve"> E</v>
          </cell>
          <cell r="N175" t="str">
            <v>EURO</v>
          </cell>
          <cell r="O175">
            <v>23.78</v>
          </cell>
          <cell r="P175" t="str">
            <v>20001001</v>
          </cell>
          <cell r="Q175" t="str">
            <v>20991231</v>
          </cell>
          <cell r="R175" t="str">
            <v>22.94</v>
          </cell>
          <cell r="S175" t="str">
            <v>103.66</v>
          </cell>
        </row>
        <row r="176">
          <cell r="G176">
            <v>889762</v>
          </cell>
          <cell r="H176" t="str">
            <v>889762</v>
          </cell>
          <cell r="I176" t="str">
            <v>S</v>
          </cell>
          <cell r="J176" t="str">
            <v>JPN_CPB</v>
          </cell>
          <cell r="K176" t="str">
            <v>3</v>
          </cell>
          <cell r="L176" t="str">
            <v>FOB</v>
          </cell>
          <cell r="M176" t="str">
            <v xml:space="preserve"> E</v>
          </cell>
          <cell r="N176" t="str">
            <v>EURO</v>
          </cell>
          <cell r="O176">
            <v>23.78</v>
          </cell>
          <cell r="P176" t="str">
            <v>20001001</v>
          </cell>
          <cell r="Q176" t="str">
            <v>20991231</v>
          </cell>
          <cell r="R176" t="str">
            <v>22.94</v>
          </cell>
          <cell r="S176" t="str">
            <v>103.66</v>
          </cell>
        </row>
        <row r="177">
          <cell r="G177">
            <v>889761</v>
          </cell>
          <cell r="H177" t="str">
            <v>889761</v>
          </cell>
          <cell r="I177" t="str">
            <v>S</v>
          </cell>
          <cell r="J177" t="str">
            <v>JPN_CPB</v>
          </cell>
          <cell r="K177" t="str">
            <v>3</v>
          </cell>
          <cell r="L177" t="str">
            <v>FOB</v>
          </cell>
          <cell r="M177" t="str">
            <v xml:space="preserve"> E</v>
          </cell>
          <cell r="N177" t="str">
            <v>EURO</v>
          </cell>
          <cell r="O177">
            <v>23.78</v>
          </cell>
          <cell r="P177" t="str">
            <v>20001001</v>
          </cell>
          <cell r="Q177" t="str">
            <v>20991231</v>
          </cell>
          <cell r="R177" t="str">
            <v>22.94</v>
          </cell>
          <cell r="S177" t="str">
            <v>103.66</v>
          </cell>
        </row>
        <row r="178">
          <cell r="G178">
            <v>889760</v>
          </cell>
          <cell r="H178" t="str">
            <v>889760</v>
          </cell>
          <cell r="I178" t="str">
            <v>S</v>
          </cell>
          <cell r="J178" t="str">
            <v>JPN_CPB</v>
          </cell>
          <cell r="K178" t="str">
            <v>3</v>
          </cell>
          <cell r="L178" t="str">
            <v>FOB</v>
          </cell>
          <cell r="M178" t="str">
            <v xml:space="preserve"> E</v>
          </cell>
          <cell r="N178" t="str">
            <v>EURO</v>
          </cell>
          <cell r="O178">
            <v>23.78</v>
          </cell>
          <cell r="P178" t="str">
            <v>20001001</v>
          </cell>
          <cell r="Q178" t="str">
            <v>20991231</v>
          </cell>
          <cell r="R178" t="str">
            <v>22.94</v>
          </cell>
          <cell r="S178" t="str">
            <v>103.66</v>
          </cell>
        </row>
        <row r="179">
          <cell r="G179">
            <v>889882</v>
          </cell>
          <cell r="H179" t="str">
            <v>889882</v>
          </cell>
          <cell r="I179" t="str">
            <v>S</v>
          </cell>
          <cell r="J179" t="str">
            <v>JPN_CPB</v>
          </cell>
          <cell r="K179" t="str">
            <v>3</v>
          </cell>
          <cell r="L179" t="str">
            <v>FOB</v>
          </cell>
          <cell r="M179" t="str">
            <v xml:space="preserve"> E</v>
          </cell>
          <cell r="N179" t="str">
            <v>EURO</v>
          </cell>
          <cell r="O179">
            <v>23.78</v>
          </cell>
          <cell r="P179" t="str">
            <v>20001001</v>
          </cell>
          <cell r="Q179" t="str">
            <v>20991231</v>
          </cell>
          <cell r="R179" t="str">
            <v>22.94</v>
          </cell>
          <cell r="S179" t="str">
            <v>103.66</v>
          </cell>
        </row>
        <row r="180">
          <cell r="G180">
            <v>888010</v>
          </cell>
          <cell r="H180" t="str">
            <v>888010</v>
          </cell>
          <cell r="I180" t="str">
            <v>S</v>
          </cell>
          <cell r="J180" t="str">
            <v>JPN_CPB</v>
          </cell>
          <cell r="K180" t="str">
            <v>3</v>
          </cell>
          <cell r="L180" t="str">
            <v>FOB</v>
          </cell>
          <cell r="M180" t="str">
            <v xml:space="preserve"> E</v>
          </cell>
          <cell r="N180" t="str">
            <v>EURO</v>
          </cell>
          <cell r="O180">
            <v>69.45</v>
          </cell>
          <cell r="P180" t="str">
            <v>20001001</v>
          </cell>
          <cell r="Q180" t="str">
            <v>20991231</v>
          </cell>
          <cell r="R180" t="str">
            <v>67.00</v>
          </cell>
          <cell r="S180" t="str">
            <v>103.66</v>
          </cell>
        </row>
        <row r="181">
          <cell r="G181">
            <v>888002</v>
          </cell>
          <cell r="H181" t="str">
            <v>888002</v>
          </cell>
          <cell r="I181" t="str">
            <v>S</v>
          </cell>
          <cell r="J181" t="str">
            <v>JPN_CPB</v>
          </cell>
          <cell r="K181" t="str">
            <v>3</v>
          </cell>
          <cell r="L181" t="str">
            <v>FOB</v>
          </cell>
          <cell r="M181" t="str">
            <v xml:space="preserve"> E</v>
          </cell>
          <cell r="N181" t="str">
            <v>EURO</v>
          </cell>
          <cell r="O181">
            <v>168.65</v>
          </cell>
          <cell r="P181" t="str">
            <v>20001001</v>
          </cell>
          <cell r="Q181" t="str">
            <v>20991231</v>
          </cell>
          <cell r="R181" t="str">
            <v>162.70</v>
          </cell>
          <cell r="S181" t="str">
            <v>103.66</v>
          </cell>
        </row>
        <row r="182">
          <cell r="G182">
            <v>887733</v>
          </cell>
          <cell r="H182" t="str">
            <v>887733</v>
          </cell>
          <cell r="I182" t="str">
            <v>S</v>
          </cell>
          <cell r="J182" t="str">
            <v>JPN_CPB</v>
          </cell>
          <cell r="K182" t="str">
            <v>3</v>
          </cell>
          <cell r="L182" t="str">
            <v>FOB</v>
          </cell>
          <cell r="M182" t="str">
            <v xml:space="preserve"> E</v>
          </cell>
          <cell r="N182" t="str">
            <v>EURO</v>
          </cell>
          <cell r="O182">
            <v>170.55</v>
          </cell>
          <cell r="P182" t="str">
            <v>20001001</v>
          </cell>
          <cell r="Q182" t="str">
            <v>20991231</v>
          </cell>
          <cell r="R182" t="str">
            <v>164.53</v>
          </cell>
          <cell r="S182" t="str">
            <v>103.66</v>
          </cell>
        </row>
        <row r="183">
          <cell r="G183">
            <v>887748</v>
          </cell>
          <cell r="H183" t="str">
            <v>887748</v>
          </cell>
          <cell r="I183" t="str">
            <v>S</v>
          </cell>
          <cell r="J183" t="str">
            <v>JPN_CPB</v>
          </cell>
          <cell r="K183" t="str">
            <v>3</v>
          </cell>
          <cell r="L183" t="str">
            <v>FOB</v>
          </cell>
          <cell r="M183" t="str">
            <v xml:space="preserve"> E</v>
          </cell>
          <cell r="N183" t="str">
            <v>EURO</v>
          </cell>
          <cell r="O183">
            <v>171.64</v>
          </cell>
          <cell r="P183" t="str">
            <v>20001001</v>
          </cell>
          <cell r="Q183" t="str">
            <v>20991231</v>
          </cell>
          <cell r="R183" t="str">
            <v>165.58</v>
          </cell>
          <cell r="S183" t="str">
            <v>103.66</v>
          </cell>
        </row>
        <row r="184">
          <cell r="G184">
            <v>887797</v>
          </cell>
          <cell r="H184" t="str">
            <v>887797</v>
          </cell>
          <cell r="I184" t="str">
            <v>S</v>
          </cell>
          <cell r="J184" t="str">
            <v>JPN_CPB</v>
          </cell>
          <cell r="K184" t="str">
            <v>3</v>
          </cell>
          <cell r="L184" t="str">
            <v>FOB</v>
          </cell>
          <cell r="M184" t="str">
            <v xml:space="preserve"> E</v>
          </cell>
          <cell r="N184" t="str">
            <v>EURO</v>
          </cell>
          <cell r="O184">
            <v>178.51</v>
          </cell>
          <cell r="P184" t="str">
            <v>20001001</v>
          </cell>
          <cell r="Q184" t="str">
            <v>20991231</v>
          </cell>
          <cell r="R184" t="str">
            <v>172.21</v>
          </cell>
          <cell r="S184" t="str">
            <v>103.66</v>
          </cell>
        </row>
        <row r="185">
          <cell r="G185">
            <v>889556</v>
          </cell>
          <cell r="H185" t="str">
            <v>889556</v>
          </cell>
          <cell r="I185" t="str">
            <v>S</v>
          </cell>
          <cell r="J185" t="str">
            <v>JPN_CPB</v>
          </cell>
          <cell r="K185" t="str">
            <v>3</v>
          </cell>
          <cell r="L185" t="str">
            <v>FOB</v>
          </cell>
          <cell r="M185" t="str">
            <v xml:space="preserve"> E</v>
          </cell>
          <cell r="N185" t="str">
            <v>EURO</v>
          </cell>
          <cell r="O185">
            <v>27.27</v>
          </cell>
          <cell r="P185" t="str">
            <v>20001001</v>
          </cell>
          <cell r="Q185" t="str">
            <v>20991231</v>
          </cell>
          <cell r="R185" t="str">
            <v>26.31</v>
          </cell>
          <cell r="S185" t="str">
            <v>103.65</v>
          </cell>
        </row>
        <row r="186">
          <cell r="G186">
            <v>852103</v>
          </cell>
          <cell r="H186" t="str">
            <v>852103</v>
          </cell>
          <cell r="I186" t="str">
            <v>S</v>
          </cell>
          <cell r="J186" t="str">
            <v>JPN_CPB</v>
          </cell>
          <cell r="K186" t="str">
            <v>3</v>
          </cell>
          <cell r="L186" t="str">
            <v>FOB</v>
          </cell>
          <cell r="M186" t="str">
            <v xml:space="preserve"> E</v>
          </cell>
          <cell r="N186" t="str">
            <v>EURO</v>
          </cell>
          <cell r="O186">
            <v>16.28</v>
          </cell>
          <cell r="P186" t="str">
            <v>20001001</v>
          </cell>
          <cell r="Q186" t="str">
            <v>20991231</v>
          </cell>
          <cell r="R186" t="str">
            <v>15.71</v>
          </cell>
          <cell r="S186" t="str">
            <v>103.63</v>
          </cell>
        </row>
        <row r="187">
          <cell r="G187">
            <v>652104</v>
          </cell>
          <cell r="H187" t="str">
            <v>652104</v>
          </cell>
          <cell r="I187" t="str">
            <v>S</v>
          </cell>
          <cell r="J187" t="str">
            <v>JPN_CPB</v>
          </cell>
          <cell r="K187" t="str">
            <v>3</v>
          </cell>
          <cell r="L187" t="str">
            <v>FOB</v>
          </cell>
          <cell r="M187" t="str">
            <v xml:space="preserve"> E</v>
          </cell>
          <cell r="N187" t="str">
            <v>EURO</v>
          </cell>
          <cell r="O187">
            <v>1.9</v>
          </cell>
          <cell r="P187" t="str">
            <v>20001001</v>
          </cell>
          <cell r="Q187" t="str">
            <v>20991231</v>
          </cell>
          <cell r="R187" t="str">
            <v>1.83</v>
          </cell>
          <cell r="S187" t="str">
            <v>103.83</v>
          </cell>
        </row>
        <row r="188">
          <cell r="G188">
            <v>889782</v>
          </cell>
          <cell r="H188">
            <v>889782</v>
          </cell>
          <cell r="L188" t="str">
            <v>FOB</v>
          </cell>
          <cell r="M188" t="str">
            <v xml:space="preserve"> E</v>
          </cell>
          <cell r="N188" t="str">
            <v>EURO</v>
          </cell>
          <cell r="O188">
            <v>94.81</v>
          </cell>
          <cell r="P188" t="str">
            <v>20001001</v>
          </cell>
          <cell r="Q188" t="str">
            <v>20991231</v>
          </cell>
          <cell r="R188">
            <v>91.46</v>
          </cell>
          <cell r="S188">
            <v>103.66</v>
          </cell>
        </row>
        <row r="189">
          <cell r="G189">
            <v>889878</v>
          </cell>
          <cell r="H189">
            <v>889878</v>
          </cell>
          <cell r="L189" t="str">
            <v>FOB</v>
          </cell>
          <cell r="M189" t="str">
            <v xml:space="preserve"> E</v>
          </cell>
          <cell r="N189" t="str">
            <v>EURO</v>
          </cell>
          <cell r="O189">
            <v>127.72</v>
          </cell>
          <cell r="P189" t="str">
            <v>20001001</v>
          </cell>
          <cell r="Q189" t="str">
            <v>20991231</v>
          </cell>
          <cell r="R189">
            <v>123.21</v>
          </cell>
          <cell r="S189">
            <v>103.66</v>
          </cell>
        </row>
        <row r="190">
          <cell r="G190">
            <v>209890</v>
          </cell>
          <cell r="L190" t="str">
            <v>FOB</v>
          </cell>
          <cell r="N190" t="str">
            <v>EURO</v>
          </cell>
          <cell r="O190">
            <v>88.1</v>
          </cell>
          <cell r="P190" t="str">
            <v>20001001</v>
          </cell>
          <cell r="Q190" t="str">
            <v>20991231</v>
          </cell>
          <cell r="R190">
            <v>84.99</v>
          </cell>
          <cell r="S190">
            <v>103.66</v>
          </cell>
        </row>
        <row r="191">
          <cell r="G191">
            <v>209911</v>
          </cell>
          <cell r="L191" t="str">
            <v>FOB</v>
          </cell>
          <cell r="N191" t="str">
            <v>EURO</v>
          </cell>
          <cell r="O191">
            <v>88.1</v>
          </cell>
          <cell r="P191" t="str">
            <v>20001001</v>
          </cell>
          <cell r="Q191" t="str">
            <v>20991231</v>
          </cell>
          <cell r="R191">
            <v>84.99</v>
          </cell>
          <cell r="S191">
            <v>103.66</v>
          </cell>
        </row>
        <row r="192">
          <cell r="G192">
            <v>430244</v>
          </cell>
          <cell r="L192" t="str">
            <v>FOB</v>
          </cell>
          <cell r="N192" t="str">
            <v>EURO</v>
          </cell>
          <cell r="O192">
            <v>37.47</v>
          </cell>
          <cell r="P192" t="str">
            <v>20001001</v>
          </cell>
          <cell r="Q192" t="str">
            <v>20991231</v>
          </cell>
          <cell r="R192">
            <v>36.15</v>
          </cell>
          <cell r="S192">
            <v>103.66</v>
          </cell>
        </row>
        <row r="193">
          <cell r="G193">
            <v>410423</v>
          </cell>
          <cell r="L193" t="str">
            <v>FOB</v>
          </cell>
          <cell r="N193" t="str">
            <v>EURO</v>
          </cell>
          <cell r="O193">
            <v>105.73</v>
          </cell>
          <cell r="P193" t="str">
            <v>20001001</v>
          </cell>
          <cell r="Q193" t="str">
            <v>20991231</v>
          </cell>
          <cell r="R193">
            <v>102</v>
          </cell>
          <cell r="S193">
            <v>103.66</v>
          </cell>
        </row>
        <row r="194">
          <cell r="G194">
            <v>400441</v>
          </cell>
          <cell r="L194" t="str">
            <v>FOB</v>
          </cell>
          <cell r="N194" t="str">
            <v>EURO</v>
          </cell>
          <cell r="O194">
            <v>148.91</v>
          </cell>
          <cell r="P194" t="str">
            <v>20001001</v>
          </cell>
          <cell r="Q194" t="str">
            <v>20991231</v>
          </cell>
          <cell r="R194">
            <v>143.65</v>
          </cell>
          <cell r="S194">
            <v>103.66</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p-mtp "/>
      <sheetName val="prices"/>
    </sheetNames>
    <sheetDataSet>
      <sheetData sheetId="0" refreshError="1"/>
      <sheetData sheetId="1" refreshError="1">
        <row r="4">
          <cell r="D4">
            <v>401092</v>
          </cell>
          <cell r="E4" t="str">
            <v>EUR</v>
          </cell>
          <cell r="F4">
            <v>43.4</v>
          </cell>
          <cell r="G4">
            <v>43.4</v>
          </cell>
        </row>
        <row r="5">
          <cell r="D5">
            <v>885122</v>
          </cell>
          <cell r="E5" t="str">
            <v>EUR</v>
          </cell>
          <cell r="F5">
            <v>49.59</v>
          </cell>
          <cell r="G5">
            <v>48.55</v>
          </cell>
        </row>
        <row r="6">
          <cell r="D6">
            <v>339588</v>
          </cell>
          <cell r="E6" t="str">
            <v>EUR</v>
          </cell>
          <cell r="F6">
            <v>167.77</v>
          </cell>
          <cell r="G6">
            <v>167.387328</v>
          </cell>
        </row>
        <row r="7">
          <cell r="D7">
            <v>887754</v>
          </cell>
          <cell r="E7" t="str">
            <v>EUR</v>
          </cell>
          <cell r="F7">
            <v>45.55</v>
          </cell>
          <cell r="G7">
            <v>45.282095999999996</v>
          </cell>
        </row>
        <row r="8">
          <cell r="D8">
            <v>887661</v>
          </cell>
          <cell r="E8" t="str">
            <v>EUR</v>
          </cell>
          <cell r="F8">
            <v>28.33</v>
          </cell>
          <cell r="G8">
            <v>27.62</v>
          </cell>
        </row>
        <row r="9">
          <cell r="D9">
            <v>889309</v>
          </cell>
          <cell r="E9" t="str">
            <v>EUR</v>
          </cell>
          <cell r="F9">
            <v>51.87</v>
          </cell>
          <cell r="G9">
            <v>51.87</v>
          </cell>
        </row>
        <row r="10">
          <cell r="D10">
            <v>889776</v>
          </cell>
          <cell r="E10" t="str">
            <v>EUR</v>
          </cell>
          <cell r="F10">
            <v>206.16</v>
          </cell>
          <cell r="G10">
            <v>207.884592</v>
          </cell>
        </row>
        <row r="11">
          <cell r="D11">
            <v>889614</v>
          </cell>
          <cell r="E11" t="str">
            <v>EUR</v>
          </cell>
          <cell r="F11">
            <v>57.52</v>
          </cell>
          <cell r="G11">
            <v>57.182831999999998</v>
          </cell>
        </row>
        <row r="12">
          <cell r="D12">
            <v>887977</v>
          </cell>
          <cell r="E12" t="str">
            <v>EUR</v>
          </cell>
          <cell r="F12">
            <v>74.48</v>
          </cell>
          <cell r="G12">
            <v>76.148352000000003</v>
          </cell>
        </row>
        <row r="13">
          <cell r="D13">
            <v>887620</v>
          </cell>
          <cell r="E13" t="str">
            <v>EUR</v>
          </cell>
          <cell r="F13">
            <v>29.66</v>
          </cell>
          <cell r="G13">
            <v>28.89</v>
          </cell>
        </row>
        <row r="14">
          <cell r="D14">
            <v>889268</v>
          </cell>
          <cell r="E14" t="str">
            <v>EUR</v>
          </cell>
          <cell r="F14">
            <v>40.46</v>
          </cell>
          <cell r="G14">
            <v>40.374575999999998</v>
          </cell>
        </row>
        <row r="15">
          <cell r="D15">
            <v>887612</v>
          </cell>
          <cell r="E15" t="str">
            <v>EUR</v>
          </cell>
          <cell r="F15">
            <v>18.059999999999999</v>
          </cell>
          <cell r="G15">
            <v>18.059999999999999</v>
          </cell>
        </row>
        <row r="16">
          <cell r="D16">
            <v>885137</v>
          </cell>
          <cell r="E16" t="str">
            <v>EUR</v>
          </cell>
          <cell r="F16">
            <v>120.33</v>
          </cell>
          <cell r="G16">
            <v>115.07</v>
          </cell>
        </row>
        <row r="17">
          <cell r="D17">
            <v>885180</v>
          </cell>
          <cell r="E17" t="str">
            <v>EUR</v>
          </cell>
          <cell r="F17">
            <v>120.33</v>
          </cell>
          <cell r="G17">
            <v>120.33</v>
          </cell>
        </row>
        <row r="18">
          <cell r="D18">
            <v>887681</v>
          </cell>
          <cell r="E18" t="str">
            <v>EUR</v>
          </cell>
          <cell r="F18">
            <v>18.059999999999999</v>
          </cell>
          <cell r="G18">
            <v>18.059999999999999</v>
          </cell>
        </row>
        <row r="19">
          <cell r="D19">
            <v>889415</v>
          </cell>
          <cell r="E19" t="str">
            <v>EUR</v>
          </cell>
          <cell r="F19">
            <v>49.19</v>
          </cell>
          <cell r="G19">
            <v>46.44</v>
          </cell>
        </row>
        <row r="20">
          <cell r="D20">
            <v>889411</v>
          </cell>
          <cell r="E20" t="str">
            <v>EUR</v>
          </cell>
          <cell r="F20">
            <v>45.89</v>
          </cell>
          <cell r="G20">
            <v>44.65</v>
          </cell>
        </row>
        <row r="21">
          <cell r="D21">
            <v>887133</v>
          </cell>
          <cell r="E21" t="str">
            <v>EUR</v>
          </cell>
          <cell r="F21">
            <v>53.02</v>
          </cell>
          <cell r="G21">
            <v>53.02</v>
          </cell>
        </row>
        <row r="22">
          <cell r="D22">
            <v>887621</v>
          </cell>
          <cell r="E22" t="str">
            <v>EUR</v>
          </cell>
          <cell r="F22">
            <v>38.47</v>
          </cell>
          <cell r="G22">
            <v>37.700000000000003</v>
          </cell>
        </row>
        <row r="23">
          <cell r="D23">
            <v>887564</v>
          </cell>
          <cell r="E23" t="str">
            <v>EUR</v>
          </cell>
          <cell r="F23">
            <v>36.54</v>
          </cell>
          <cell r="G23">
            <v>36.325871999999997</v>
          </cell>
        </row>
        <row r="24">
          <cell r="D24">
            <v>887610</v>
          </cell>
          <cell r="E24" t="str">
            <v>EUR</v>
          </cell>
          <cell r="F24">
            <v>37.840000000000003</v>
          </cell>
          <cell r="G24">
            <v>37.840000000000003</v>
          </cell>
        </row>
        <row r="25">
          <cell r="D25">
            <v>887704</v>
          </cell>
          <cell r="E25" t="str">
            <v>EUR</v>
          </cell>
          <cell r="F25">
            <v>48.47</v>
          </cell>
          <cell r="G25">
            <v>48.267504000000002</v>
          </cell>
        </row>
        <row r="26">
          <cell r="D26">
            <v>887459</v>
          </cell>
          <cell r="E26" t="str">
            <v>EUR</v>
          </cell>
          <cell r="F26">
            <v>135.91</v>
          </cell>
          <cell r="G26">
            <v>141.41836799999999</v>
          </cell>
        </row>
        <row r="27">
          <cell r="D27">
            <v>887452</v>
          </cell>
          <cell r="E27" t="str">
            <v>EUR</v>
          </cell>
          <cell r="F27">
            <v>39.22</v>
          </cell>
          <cell r="G27">
            <v>40.752863999999995</v>
          </cell>
        </row>
        <row r="28">
          <cell r="D28">
            <v>889490</v>
          </cell>
          <cell r="E28" t="str">
            <v>EUR</v>
          </cell>
          <cell r="F28">
            <v>34.83</v>
          </cell>
          <cell r="G28">
            <v>34.83</v>
          </cell>
        </row>
        <row r="29">
          <cell r="D29">
            <v>887622</v>
          </cell>
          <cell r="E29" t="str">
            <v>EUR</v>
          </cell>
          <cell r="F29">
            <v>35.770000000000003</v>
          </cell>
          <cell r="G29">
            <v>34.89</v>
          </cell>
        </row>
        <row r="30">
          <cell r="D30">
            <v>887655</v>
          </cell>
          <cell r="E30" t="str">
            <v>EUR</v>
          </cell>
          <cell r="F30">
            <v>58.86</v>
          </cell>
          <cell r="G30">
            <v>57.74</v>
          </cell>
        </row>
        <row r="31">
          <cell r="D31">
            <v>887413</v>
          </cell>
          <cell r="E31" t="str">
            <v>EUR</v>
          </cell>
          <cell r="F31">
            <v>256.05</v>
          </cell>
          <cell r="G31">
            <v>261.79574400000001</v>
          </cell>
        </row>
        <row r="32">
          <cell r="D32">
            <v>887616</v>
          </cell>
          <cell r="E32" t="str">
            <v>EUR</v>
          </cell>
          <cell r="F32">
            <v>37.54</v>
          </cell>
          <cell r="G32">
            <v>37.54</v>
          </cell>
        </row>
        <row r="33">
          <cell r="D33">
            <v>889283</v>
          </cell>
          <cell r="E33" t="str">
            <v>EUR</v>
          </cell>
          <cell r="F33">
            <v>44.61</v>
          </cell>
          <cell r="G33">
            <v>45.609263999999996</v>
          </cell>
        </row>
        <row r="34">
          <cell r="D34">
            <v>889280</v>
          </cell>
          <cell r="E34" t="str">
            <v>EUR</v>
          </cell>
          <cell r="F34">
            <v>44.61</v>
          </cell>
          <cell r="G34">
            <v>45.609263999999996</v>
          </cell>
        </row>
        <row r="35">
          <cell r="D35">
            <v>887741</v>
          </cell>
          <cell r="E35" t="str">
            <v>EUR</v>
          </cell>
          <cell r="F35">
            <v>127.91</v>
          </cell>
          <cell r="G35">
            <v>124.67</v>
          </cell>
        </row>
        <row r="36">
          <cell r="D36">
            <v>885190</v>
          </cell>
          <cell r="E36" t="str">
            <v>EUR</v>
          </cell>
          <cell r="F36">
            <v>126.08</v>
          </cell>
          <cell r="G36">
            <v>122.88</v>
          </cell>
        </row>
        <row r="37">
          <cell r="D37">
            <v>887995</v>
          </cell>
          <cell r="E37" t="str">
            <v>EUR</v>
          </cell>
          <cell r="F37">
            <v>131.07</v>
          </cell>
          <cell r="G37">
            <v>131.07</v>
          </cell>
        </row>
        <row r="38">
          <cell r="D38">
            <v>887642</v>
          </cell>
          <cell r="E38" t="str">
            <v>EUR</v>
          </cell>
          <cell r="F38">
            <v>114.8</v>
          </cell>
          <cell r="G38">
            <v>112.28</v>
          </cell>
        </row>
        <row r="39">
          <cell r="D39">
            <v>887576</v>
          </cell>
          <cell r="E39" t="str">
            <v>EUR</v>
          </cell>
          <cell r="F39">
            <v>84.32</v>
          </cell>
          <cell r="G39">
            <v>83.141567999999992</v>
          </cell>
        </row>
        <row r="40">
          <cell r="D40">
            <v>887571</v>
          </cell>
          <cell r="E40" t="str">
            <v>EUR</v>
          </cell>
          <cell r="F40">
            <v>54.42</v>
          </cell>
          <cell r="G40">
            <v>52.99</v>
          </cell>
        </row>
        <row r="41">
          <cell r="D41">
            <v>887656</v>
          </cell>
          <cell r="E41" t="str">
            <v>EUR</v>
          </cell>
          <cell r="F41">
            <v>73.19</v>
          </cell>
          <cell r="G41">
            <v>71.5</v>
          </cell>
        </row>
        <row r="42">
          <cell r="D42">
            <v>887447</v>
          </cell>
          <cell r="E42" t="str">
            <v>EUR</v>
          </cell>
          <cell r="F42">
            <v>523.83000000000004</v>
          </cell>
          <cell r="G42">
            <v>535.56379200000003</v>
          </cell>
        </row>
        <row r="43">
          <cell r="D43">
            <v>889553</v>
          </cell>
          <cell r="E43" t="str">
            <v>EUR</v>
          </cell>
          <cell r="F43">
            <v>50.04</v>
          </cell>
          <cell r="G43">
            <v>47.633616000000004</v>
          </cell>
        </row>
        <row r="44">
          <cell r="D44">
            <v>889562</v>
          </cell>
          <cell r="E44" t="str">
            <v>EUR</v>
          </cell>
          <cell r="F44">
            <v>50.04</v>
          </cell>
          <cell r="G44">
            <v>47.633616000000004</v>
          </cell>
        </row>
        <row r="45">
          <cell r="D45">
            <v>889556</v>
          </cell>
          <cell r="E45" t="str">
            <v>EUR</v>
          </cell>
          <cell r="F45">
            <v>50.04</v>
          </cell>
          <cell r="G45">
            <v>47.633616000000004</v>
          </cell>
        </row>
        <row r="46">
          <cell r="D46">
            <v>889541</v>
          </cell>
          <cell r="E46" t="str">
            <v>EUR</v>
          </cell>
          <cell r="F46">
            <v>193.4</v>
          </cell>
          <cell r="G46">
            <v>197.74238399999999</v>
          </cell>
        </row>
        <row r="47">
          <cell r="D47">
            <v>889550</v>
          </cell>
          <cell r="E47" t="str">
            <v>EUR</v>
          </cell>
          <cell r="F47">
            <v>193.4</v>
          </cell>
          <cell r="G47">
            <v>197.74238399999999</v>
          </cell>
        </row>
        <row r="48">
          <cell r="D48">
            <v>889547</v>
          </cell>
          <cell r="E48" t="str">
            <v>EUR</v>
          </cell>
          <cell r="F48">
            <v>193.4</v>
          </cell>
          <cell r="G48">
            <v>197.74238399999999</v>
          </cell>
        </row>
        <row r="49">
          <cell r="D49">
            <v>889544</v>
          </cell>
          <cell r="E49" t="str">
            <v>EUR</v>
          </cell>
          <cell r="F49">
            <v>193.4</v>
          </cell>
          <cell r="G49">
            <v>197.74238399999999</v>
          </cell>
        </row>
        <row r="50">
          <cell r="D50">
            <v>887188</v>
          </cell>
          <cell r="E50" t="str">
            <v>EUR</v>
          </cell>
          <cell r="F50">
            <v>171.52</v>
          </cell>
          <cell r="G50">
            <v>175.36204800000002</v>
          </cell>
        </row>
        <row r="51">
          <cell r="D51">
            <v>889580</v>
          </cell>
          <cell r="E51" t="str">
            <v>EUR</v>
          </cell>
          <cell r="F51">
            <v>183.67</v>
          </cell>
          <cell r="G51">
            <v>180.85233599999998</v>
          </cell>
        </row>
        <row r="52">
          <cell r="D52">
            <v>887695</v>
          </cell>
          <cell r="E52" t="str">
            <v>EUR</v>
          </cell>
          <cell r="F52">
            <v>287.63</v>
          </cell>
          <cell r="G52">
            <v>267.05</v>
          </cell>
        </row>
        <row r="53">
          <cell r="D53">
            <v>209890</v>
          </cell>
          <cell r="E53" t="str">
            <v>EUR</v>
          </cell>
          <cell r="F53">
            <v>111.98</v>
          </cell>
          <cell r="G53">
            <v>112.09593599999999</v>
          </cell>
        </row>
        <row r="54">
          <cell r="D54">
            <v>400398</v>
          </cell>
          <cell r="E54" t="str">
            <v>EUR</v>
          </cell>
          <cell r="F54">
            <v>58.52</v>
          </cell>
          <cell r="G54">
            <v>58.52</v>
          </cell>
        </row>
        <row r="55">
          <cell r="D55">
            <v>400395</v>
          </cell>
          <cell r="E55" t="str">
            <v>EUR</v>
          </cell>
          <cell r="F55">
            <v>97.72</v>
          </cell>
          <cell r="G55">
            <v>97.72</v>
          </cell>
        </row>
        <row r="56">
          <cell r="D56">
            <v>400321</v>
          </cell>
          <cell r="E56" t="str">
            <v>EUR</v>
          </cell>
          <cell r="F56">
            <v>22.91</v>
          </cell>
          <cell r="G56">
            <v>22.91</v>
          </cell>
        </row>
        <row r="57">
          <cell r="D57">
            <v>400320</v>
          </cell>
          <cell r="E57" t="str">
            <v>EUR</v>
          </cell>
          <cell r="F57">
            <v>131.99</v>
          </cell>
          <cell r="G57">
            <v>131.99</v>
          </cell>
        </row>
        <row r="58">
          <cell r="D58">
            <v>400316</v>
          </cell>
          <cell r="E58" t="str">
            <v>EUR</v>
          </cell>
          <cell r="F58">
            <v>59.89</v>
          </cell>
          <cell r="G58">
            <v>59.89</v>
          </cell>
        </row>
        <row r="59">
          <cell r="D59">
            <v>400317</v>
          </cell>
          <cell r="E59" t="str">
            <v>EUR</v>
          </cell>
          <cell r="F59">
            <v>53.68</v>
          </cell>
          <cell r="G59">
            <v>53.68</v>
          </cell>
        </row>
        <row r="60">
          <cell r="D60">
            <v>400318</v>
          </cell>
          <cell r="E60" t="str">
            <v>EUR</v>
          </cell>
          <cell r="F60">
            <v>53.68</v>
          </cell>
          <cell r="G60">
            <v>53.68</v>
          </cell>
        </row>
        <row r="61">
          <cell r="D61">
            <v>400319</v>
          </cell>
          <cell r="E61" t="str">
            <v>EUR</v>
          </cell>
          <cell r="F61">
            <v>53.68</v>
          </cell>
          <cell r="G61">
            <v>53.68</v>
          </cell>
        </row>
        <row r="62">
          <cell r="D62">
            <v>400322</v>
          </cell>
          <cell r="E62" t="str">
            <v>EUR</v>
          </cell>
          <cell r="F62">
            <v>7.64</v>
          </cell>
          <cell r="G62">
            <v>7.64</v>
          </cell>
        </row>
        <row r="63">
          <cell r="D63">
            <v>400342</v>
          </cell>
          <cell r="E63" t="str">
            <v>EUR</v>
          </cell>
          <cell r="F63">
            <v>17.45</v>
          </cell>
          <cell r="G63">
            <v>17.45</v>
          </cell>
        </row>
        <row r="64">
          <cell r="D64">
            <v>400344</v>
          </cell>
          <cell r="E64" t="str">
            <v>EUR</v>
          </cell>
          <cell r="F64">
            <v>237.24</v>
          </cell>
          <cell r="G64">
            <v>237.24</v>
          </cell>
        </row>
        <row r="65">
          <cell r="D65">
            <v>400338</v>
          </cell>
          <cell r="E65" t="str">
            <v>EUR</v>
          </cell>
          <cell r="F65">
            <v>81</v>
          </cell>
          <cell r="G65">
            <v>81</v>
          </cell>
        </row>
        <row r="66">
          <cell r="D66">
            <v>400339</v>
          </cell>
          <cell r="E66" t="str">
            <v>EUR</v>
          </cell>
          <cell r="F66">
            <v>100</v>
          </cell>
          <cell r="G66">
            <v>100</v>
          </cell>
        </row>
        <row r="67">
          <cell r="D67">
            <v>400340</v>
          </cell>
          <cell r="E67" t="str">
            <v>EUR</v>
          </cell>
          <cell r="F67">
            <v>100</v>
          </cell>
          <cell r="G67">
            <v>100</v>
          </cell>
        </row>
        <row r="68">
          <cell r="D68">
            <v>400341</v>
          </cell>
          <cell r="E68" t="str">
            <v>EUR</v>
          </cell>
          <cell r="F68">
            <v>100</v>
          </cell>
          <cell r="G68">
            <v>100</v>
          </cell>
        </row>
        <row r="69">
          <cell r="D69">
            <v>400343</v>
          </cell>
          <cell r="E69" t="str">
            <v>EUR</v>
          </cell>
          <cell r="F69">
            <v>10.91</v>
          </cell>
          <cell r="G69">
            <v>10.91</v>
          </cell>
        </row>
        <row r="70">
          <cell r="D70">
            <v>889409</v>
          </cell>
          <cell r="E70" t="str">
            <v>EUR</v>
          </cell>
          <cell r="F70">
            <v>30.56</v>
          </cell>
          <cell r="G70">
            <v>31.244543999999998</v>
          </cell>
        </row>
        <row r="71">
          <cell r="D71">
            <v>889455</v>
          </cell>
          <cell r="E71" t="str">
            <v>EUR</v>
          </cell>
          <cell r="F71">
            <v>78.260000000000005</v>
          </cell>
          <cell r="G71">
            <v>78.260000000000005</v>
          </cell>
        </row>
        <row r="72">
          <cell r="D72">
            <v>888002</v>
          </cell>
          <cell r="E72" t="str">
            <v>EUR</v>
          </cell>
          <cell r="F72">
            <v>203.21</v>
          </cell>
          <cell r="G72">
            <v>203.21</v>
          </cell>
        </row>
        <row r="73">
          <cell r="D73">
            <v>885176</v>
          </cell>
          <cell r="E73" t="str">
            <v>EUR</v>
          </cell>
          <cell r="F73">
            <v>77.14</v>
          </cell>
          <cell r="G73">
            <v>77.14</v>
          </cell>
        </row>
        <row r="74">
          <cell r="D74">
            <v>887637</v>
          </cell>
          <cell r="E74" t="str">
            <v>EUR</v>
          </cell>
          <cell r="F74">
            <v>261.76</v>
          </cell>
          <cell r="G74">
            <v>261.11073599999997</v>
          </cell>
        </row>
        <row r="75">
          <cell r="D75">
            <v>889855</v>
          </cell>
          <cell r="E75" t="str">
            <v>EUR</v>
          </cell>
          <cell r="F75">
            <v>53.17</v>
          </cell>
          <cell r="G75">
            <v>53.451071999999996</v>
          </cell>
        </row>
        <row r="76">
          <cell r="D76">
            <v>887733</v>
          </cell>
          <cell r="E76" t="str">
            <v>EUR</v>
          </cell>
          <cell r="F76">
            <v>219.59</v>
          </cell>
          <cell r="G76">
            <v>219.96935999999999</v>
          </cell>
        </row>
        <row r="77">
          <cell r="D77">
            <v>887748</v>
          </cell>
          <cell r="E77" t="str">
            <v>EUR</v>
          </cell>
          <cell r="F77">
            <v>213.22</v>
          </cell>
          <cell r="G77">
            <v>212.74099200000001</v>
          </cell>
        </row>
        <row r="78">
          <cell r="D78">
            <v>885164</v>
          </cell>
          <cell r="E78" t="str">
            <v>EUR</v>
          </cell>
          <cell r="F78">
            <v>321.06</v>
          </cell>
          <cell r="G78">
            <v>337.93</v>
          </cell>
        </row>
        <row r="79">
          <cell r="D79">
            <v>887797</v>
          </cell>
          <cell r="E79" t="str">
            <v>EUR</v>
          </cell>
          <cell r="F79">
            <v>210.38</v>
          </cell>
          <cell r="G79">
            <v>215.10273599999999</v>
          </cell>
        </row>
        <row r="80">
          <cell r="D80">
            <v>886907</v>
          </cell>
          <cell r="E80" t="str">
            <v>EUR</v>
          </cell>
          <cell r="F80">
            <v>30.2</v>
          </cell>
          <cell r="G80">
            <v>30.866256</v>
          </cell>
        </row>
        <row r="81">
          <cell r="D81">
            <v>889759</v>
          </cell>
          <cell r="E81" t="str">
            <v>EUR</v>
          </cell>
          <cell r="F81">
            <v>26.54</v>
          </cell>
          <cell r="G81">
            <v>27.134495999999999</v>
          </cell>
        </row>
        <row r="82">
          <cell r="D82">
            <v>889762</v>
          </cell>
          <cell r="E82" t="str">
            <v>EUR</v>
          </cell>
          <cell r="F82">
            <v>26.54</v>
          </cell>
          <cell r="G82">
            <v>27.134495999999999</v>
          </cell>
        </row>
        <row r="83">
          <cell r="D83">
            <v>889761</v>
          </cell>
          <cell r="E83" t="str">
            <v>EUR</v>
          </cell>
          <cell r="F83">
            <v>26.54</v>
          </cell>
          <cell r="G83">
            <v>27.134495999999999</v>
          </cell>
        </row>
        <row r="84">
          <cell r="D84">
            <v>889760</v>
          </cell>
          <cell r="E84" t="str">
            <v>EUR</v>
          </cell>
          <cell r="F84">
            <v>26.54</v>
          </cell>
          <cell r="G84">
            <v>27.134495999999999</v>
          </cell>
        </row>
        <row r="85">
          <cell r="D85">
            <v>889882</v>
          </cell>
          <cell r="E85" t="str">
            <v>EUR</v>
          </cell>
          <cell r="F85">
            <v>26.54</v>
          </cell>
          <cell r="G85">
            <v>27.134495999999999</v>
          </cell>
        </row>
        <row r="86">
          <cell r="D86">
            <v>889881</v>
          </cell>
          <cell r="E86" t="str">
            <v>EUR</v>
          </cell>
          <cell r="F86">
            <v>26.54</v>
          </cell>
          <cell r="G86">
            <v>27.134495999999999</v>
          </cell>
        </row>
        <row r="87">
          <cell r="D87">
            <v>889880</v>
          </cell>
          <cell r="E87" t="str">
            <v>EUR</v>
          </cell>
          <cell r="F87">
            <v>26.54</v>
          </cell>
          <cell r="G87">
            <v>27.134495999999999</v>
          </cell>
        </row>
        <row r="88">
          <cell r="D88">
            <v>887880</v>
          </cell>
          <cell r="E88" t="str">
            <v>EUR</v>
          </cell>
          <cell r="F88">
            <v>22.92</v>
          </cell>
          <cell r="G88">
            <v>23.433408</v>
          </cell>
        </row>
        <row r="89">
          <cell r="D89">
            <v>887883</v>
          </cell>
          <cell r="E89" t="str">
            <v>EUR</v>
          </cell>
          <cell r="F89">
            <v>57.49</v>
          </cell>
          <cell r="G89">
            <v>58.777776000000003</v>
          </cell>
        </row>
        <row r="90">
          <cell r="D90">
            <v>887882</v>
          </cell>
          <cell r="E90" t="str">
            <v>EUR</v>
          </cell>
          <cell r="F90">
            <v>57.49</v>
          </cell>
          <cell r="G90">
            <v>58.777776000000003</v>
          </cell>
        </row>
        <row r="91">
          <cell r="D91">
            <v>887881</v>
          </cell>
          <cell r="E91" t="str">
            <v>EUR</v>
          </cell>
          <cell r="F91">
            <v>57.49</v>
          </cell>
          <cell r="G91">
            <v>58.777776000000003</v>
          </cell>
        </row>
        <row r="92">
          <cell r="D92">
            <v>887951</v>
          </cell>
          <cell r="E92" t="str">
            <v>EUR</v>
          </cell>
          <cell r="F92">
            <v>79.27</v>
          </cell>
          <cell r="G92">
            <v>81.045648</v>
          </cell>
        </row>
        <row r="93">
          <cell r="D93">
            <v>887954</v>
          </cell>
          <cell r="E93" t="str">
            <v>EUR</v>
          </cell>
          <cell r="F93">
            <v>63.41</v>
          </cell>
          <cell r="G93">
            <v>64.830383999999995</v>
          </cell>
        </row>
        <row r="94">
          <cell r="D94">
            <v>887953</v>
          </cell>
          <cell r="E94" t="str">
            <v>EUR</v>
          </cell>
          <cell r="F94">
            <v>63.41</v>
          </cell>
          <cell r="G94">
            <v>64.830383999999995</v>
          </cell>
        </row>
        <row r="95">
          <cell r="D95">
            <v>887952</v>
          </cell>
          <cell r="E95" t="str">
            <v>EUR</v>
          </cell>
          <cell r="F95">
            <v>63.41</v>
          </cell>
          <cell r="G95">
            <v>64.830383999999995</v>
          </cell>
        </row>
        <row r="96">
          <cell r="D96">
            <v>339032</v>
          </cell>
          <cell r="E96" t="str">
            <v>EUR</v>
          </cell>
          <cell r="F96">
            <v>55.2</v>
          </cell>
          <cell r="G96">
            <v>54.06</v>
          </cell>
        </row>
        <row r="97">
          <cell r="D97">
            <v>430013</v>
          </cell>
          <cell r="E97" t="str">
            <v>EUR</v>
          </cell>
          <cell r="F97">
            <v>18.260000000000002</v>
          </cell>
          <cell r="G97">
            <v>17.850000000000001</v>
          </cell>
        </row>
        <row r="98">
          <cell r="D98">
            <v>430014</v>
          </cell>
          <cell r="E98" t="str">
            <v>EUR</v>
          </cell>
          <cell r="F98">
            <v>22.61</v>
          </cell>
          <cell r="G98">
            <v>22.29</v>
          </cell>
        </row>
        <row r="99">
          <cell r="D99">
            <v>334238</v>
          </cell>
          <cell r="E99" t="str">
            <v>EUR</v>
          </cell>
          <cell r="F99">
            <v>619.11</v>
          </cell>
          <cell r="G99">
            <v>632.08000000000004</v>
          </cell>
        </row>
        <row r="100">
          <cell r="D100">
            <v>339353</v>
          </cell>
          <cell r="E100" t="str">
            <v>EUR</v>
          </cell>
          <cell r="F100">
            <v>769.54</v>
          </cell>
          <cell r="G100">
            <v>791.55</v>
          </cell>
        </row>
        <row r="101">
          <cell r="D101">
            <v>339342</v>
          </cell>
          <cell r="E101" t="str">
            <v>EUR</v>
          </cell>
          <cell r="F101">
            <v>1122.56</v>
          </cell>
          <cell r="G101">
            <v>1106.52</v>
          </cell>
        </row>
        <row r="102">
          <cell r="D102">
            <v>593928</v>
          </cell>
          <cell r="E102" t="str">
            <v>EUR</v>
          </cell>
          <cell r="F102">
            <v>581.70000000000005</v>
          </cell>
          <cell r="G102">
            <v>570.264048</v>
          </cell>
        </row>
        <row r="103">
          <cell r="D103">
            <v>339472</v>
          </cell>
          <cell r="E103" t="str">
            <v>EUR</v>
          </cell>
          <cell r="F103">
            <v>179.99</v>
          </cell>
          <cell r="G103">
            <v>177.42</v>
          </cell>
        </row>
        <row r="104">
          <cell r="D104">
            <v>894716</v>
          </cell>
          <cell r="E104" t="str">
            <v>EUR</v>
          </cell>
          <cell r="F104">
            <v>240.4</v>
          </cell>
          <cell r="G104">
            <v>245.78496000000001</v>
          </cell>
        </row>
        <row r="105">
          <cell r="D105">
            <v>889347</v>
          </cell>
          <cell r="E105" t="str">
            <v>EUR</v>
          </cell>
          <cell r="F105">
            <v>230.83</v>
          </cell>
          <cell r="G105">
            <v>241.74647999999999</v>
          </cell>
        </row>
        <row r="106">
          <cell r="D106">
            <v>339343</v>
          </cell>
          <cell r="E106" t="str">
            <v>EUR</v>
          </cell>
          <cell r="F106">
            <v>325.52999999999997</v>
          </cell>
          <cell r="G106">
            <v>320.61</v>
          </cell>
        </row>
        <row r="107">
          <cell r="D107">
            <v>339344</v>
          </cell>
          <cell r="E107" t="str">
            <v>EUR</v>
          </cell>
          <cell r="F107">
            <v>773.38</v>
          </cell>
          <cell r="G107">
            <v>758.17</v>
          </cell>
        </row>
        <row r="108">
          <cell r="D108">
            <v>920616</v>
          </cell>
          <cell r="E108" t="str">
            <v>EUR</v>
          </cell>
          <cell r="F108">
            <v>149.69</v>
          </cell>
          <cell r="G108">
            <v>145.33000000000001</v>
          </cell>
        </row>
        <row r="109">
          <cell r="D109">
            <v>593901</v>
          </cell>
          <cell r="E109" t="str">
            <v>EUR</v>
          </cell>
          <cell r="F109">
            <v>48.66</v>
          </cell>
          <cell r="G109">
            <v>46.65</v>
          </cell>
        </row>
        <row r="110">
          <cell r="D110">
            <v>430225</v>
          </cell>
          <cell r="E110" t="str">
            <v>EUR</v>
          </cell>
          <cell r="F110">
            <v>41.21</v>
          </cell>
          <cell r="G110">
            <v>42.133104000000003</v>
          </cell>
        </row>
        <row r="111">
          <cell r="D111">
            <v>339481</v>
          </cell>
          <cell r="E111" t="str">
            <v>EUR</v>
          </cell>
          <cell r="F111">
            <v>188.79</v>
          </cell>
          <cell r="G111">
            <v>183.58</v>
          </cell>
        </row>
        <row r="112">
          <cell r="D112">
            <v>889878</v>
          </cell>
          <cell r="E112" t="str">
            <v>EUR</v>
          </cell>
          <cell r="F112">
            <v>150.51</v>
          </cell>
          <cell r="G112">
            <v>151.693488</v>
          </cell>
        </row>
        <row r="113">
          <cell r="D113">
            <v>430159</v>
          </cell>
          <cell r="E113" t="str">
            <v>EUR</v>
          </cell>
          <cell r="F113">
            <v>39.01</v>
          </cell>
          <cell r="G113">
            <v>39.01</v>
          </cell>
        </row>
        <row r="114">
          <cell r="D114">
            <v>887721</v>
          </cell>
          <cell r="E114" t="str">
            <v>EUR</v>
          </cell>
          <cell r="F114">
            <v>194.15</v>
          </cell>
          <cell r="G114">
            <v>194.15</v>
          </cell>
        </row>
        <row r="115">
          <cell r="D115">
            <v>339474</v>
          </cell>
          <cell r="E115" t="str">
            <v>EUR</v>
          </cell>
          <cell r="F115">
            <v>205.79</v>
          </cell>
          <cell r="G115">
            <v>202.85</v>
          </cell>
        </row>
        <row r="116">
          <cell r="D116">
            <v>400323</v>
          </cell>
          <cell r="E116" t="str">
            <v>EUR</v>
          </cell>
          <cell r="F116">
            <v>24</v>
          </cell>
          <cell r="G116">
            <v>24</v>
          </cell>
        </row>
        <row r="117">
          <cell r="D117">
            <v>889782</v>
          </cell>
          <cell r="E117" t="str">
            <v>EUR</v>
          </cell>
          <cell r="F117">
            <v>117.9</v>
          </cell>
          <cell r="G117">
            <v>118.813104</v>
          </cell>
        </row>
        <row r="118">
          <cell r="D118">
            <v>208050</v>
          </cell>
          <cell r="E118" t="str">
            <v>EUR</v>
          </cell>
          <cell r="F118">
            <v>271.20999999999998</v>
          </cell>
          <cell r="G118">
            <v>267.33</v>
          </cell>
        </row>
        <row r="119">
          <cell r="D119">
            <v>889351</v>
          </cell>
          <cell r="E119" t="str">
            <v>EUR</v>
          </cell>
          <cell r="F119">
            <v>135.5</v>
          </cell>
          <cell r="G119">
            <v>138.5352</v>
          </cell>
        </row>
        <row r="120">
          <cell r="D120">
            <v>889015</v>
          </cell>
          <cell r="E120" t="str">
            <v>EUR</v>
          </cell>
          <cell r="F120">
            <v>135.19</v>
          </cell>
          <cell r="G120">
            <v>135.917856</v>
          </cell>
        </row>
        <row r="121">
          <cell r="D121">
            <v>887660</v>
          </cell>
          <cell r="E121" t="str">
            <v>EUR</v>
          </cell>
          <cell r="F121">
            <v>24.82</v>
          </cell>
          <cell r="G121">
            <v>24.24</v>
          </cell>
        </row>
        <row r="122">
          <cell r="D122">
            <v>889260</v>
          </cell>
          <cell r="E122" t="str">
            <v>EUR</v>
          </cell>
          <cell r="F122">
            <v>132.44999999999999</v>
          </cell>
          <cell r="G122">
            <v>131.80780799999999</v>
          </cell>
        </row>
        <row r="123">
          <cell r="D123">
            <v>887659</v>
          </cell>
          <cell r="E123" t="str">
            <v>EUR</v>
          </cell>
          <cell r="F123">
            <v>24.71</v>
          </cell>
          <cell r="G123">
            <v>24.17</v>
          </cell>
        </row>
        <row r="124">
          <cell r="D124">
            <v>887664</v>
          </cell>
          <cell r="E124" t="str">
            <v>EUR</v>
          </cell>
          <cell r="F124">
            <v>27.7</v>
          </cell>
          <cell r="G124">
            <v>26.94</v>
          </cell>
        </row>
        <row r="125">
          <cell r="D125">
            <v>400404</v>
          </cell>
          <cell r="E125" t="str">
            <v>EUR</v>
          </cell>
          <cell r="F125">
            <v>86.87</v>
          </cell>
          <cell r="G125">
            <v>86.87</v>
          </cell>
        </row>
        <row r="126">
          <cell r="D126">
            <v>400401</v>
          </cell>
          <cell r="E126" t="str">
            <v>EUR</v>
          </cell>
          <cell r="F126">
            <v>100.15</v>
          </cell>
          <cell r="G126">
            <v>100.15</v>
          </cell>
        </row>
        <row r="127">
          <cell r="D127">
            <v>209911</v>
          </cell>
          <cell r="E127" t="str">
            <v>EUR</v>
          </cell>
          <cell r="F127">
            <v>111.98</v>
          </cell>
          <cell r="G127">
            <v>112.09593599999999</v>
          </cell>
        </row>
        <row r="128">
          <cell r="D128">
            <v>894718</v>
          </cell>
          <cell r="E128" t="str">
            <v>EUR</v>
          </cell>
          <cell r="F128">
            <v>240.4</v>
          </cell>
          <cell r="G128">
            <v>245.78496000000001</v>
          </cell>
        </row>
        <row r="129">
          <cell r="D129">
            <v>887675</v>
          </cell>
          <cell r="E129" t="str">
            <v>EUR</v>
          </cell>
          <cell r="F129">
            <v>223.75</v>
          </cell>
          <cell r="G129">
            <v>228.762</v>
          </cell>
        </row>
        <row r="130">
          <cell r="D130">
            <v>889606</v>
          </cell>
          <cell r="E130" t="str">
            <v>EUR</v>
          </cell>
          <cell r="F130">
            <v>104.48</v>
          </cell>
          <cell r="G130">
            <v>106.820352</v>
          </cell>
        </row>
        <row r="131">
          <cell r="D131">
            <v>889744</v>
          </cell>
          <cell r="E131" t="str">
            <v>EUR</v>
          </cell>
          <cell r="F131">
            <v>55.25</v>
          </cell>
          <cell r="G131">
            <v>56.4876</v>
          </cell>
        </row>
        <row r="132">
          <cell r="D132">
            <v>889405</v>
          </cell>
          <cell r="E132" t="str">
            <v>EUR</v>
          </cell>
          <cell r="F132">
            <v>119.7</v>
          </cell>
          <cell r="G132">
            <v>122.371056</v>
          </cell>
        </row>
        <row r="133">
          <cell r="D133">
            <v>889408</v>
          </cell>
          <cell r="E133" t="str">
            <v>EUR</v>
          </cell>
          <cell r="F133">
            <v>54.79</v>
          </cell>
          <cell r="G133">
            <v>54.350783999999997</v>
          </cell>
        </row>
        <row r="134">
          <cell r="D134">
            <v>889407</v>
          </cell>
          <cell r="E134" t="str">
            <v>EUR</v>
          </cell>
          <cell r="F134">
            <v>54.79</v>
          </cell>
          <cell r="G134">
            <v>54.350783999999997</v>
          </cell>
        </row>
        <row r="135">
          <cell r="D135">
            <v>889406</v>
          </cell>
          <cell r="E135" t="str">
            <v>EUR</v>
          </cell>
          <cell r="F135">
            <v>54.79</v>
          </cell>
          <cell r="G135">
            <v>54.350783999999997</v>
          </cell>
        </row>
        <row r="136">
          <cell r="D136">
            <v>887481</v>
          </cell>
          <cell r="E136" t="str">
            <v>EUR</v>
          </cell>
          <cell r="F136">
            <v>134.29</v>
          </cell>
          <cell r="G136">
            <v>134.29</v>
          </cell>
        </row>
        <row r="137">
          <cell r="D137">
            <v>887487</v>
          </cell>
          <cell r="E137" t="str">
            <v>EUR</v>
          </cell>
          <cell r="F137">
            <v>79.78</v>
          </cell>
          <cell r="G137">
            <v>81.567071999999996</v>
          </cell>
        </row>
        <row r="138">
          <cell r="D138">
            <v>887485</v>
          </cell>
          <cell r="E138" t="str">
            <v>EUR</v>
          </cell>
          <cell r="F138">
            <v>79.78</v>
          </cell>
          <cell r="G138">
            <v>81.567071999999996</v>
          </cell>
        </row>
        <row r="139">
          <cell r="D139">
            <v>887483</v>
          </cell>
          <cell r="E139" t="str">
            <v>EUR</v>
          </cell>
          <cell r="F139">
            <v>79.78</v>
          </cell>
          <cell r="G139">
            <v>81.567071999999996</v>
          </cell>
        </row>
        <row r="140">
          <cell r="D140">
            <v>889526</v>
          </cell>
          <cell r="E140" t="str">
            <v>EUR</v>
          </cell>
          <cell r="F140">
            <v>110</v>
          </cell>
          <cell r="G140">
            <v>109.764864</v>
          </cell>
        </row>
        <row r="141">
          <cell r="D141">
            <v>410423</v>
          </cell>
          <cell r="E141" t="str">
            <v>EUR</v>
          </cell>
          <cell r="F141">
            <v>118.19</v>
          </cell>
          <cell r="G141">
            <v>120.83745599999999</v>
          </cell>
        </row>
        <row r="142">
          <cell r="D142">
            <v>208171</v>
          </cell>
          <cell r="E142" t="str">
            <v>EUR</v>
          </cell>
          <cell r="F142">
            <v>36.89</v>
          </cell>
          <cell r="G142">
            <v>35.006976000000002</v>
          </cell>
        </row>
        <row r="143">
          <cell r="D143">
            <v>208532</v>
          </cell>
          <cell r="E143" t="str">
            <v>EUR</v>
          </cell>
          <cell r="F143">
            <v>22.88</v>
          </cell>
          <cell r="G143">
            <v>22.451903999999999</v>
          </cell>
        </row>
        <row r="144">
          <cell r="D144">
            <v>317927</v>
          </cell>
          <cell r="E144" t="str">
            <v>EUR</v>
          </cell>
          <cell r="F144">
            <v>23.44</v>
          </cell>
          <cell r="G144">
            <v>22.615487999999999</v>
          </cell>
        </row>
        <row r="145">
          <cell r="D145">
            <v>209307</v>
          </cell>
          <cell r="E145" t="str">
            <v>EUR</v>
          </cell>
          <cell r="F145">
            <v>34.17</v>
          </cell>
          <cell r="G145">
            <v>32.727024</v>
          </cell>
        </row>
        <row r="146">
          <cell r="D146">
            <v>410133</v>
          </cell>
          <cell r="E146" t="str">
            <v>EUR</v>
          </cell>
          <cell r="F146">
            <v>23.31</v>
          </cell>
          <cell r="G146">
            <v>24.312671999999999</v>
          </cell>
        </row>
        <row r="147">
          <cell r="D147">
            <v>410597</v>
          </cell>
          <cell r="E147" t="str">
            <v>EUR</v>
          </cell>
          <cell r="F147">
            <v>29.7</v>
          </cell>
          <cell r="G147">
            <v>29.7</v>
          </cell>
        </row>
        <row r="148">
          <cell r="D148">
            <v>885195</v>
          </cell>
          <cell r="E148" t="str">
            <v>EUR</v>
          </cell>
          <cell r="F148">
            <v>141.65</v>
          </cell>
          <cell r="G148">
            <v>141.65</v>
          </cell>
        </row>
        <row r="149">
          <cell r="D149">
            <v>889341</v>
          </cell>
          <cell r="E149" t="str">
            <v>EUR</v>
          </cell>
          <cell r="F149">
            <v>74.2</v>
          </cell>
          <cell r="G149">
            <v>75.862080000000006</v>
          </cell>
        </row>
        <row r="150">
          <cell r="D150">
            <v>885104</v>
          </cell>
          <cell r="E150" t="str">
            <v>EUR</v>
          </cell>
          <cell r="F150">
            <v>74.22</v>
          </cell>
          <cell r="G150">
            <v>72.16</v>
          </cell>
        </row>
        <row r="151">
          <cell r="D151">
            <v>885109</v>
          </cell>
          <cell r="E151" t="str">
            <v>EUR</v>
          </cell>
          <cell r="F151">
            <v>53.66</v>
          </cell>
          <cell r="G151">
            <v>52.19</v>
          </cell>
        </row>
        <row r="152">
          <cell r="D152">
            <v>885165</v>
          </cell>
          <cell r="E152" t="str">
            <v>EUR</v>
          </cell>
          <cell r="F152">
            <v>50.96</v>
          </cell>
          <cell r="G152">
            <v>53.65</v>
          </cell>
        </row>
        <row r="153">
          <cell r="D153">
            <v>410303</v>
          </cell>
          <cell r="E153" t="str">
            <v>EUR</v>
          </cell>
          <cell r="F153">
            <v>73.709999999999994</v>
          </cell>
          <cell r="G153">
            <v>75.361103999999997</v>
          </cell>
        </row>
        <row r="154">
          <cell r="D154">
            <v>887849</v>
          </cell>
          <cell r="E154" t="str">
            <v>EUR</v>
          </cell>
          <cell r="F154">
            <v>71.36</v>
          </cell>
          <cell r="G154">
            <v>72.968688</v>
          </cell>
        </row>
        <row r="155">
          <cell r="D155">
            <v>887848</v>
          </cell>
          <cell r="E155" t="str">
            <v>EUR</v>
          </cell>
          <cell r="F155">
            <v>71.36</v>
          </cell>
          <cell r="G155">
            <v>72.968688</v>
          </cell>
        </row>
        <row r="156">
          <cell r="D156">
            <v>887845</v>
          </cell>
          <cell r="E156" t="str">
            <v>EUR</v>
          </cell>
          <cell r="F156">
            <v>75.180000000000007</v>
          </cell>
          <cell r="G156">
            <v>76.853808000000001</v>
          </cell>
        </row>
        <row r="157">
          <cell r="D157">
            <v>887847</v>
          </cell>
          <cell r="E157" t="str">
            <v>EUR</v>
          </cell>
          <cell r="F157">
            <v>71.36</v>
          </cell>
          <cell r="G157">
            <v>72.968688</v>
          </cell>
        </row>
        <row r="158">
          <cell r="D158">
            <v>887813</v>
          </cell>
          <cell r="E158" t="str">
            <v>EUR</v>
          </cell>
          <cell r="F158">
            <v>82.65</v>
          </cell>
          <cell r="G158">
            <v>84.501360000000005</v>
          </cell>
        </row>
        <row r="159">
          <cell r="D159">
            <v>887816</v>
          </cell>
          <cell r="E159" t="str">
            <v>EUR</v>
          </cell>
          <cell r="F159">
            <v>91.83</v>
          </cell>
          <cell r="G159">
            <v>93.886991999999992</v>
          </cell>
        </row>
        <row r="160">
          <cell r="D160">
            <v>887815</v>
          </cell>
          <cell r="E160" t="str">
            <v>EUR</v>
          </cell>
          <cell r="F160">
            <v>91.83</v>
          </cell>
          <cell r="G160">
            <v>93.886991999999992</v>
          </cell>
        </row>
        <row r="161">
          <cell r="D161">
            <v>887814</v>
          </cell>
          <cell r="E161" t="str">
            <v>EUR</v>
          </cell>
          <cell r="F161">
            <v>91.83</v>
          </cell>
          <cell r="G161">
            <v>93.886991999999992</v>
          </cell>
        </row>
        <row r="162">
          <cell r="D162">
            <v>887914</v>
          </cell>
          <cell r="E162" t="str">
            <v>EUR</v>
          </cell>
          <cell r="F162">
            <v>49.39</v>
          </cell>
          <cell r="G162">
            <v>50.496335999999999</v>
          </cell>
        </row>
        <row r="163">
          <cell r="D163">
            <v>887933</v>
          </cell>
          <cell r="E163" t="str">
            <v>EUR</v>
          </cell>
          <cell r="F163">
            <v>126.15</v>
          </cell>
          <cell r="G163">
            <v>128.97576000000001</v>
          </cell>
        </row>
        <row r="164">
          <cell r="D164">
            <v>887927</v>
          </cell>
          <cell r="E164" t="str">
            <v>EUR</v>
          </cell>
          <cell r="F164">
            <v>126.15</v>
          </cell>
          <cell r="G164">
            <v>128.97576000000001</v>
          </cell>
        </row>
        <row r="165">
          <cell r="D165">
            <v>887921</v>
          </cell>
          <cell r="E165" t="str">
            <v>EUR</v>
          </cell>
          <cell r="F165">
            <v>126.15</v>
          </cell>
          <cell r="G165">
            <v>128.97576000000001</v>
          </cell>
        </row>
        <row r="166">
          <cell r="D166">
            <v>887890</v>
          </cell>
          <cell r="E166" t="str">
            <v>EUR</v>
          </cell>
          <cell r="F166">
            <v>132.12</v>
          </cell>
          <cell r="G166">
            <v>135.079488</v>
          </cell>
        </row>
        <row r="167">
          <cell r="D167">
            <v>887908</v>
          </cell>
          <cell r="E167" t="str">
            <v>EUR</v>
          </cell>
          <cell r="F167">
            <v>150.13999999999999</v>
          </cell>
          <cell r="G167">
            <v>153.50313599999998</v>
          </cell>
        </row>
        <row r="168">
          <cell r="D168">
            <v>887902</v>
          </cell>
          <cell r="E168" t="str">
            <v>EUR</v>
          </cell>
          <cell r="F168">
            <v>150.13999999999999</v>
          </cell>
          <cell r="G168">
            <v>153.50313599999998</v>
          </cell>
        </row>
        <row r="169">
          <cell r="D169">
            <v>887896</v>
          </cell>
          <cell r="E169" t="str">
            <v>EUR</v>
          </cell>
          <cell r="F169">
            <v>150.13999999999999</v>
          </cell>
          <cell r="G169">
            <v>153.50313599999998</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efreshError="1">
        <row r="1">
          <cell r="F1">
            <v>115</v>
          </cell>
        </row>
      </sheetData>
      <sheetData sheetId="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uestionnaire"/>
      <sheetName val="Equipment Relocation Request"/>
      <sheetName val="Additional Equipment"/>
      <sheetName val="Large Order"/>
      <sheetName val="Side by Side Comp"/>
    </sheetNames>
    <sheetDataSet>
      <sheetData sheetId="0"/>
      <sheetData sheetId="1">
        <row r="3">
          <cell r="V3" t="str">
            <v>EquipmentRelocations@ricoh-usa.com 
or fax to 480-379-8718</v>
          </cell>
          <cell r="W3" t="str">
            <v>RelocationsWest@ricoh-usa.com
or fax to 480-379-8726</v>
          </cell>
        </row>
      </sheetData>
      <sheetData sheetId="2"/>
      <sheetData sheetId="3"/>
      <sheetData sheetId="4"/>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trategy &amp; Structure"/>
      <sheetName val="Channel Selection"/>
      <sheetName val="2. Potential"/>
      <sheetName val="3. Benchmark Prices"/>
      <sheetName val="4. Transfer Prices - RGSE"/>
      <sheetName val="5. Hardware Pricing"/>
      <sheetName val="6. Service Pricing"/>
      <sheetName val="other costs-revenues"/>
    </sheetNames>
    <sheetDataSet>
      <sheetData sheetId="0" refreshError="1"/>
      <sheetData sheetId="1" refreshError="1"/>
      <sheetData sheetId="2">
        <row r="31">
          <cell r="H31">
            <v>1</v>
          </cell>
          <cell r="J31">
            <v>0.3</v>
          </cell>
        </row>
      </sheetData>
      <sheetData sheetId="3"/>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al Overview"/>
      <sheetName val="Global Enduser Workplaces OE"/>
      <sheetName val="Asia Pacific Availability etc"/>
      <sheetName val="China Pricing"/>
      <sheetName val="Jpana Price"/>
      <sheetName val="MALAYSIA &amp; Phillipine Hardware"/>
      <sheetName val="South Korea Pricing"/>
      <sheetName val="MALAYSIA _ Phillipine Hardware"/>
    </sheetNames>
    <sheetDataSet>
      <sheetData sheetId="0" refreshError="1"/>
      <sheetData sheetId="1" refreshError="1"/>
      <sheetData sheetId="2" refreshError="1"/>
      <sheetData sheetId="3" refreshError="1"/>
      <sheetData sheetId="4" refreshError="1"/>
      <sheetData sheetId="5"/>
      <sheetData sheetId="6" refreshError="1"/>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 Recap"/>
      <sheetName val="Pricing 05-31-05"/>
      <sheetName val="Parameters"/>
      <sheetName val="Customer Pricing"/>
    </sheetNames>
    <sheetDataSet>
      <sheetData sheetId="0" refreshError="1"/>
      <sheetData sheetId="1" refreshError="1"/>
      <sheetData sheetId="2" refreshError="1">
        <row r="4">
          <cell r="A4" t="str">
            <v>$ OUT</v>
          </cell>
          <cell r="D4" t="str">
            <v xml:space="preserve">        </v>
          </cell>
          <cell r="E4" t="str">
            <v xml:space="preserve">        </v>
          </cell>
          <cell r="F4" t="str">
            <v xml:space="preserve">        </v>
          </cell>
        </row>
        <row r="5">
          <cell r="A5" t="str">
            <v>10%</v>
          </cell>
          <cell r="B5" t="str">
            <v>Rental 1</v>
          </cell>
          <cell r="C5" t="str">
            <v>NO</v>
          </cell>
          <cell r="D5" t="str">
            <v>YR</v>
          </cell>
          <cell r="E5" t="str">
            <v>ANNUAL</v>
          </cell>
          <cell r="F5" t="str">
            <v>LEASE</v>
          </cell>
          <cell r="J5" t="str">
            <v>TOTAL</v>
          </cell>
        </row>
        <row r="6">
          <cell r="A6" t="str">
            <v>FMV</v>
          </cell>
          <cell r="B6" t="str">
            <v>Rental 2</v>
          </cell>
          <cell r="C6" t="str">
            <v>YES</v>
          </cell>
          <cell r="D6" t="str">
            <v>MTH</v>
          </cell>
          <cell r="E6" t="str">
            <v>MTH</v>
          </cell>
          <cell r="F6" t="str">
            <v>PURCHASE</v>
          </cell>
          <cell r="J6" t="str">
            <v>PRINT: TOTAL</v>
          </cell>
        </row>
        <row r="7">
          <cell r="A7" t="str">
            <v>FMV1</v>
          </cell>
          <cell r="B7" t="str">
            <v>Rental 3</v>
          </cell>
          <cell r="D7" t="str">
            <v>QTR</v>
          </cell>
          <cell r="E7" t="str">
            <v>QTR</v>
          </cell>
          <cell r="J7" t="str">
            <v>COPY: TOTAL</v>
          </cell>
        </row>
        <row r="8">
          <cell r="A8" t="str">
            <v>FMV2</v>
          </cell>
          <cell r="B8" t="str">
            <v>Rental 4</v>
          </cell>
          <cell r="D8" t="str">
            <v>SEMI</v>
          </cell>
          <cell r="E8" t="str">
            <v>SEMI</v>
          </cell>
          <cell r="J8" t="str">
            <v>COPY: COLOR</v>
          </cell>
        </row>
        <row r="9">
          <cell r="A9" t="str">
            <v>FMV3</v>
          </cell>
          <cell r="B9" t="str">
            <v>Rental 5</v>
          </cell>
          <cell r="D9" t="str">
            <v>SINGLE</v>
          </cell>
          <cell r="E9" t="str">
            <v>SINGLE</v>
          </cell>
          <cell r="J9" t="str">
            <v>COPY: B/W</v>
          </cell>
        </row>
        <row r="10">
          <cell r="A10" t="str">
            <v>FMV4</v>
          </cell>
          <cell r="D10" t="str">
            <v>SPECIAL</v>
          </cell>
          <cell r="E10" t="str">
            <v>SPECIAL</v>
          </cell>
          <cell r="J10" t="str">
            <v>PRINT: COLOR</v>
          </cell>
        </row>
        <row r="11">
          <cell r="A11" t="str">
            <v>FLEET5</v>
          </cell>
          <cell r="J11" t="str">
            <v>PRINT: B/W</v>
          </cell>
        </row>
        <row r="12">
          <cell r="A12" t="str">
            <v>FLEET10</v>
          </cell>
          <cell r="J12" t="str">
            <v>TOTAL: COLOR</v>
          </cell>
        </row>
        <row r="13">
          <cell r="A13" t="str">
            <v>FLEET15</v>
          </cell>
          <cell r="J13" t="str">
            <v>TOTAL: B/W</v>
          </cell>
        </row>
        <row r="14">
          <cell r="A14" t="str">
            <v>FLEET20</v>
          </cell>
        </row>
        <row r="15">
          <cell r="A15" t="str">
            <v>FLEET25</v>
          </cell>
        </row>
        <row r="16">
          <cell r="A16" t="str">
            <v>ROLP</v>
          </cell>
        </row>
        <row r="17">
          <cell r="A17" t="str">
            <v>LTOP</v>
          </cell>
        </row>
        <row r="20">
          <cell r="A20" t="str">
            <v>Service - Labor Only</v>
          </cell>
          <cell r="B20" t="str">
            <v>RFG Rental - Standard</v>
          </cell>
          <cell r="C20" t="str">
            <v>1/20 NET 30</v>
          </cell>
          <cell r="D20" t="str">
            <v>NONE</v>
          </cell>
          <cell r="E20" t="str">
            <v>Advanced - External</v>
          </cell>
          <cell r="F20" t="str">
            <v>Advanced</v>
          </cell>
          <cell r="G20" t="str">
            <v>CPC</v>
          </cell>
          <cell r="H20" t="str">
            <v>DAPS</v>
          </cell>
        </row>
        <row r="21">
          <cell r="A21" t="str">
            <v>Service - Basic</v>
          </cell>
          <cell r="B21" t="str">
            <v>RFG Rental - Supply</v>
          </cell>
          <cell r="C21" t="str">
            <v>10% NET 10</v>
          </cell>
          <cell r="D21" t="str">
            <v>FIXED</v>
          </cell>
          <cell r="E21" t="str">
            <v>Advanced - Internal</v>
          </cell>
          <cell r="F21" t="str">
            <v>Arrears</v>
          </cell>
          <cell r="G21" t="str">
            <v>FLAT</v>
          </cell>
          <cell r="H21" t="str">
            <v>DMAP</v>
          </cell>
        </row>
        <row r="22">
          <cell r="A22" t="str">
            <v>Service - Basic Ext</v>
          </cell>
          <cell r="C22" t="str">
            <v>2/10 NET 30</v>
          </cell>
          <cell r="D22" t="str">
            <v>VARIABLE</v>
          </cell>
          <cell r="E22" t="str">
            <v>Arrears - External</v>
          </cell>
          <cell r="G22" t="str">
            <v>CPC Plus Base</v>
          </cell>
          <cell r="H22" t="str">
            <v>DMAP Custom</v>
          </cell>
        </row>
        <row r="23">
          <cell r="A23" t="str">
            <v>Service - Plus</v>
          </cell>
          <cell r="C23" t="str">
            <v>2/15 NET 30</v>
          </cell>
          <cell r="E23" t="str">
            <v>Arrears - Internal</v>
          </cell>
          <cell r="G23" t="str">
            <v>MINIMUM</v>
          </cell>
          <cell r="H23" t="str">
            <v>DMAP Supply</v>
          </cell>
        </row>
        <row r="24">
          <cell r="A24" t="str">
            <v>Service - Plus Ext</v>
          </cell>
          <cell r="C24" t="str">
            <v>3/15 NET 30</v>
          </cell>
          <cell r="H24" t="str">
            <v>Depot Repair</v>
          </cell>
        </row>
        <row r="25">
          <cell r="A25" t="str">
            <v>Service - Developer</v>
          </cell>
          <cell r="C25" t="str">
            <v>5/5,4/15,2/30</v>
          </cell>
          <cell r="H25" t="str">
            <v>Direct Equipment Floor 1</v>
          </cell>
        </row>
        <row r="26">
          <cell r="A26" t="str">
            <v>Service - Developer Ext</v>
          </cell>
          <cell r="C26" t="str">
            <v>6 MONTH PROGRAM</v>
          </cell>
          <cell r="H26" t="str">
            <v>Direct Equipment Floor 2</v>
          </cell>
        </row>
        <row r="27">
          <cell r="A27" t="str">
            <v>Service - Supply</v>
          </cell>
          <cell r="C27" t="str">
            <v>60 DAY PROGRAM</v>
          </cell>
          <cell r="H27" t="str">
            <v>GSA Floor Price</v>
          </cell>
        </row>
        <row r="28">
          <cell r="A28" t="str">
            <v>Service - Supply Ext</v>
          </cell>
          <cell r="C28" t="str">
            <v>90 DAY DEFERRED</v>
          </cell>
          <cell r="H28" t="str">
            <v>Generic</v>
          </cell>
        </row>
        <row r="29">
          <cell r="A29" t="str">
            <v>Service - Supply Plus</v>
          </cell>
          <cell r="C29" t="str">
            <v>90 DAY PROGRAM</v>
          </cell>
          <cell r="H29" t="str">
            <v>IKON-BUYBACK</v>
          </cell>
        </row>
        <row r="30">
          <cell r="A30" t="str">
            <v>Service - Supply Plus Ext</v>
          </cell>
          <cell r="C30" t="str">
            <v>COD-CERTIFIED</v>
          </cell>
          <cell r="H30" t="str">
            <v>IKON-EDI</v>
          </cell>
        </row>
        <row r="31">
          <cell r="A31" t="str">
            <v>NTFSS - Enhanced</v>
          </cell>
          <cell r="C31" t="str">
            <v>COD-COMPANY</v>
          </cell>
          <cell r="H31" t="str">
            <v>National Sales Contract</v>
          </cell>
        </row>
        <row r="32">
          <cell r="A32" t="str">
            <v>NTFSS - Supply Premium</v>
          </cell>
          <cell r="C32" t="str">
            <v>DUE 1, CUT 2</v>
          </cell>
          <cell r="H32" t="str">
            <v>Service Floor 1</v>
          </cell>
        </row>
        <row r="33">
          <cell r="A33" t="str">
            <v>Rental - Standard</v>
          </cell>
          <cell r="C33" t="str">
            <v>DUE 15, CUT 15</v>
          </cell>
          <cell r="H33" t="str">
            <v>Service Floor 2</v>
          </cell>
        </row>
        <row r="34">
          <cell r="A34" t="str">
            <v>Rental - Supply</v>
          </cell>
          <cell r="C34" t="str">
            <v>DUE 7, CUT 7</v>
          </cell>
          <cell r="H34" t="str">
            <v>Suggested Retail Price</v>
          </cell>
        </row>
        <row r="35">
          <cell r="A35" t="str">
            <v>Network - Standard</v>
          </cell>
          <cell r="C35" t="str">
            <v>IMMEDIATE</v>
          </cell>
          <cell r="H35" t="str">
            <v>Wholesale</v>
          </cell>
        </row>
        <row r="36">
          <cell r="A36" t="str">
            <v>Integration - Standard</v>
          </cell>
          <cell r="C36" t="str">
            <v>L-11PMT,5%60</v>
          </cell>
        </row>
        <row r="37">
          <cell r="A37" t="str">
            <v>Software - Standard</v>
          </cell>
          <cell r="C37" t="str">
            <v>L-12PMT</v>
          </cell>
        </row>
        <row r="38">
          <cell r="A38" t="str">
            <v>Consulting Service</v>
          </cell>
          <cell r="C38" t="str">
            <v>L-2%10,N30</v>
          </cell>
        </row>
        <row r="39">
          <cell r="A39" t="str">
            <v>Implementation Service</v>
          </cell>
          <cell r="C39" t="str">
            <v>L-2%30</v>
          </cell>
        </row>
        <row r="40">
          <cell r="A40" t="str">
            <v>Integration Service</v>
          </cell>
          <cell r="C40" t="str">
            <v>L-2%30,N60</v>
          </cell>
        </row>
        <row r="41">
          <cell r="A41" t="str">
            <v>Installation Service</v>
          </cell>
          <cell r="C41" t="str">
            <v>L3%30,N60</v>
          </cell>
        </row>
        <row r="42">
          <cell r="A42" t="str">
            <v>Network Service</v>
          </cell>
          <cell r="C42" t="str">
            <v>L-4PMT30</v>
          </cell>
        </row>
        <row r="43">
          <cell r="A43" t="str">
            <v>Service - Supplies Black Only</v>
          </cell>
          <cell r="C43" t="str">
            <v>L-5%20DAYS</v>
          </cell>
        </row>
        <row r="44">
          <cell r="C44" t="str">
            <v>L-5%30,N31</v>
          </cell>
        </row>
        <row r="45">
          <cell r="C45" t="str">
            <v>L5%60,N75</v>
          </cell>
        </row>
        <row r="46">
          <cell r="C46" t="str">
            <v>L-5%60DAYS</v>
          </cell>
        </row>
        <row r="47">
          <cell r="C47" t="str">
            <v>L5%90,N90</v>
          </cell>
        </row>
        <row r="48">
          <cell r="C48" t="str">
            <v>L-5%CWO</v>
          </cell>
        </row>
        <row r="49">
          <cell r="C49" t="str">
            <v>L-5PMT60</v>
          </cell>
        </row>
        <row r="50">
          <cell r="C50" t="str">
            <v>L-5PMT60,5%60</v>
          </cell>
        </row>
        <row r="51">
          <cell r="C51" t="str">
            <v>L-6%30</v>
          </cell>
        </row>
        <row r="52">
          <cell r="C52" t="str">
            <v>L-8PMT</v>
          </cell>
        </row>
        <row r="53">
          <cell r="C53" t="str">
            <v>L-8PMTorN120</v>
          </cell>
        </row>
        <row r="54">
          <cell r="C54" t="str">
            <v>L-IMMEDIATE</v>
          </cell>
        </row>
        <row r="55">
          <cell r="C55" t="str">
            <v>L-IMMEDIATE-CC</v>
          </cell>
        </row>
        <row r="56">
          <cell r="C56" t="str">
            <v>L-INVFIN</v>
          </cell>
        </row>
        <row r="57">
          <cell r="C57" t="str">
            <v>L-NET 120</v>
          </cell>
        </row>
        <row r="58">
          <cell r="C58" t="str">
            <v>L-NET 15</v>
          </cell>
        </row>
        <row r="59">
          <cell r="C59" t="str">
            <v>L-NET 150</v>
          </cell>
        </row>
        <row r="60">
          <cell r="C60" t="str">
            <v>L-NET 180</v>
          </cell>
        </row>
        <row r="61">
          <cell r="C61" t="str">
            <v>L-NET 30</v>
          </cell>
        </row>
        <row r="62">
          <cell r="C62" t="str">
            <v>L-NET 360</v>
          </cell>
        </row>
        <row r="63">
          <cell r="C63" t="str">
            <v>L-NET 45</v>
          </cell>
        </row>
        <row r="64">
          <cell r="C64" t="str">
            <v>L-NET 90</v>
          </cell>
        </row>
        <row r="65">
          <cell r="C65" t="str">
            <v>L-US POSTAL SVC</v>
          </cell>
        </row>
        <row r="66">
          <cell r="C66" t="str">
            <v>NET 10</v>
          </cell>
        </row>
        <row r="67">
          <cell r="C67" t="str">
            <v>NET 30</v>
          </cell>
        </row>
        <row r="68">
          <cell r="C68" t="str">
            <v>NET 60</v>
          </cell>
        </row>
      </sheetData>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sheet"/>
      <sheetName val="Salesprices"/>
      <sheetName val="UPP0101"/>
      <sheetName val="ruk"/>
      <sheetName val="rdg"/>
      <sheetName val="rfr"/>
      <sheetName val="rit"/>
      <sheetName val="res"/>
      <sheetName val="rnl"/>
      <sheetName val="rbb"/>
      <sheetName val="rpb"/>
      <sheetName val="rau"/>
      <sheetName val="rno"/>
      <sheetName val="rpo"/>
      <sheetName val="rhu"/>
      <sheetName val="1,45%"/>
      <sheetName val="5.72%"/>
      <sheetName val="2.24%"/>
      <sheetName val="1_45_"/>
      <sheetName val="5_72_"/>
      <sheetName val="2_24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
          <cell r="A2">
            <v>207686</v>
          </cell>
          <cell r="B2" t="str">
            <v>EURO</v>
          </cell>
          <cell r="C2">
            <v>20.82</v>
          </cell>
          <cell r="D2" t="str">
            <v>DFL</v>
          </cell>
          <cell r="E2">
            <v>45.88</v>
          </cell>
          <cell r="F2">
            <v>1.0145</v>
          </cell>
        </row>
        <row r="3">
          <cell r="A3">
            <v>207866</v>
          </cell>
          <cell r="B3" t="str">
            <v>EURO</v>
          </cell>
          <cell r="C3">
            <v>21.81</v>
          </cell>
          <cell r="D3" t="str">
            <v>DFL</v>
          </cell>
          <cell r="E3">
            <v>48.06</v>
          </cell>
          <cell r="F3">
            <v>1.0145</v>
          </cell>
        </row>
        <row r="4">
          <cell r="A4">
            <v>207946</v>
          </cell>
          <cell r="B4" t="str">
            <v>EURO</v>
          </cell>
          <cell r="C4">
            <v>19.02</v>
          </cell>
          <cell r="D4" t="str">
            <v>DFL</v>
          </cell>
          <cell r="E4">
            <v>41.91</v>
          </cell>
          <cell r="F4">
            <v>1.0145</v>
          </cell>
        </row>
        <row r="5">
          <cell r="A5">
            <v>208171</v>
          </cell>
          <cell r="B5" t="str">
            <v>EURO</v>
          </cell>
          <cell r="C5">
            <v>16.78</v>
          </cell>
          <cell r="D5" t="str">
            <v>DFL</v>
          </cell>
          <cell r="E5">
            <v>36.979999999999997</v>
          </cell>
          <cell r="F5">
            <v>1.0145</v>
          </cell>
        </row>
        <row r="6">
          <cell r="A6">
            <v>208532</v>
          </cell>
          <cell r="B6" t="str">
            <v>EURO</v>
          </cell>
          <cell r="C6">
            <v>13.42</v>
          </cell>
          <cell r="D6" t="str">
            <v>DFL</v>
          </cell>
          <cell r="E6">
            <v>29.57</v>
          </cell>
          <cell r="F6">
            <v>1.0145</v>
          </cell>
        </row>
        <row r="7">
          <cell r="A7">
            <v>209307</v>
          </cell>
          <cell r="B7" t="str">
            <v>EURO</v>
          </cell>
          <cell r="C7">
            <v>18.32</v>
          </cell>
          <cell r="D7" t="str">
            <v>DFL</v>
          </cell>
          <cell r="E7">
            <v>40.369999999999997</v>
          </cell>
          <cell r="F7">
            <v>1.0145</v>
          </cell>
        </row>
        <row r="8">
          <cell r="A8">
            <v>317927</v>
          </cell>
          <cell r="B8" t="str">
            <v>EURO</v>
          </cell>
          <cell r="C8">
            <v>12.2</v>
          </cell>
          <cell r="D8" t="str">
            <v>DFL</v>
          </cell>
          <cell r="E8">
            <v>26.89</v>
          </cell>
          <cell r="F8">
            <v>1.0145</v>
          </cell>
        </row>
        <row r="9">
          <cell r="A9">
            <v>339588</v>
          </cell>
          <cell r="B9" t="str">
            <v>EURO</v>
          </cell>
          <cell r="C9">
            <v>114.09</v>
          </cell>
          <cell r="D9" t="str">
            <v>DFL</v>
          </cell>
          <cell r="E9">
            <v>251.42</v>
          </cell>
          <cell r="F9">
            <v>1.0145</v>
          </cell>
        </row>
        <row r="10">
          <cell r="A10">
            <v>352820</v>
          </cell>
          <cell r="B10" t="str">
            <v>EURO</v>
          </cell>
          <cell r="C10">
            <v>48.84</v>
          </cell>
          <cell r="D10" t="str">
            <v>DFL</v>
          </cell>
          <cell r="E10">
            <v>107.63</v>
          </cell>
          <cell r="F10">
            <v>1.0145</v>
          </cell>
        </row>
        <row r="11">
          <cell r="A11">
            <v>352822</v>
          </cell>
          <cell r="B11" t="str">
            <v>EURO</v>
          </cell>
          <cell r="C11">
            <v>53.33</v>
          </cell>
          <cell r="D11" t="str">
            <v>DFL</v>
          </cell>
          <cell r="E11">
            <v>117.52</v>
          </cell>
          <cell r="F11">
            <v>1.0145</v>
          </cell>
        </row>
        <row r="12">
          <cell r="A12">
            <v>352823</v>
          </cell>
          <cell r="B12" t="str">
            <v>EURO</v>
          </cell>
          <cell r="C12">
            <v>48.03</v>
          </cell>
          <cell r="D12" t="str">
            <v>DFL</v>
          </cell>
          <cell r="E12">
            <v>105.84</v>
          </cell>
          <cell r="F12">
            <v>1.0145</v>
          </cell>
        </row>
        <row r="13">
          <cell r="A13">
            <v>352900</v>
          </cell>
          <cell r="B13" t="str">
            <v>EURO</v>
          </cell>
          <cell r="C13">
            <v>30.05</v>
          </cell>
          <cell r="D13" t="str">
            <v>DFL</v>
          </cell>
          <cell r="E13">
            <v>66.22</v>
          </cell>
          <cell r="F13">
            <v>1.0145</v>
          </cell>
        </row>
        <row r="14">
          <cell r="A14">
            <v>352903</v>
          </cell>
          <cell r="B14" t="str">
            <v>EURO</v>
          </cell>
          <cell r="C14">
            <v>25.04</v>
          </cell>
          <cell r="D14" t="str">
            <v>DFL</v>
          </cell>
          <cell r="E14">
            <v>55.18</v>
          </cell>
          <cell r="F14">
            <v>1.0145</v>
          </cell>
        </row>
        <row r="15">
          <cell r="A15">
            <v>352912</v>
          </cell>
          <cell r="B15" t="str">
            <v>EURO</v>
          </cell>
          <cell r="C15">
            <v>151.25</v>
          </cell>
          <cell r="D15" t="str">
            <v>DFL</v>
          </cell>
          <cell r="E15">
            <v>333.31</v>
          </cell>
          <cell r="F15">
            <v>1.0145</v>
          </cell>
        </row>
        <row r="16">
          <cell r="A16">
            <v>352913</v>
          </cell>
          <cell r="B16" t="str">
            <v>EURO</v>
          </cell>
          <cell r="C16">
            <v>139.88</v>
          </cell>
          <cell r="D16" t="str">
            <v>DFL</v>
          </cell>
          <cell r="E16">
            <v>308.25</v>
          </cell>
          <cell r="F16">
            <v>1.0145</v>
          </cell>
        </row>
        <row r="17">
          <cell r="A17">
            <v>357126</v>
          </cell>
          <cell r="B17" t="str">
            <v>EURO</v>
          </cell>
          <cell r="C17">
            <v>15.14</v>
          </cell>
          <cell r="D17" t="str">
            <v>DFL</v>
          </cell>
          <cell r="E17">
            <v>33.36</v>
          </cell>
          <cell r="F17">
            <v>1.0145</v>
          </cell>
        </row>
        <row r="18">
          <cell r="A18">
            <v>357136</v>
          </cell>
          <cell r="B18" t="str">
            <v>EURO</v>
          </cell>
          <cell r="C18">
            <v>65.45</v>
          </cell>
          <cell r="D18" t="str">
            <v>DFL</v>
          </cell>
          <cell r="E18">
            <v>144.22999999999999</v>
          </cell>
          <cell r="F18">
            <v>1.0145</v>
          </cell>
        </row>
        <row r="19">
          <cell r="A19">
            <v>357140</v>
          </cell>
          <cell r="B19" t="str">
            <v>EURO</v>
          </cell>
          <cell r="C19">
            <v>69.91</v>
          </cell>
          <cell r="D19" t="str">
            <v>DFL</v>
          </cell>
          <cell r="E19">
            <v>154.06</v>
          </cell>
          <cell r="F19">
            <v>1.0145</v>
          </cell>
        </row>
        <row r="20">
          <cell r="A20">
            <v>357270</v>
          </cell>
          <cell r="B20" t="str">
            <v>EURO</v>
          </cell>
          <cell r="C20">
            <v>65.45</v>
          </cell>
          <cell r="D20" t="str">
            <v>DFL</v>
          </cell>
          <cell r="E20">
            <v>144.22999999999999</v>
          </cell>
          <cell r="F20">
            <v>1.0145</v>
          </cell>
        </row>
        <row r="21">
          <cell r="A21">
            <v>358601</v>
          </cell>
          <cell r="B21" t="str">
            <v>EURO</v>
          </cell>
          <cell r="C21">
            <v>65.16</v>
          </cell>
          <cell r="D21" t="str">
            <v>DFL</v>
          </cell>
          <cell r="E21">
            <v>143.59</v>
          </cell>
          <cell r="F21">
            <v>1.0145</v>
          </cell>
        </row>
        <row r="22">
          <cell r="A22">
            <v>358652</v>
          </cell>
          <cell r="B22" t="str">
            <v>EURO</v>
          </cell>
          <cell r="C22">
            <v>65.45</v>
          </cell>
          <cell r="D22" t="str">
            <v>DFL</v>
          </cell>
          <cell r="E22">
            <v>144.22999999999999</v>
          </cell>
          <cell r="F22">
            <v>1.0145</v>
          </cell>
        </row>
        <row r="23">
          <cell r="A23">
            <v>358800</v>
          </cell>
          <cell r="B23" t="str">
            <v>EURO</v>
          </cell>
          <cell r="C23">
            <v>53.83</v>
          </cell>
          <cell r="D23" t="str">
            <v>DFL</v>
          </cell>
          <cell r="E23">
            <v>118.63</v>
          </cell>
          <cell r="F23">
            <v>1.0145</v>
          </cell>
        </row>
        <row r="24">
          <cell r="A24">
            <v>358810</v>
          </cell>
          <cell r="B24" t="str">
            <v>EURO</v>
          </cell>
          <cell r="C24">
            <v>24.24</v>
          </cell>
          <cell r="D24" t="str">
            <v>DFL</v>
          </cell>
          <cell r="E24">
            <v>53.42</v>
          </cell>
          <cell r="F24">
            <v>1.0145</v>
          </cell>
        </row>
        <row r="25">
          <cell r="A25">
            <v>392000</v>
          </cell>
          <cell r="B25" t="str">
            <v>EURO</v>
          </cell>
          <cell r="C25">
            <v>48.94</v>
          </cell>
          <cell r="D25" t="str">
            <v>DFL</v>
          </cell>
          <cell r="E25">
            <v>107.85</v>
          </cell>
          <cell r="F25">
            <v>1.0145</v>
          </cell>
        </row>
        <row r="26">
          <cell r="A26">
            <v>392063</v>
          </cell>
          <cell r="B26" t="str">
            <v>EURO</v>
          </cell>
          <cell r="C26">
            <v>73.680000000000007</v>
          </cell>
          <cell r="D26" t="str">
            <v>DFL</v>
          </cell>
          <cell r="E26">
            <v>162.37</v>
          </cell>
          <cell r="F26">
            <v>1.0145</v>
          </cell>
        </row>
        <row r="27">
          <cell r="A27">
            <v>394600</v>
          </cell>
          <cell r="B27" t="str">
            <v>EURO</v>
          </cell>
          <cell r="C27">
            <v>78.53</v>
          </cell>
          <cell r="D27" t="str">
            <v>DFL</v>
          </cell>
          <cell r="E27">
            <v>173.06</v>
          </cell>
          <cell r="F27">
            <v>1.0145</v>
          </cell>
        </row>
        <row r="28">
          <cell r="A28">
            <v>394800</v>
          </cell>
          <cell r="B28" t="str">
            <v>EURO</v>
          </cell>
          <cell r="C28">
            <v>71.81</v>
          </cell>
          <cell r="D28" t="str">
            <v>DFL</v>
          </cell>
          <cell r="E28">
            <v>158.25</v>
          </cell>
          <cell r="F28">
            <v>1.0145</v>
          </cell>
        </row>
        <row r="29">
          <cell r="A29">
            <v>410133</v>
          </cell>
          <cell r="B29" t="str">
            <v>EURO</v>
          </cell>
          <cell r="C29">
            <v>18.32</v>
          </cell>
          <cell r="D29" t="str">
            <v>DFL</v>
          </cell>
          <cell r="E29">
            <v>40.369999999999997</v>
          </cell>
          <cell r="F29">
            <v>1.0145</v>
          </cell>
        </row>
        <row r="30">
          <cell r="A30">
            <v>410303</v>
          </cell>
          <cell r="B30" t="str">
            <v>EURO</v>
          </cell>
          <cell r="C30">
            <v>58.01</v>
          </cell>
          <cell r="D30" t="str">
            <v>DFL</v>
          </cell>
          <cell r="E30">
            <v>127.84</v>
          </cell>
          <cell r="F30">
            <v>1.0145</v>
          </cell>
        </row>
        <row r="31">
          <cell r="A31">
            <v>586152</v>
          </cell>
          <cell r="B31" t="str">
            <v>EURO</v>
          </cell>
          <cell r="C31">
            <v>24.79</v>
          </cell>
          <cell r="D31" t="str">
            <v>DFL</v>
          </cell>
          <cell r="E31">
            <v>54.63</v>
          </cell>
          <cell r="F31">
            <v>1.0145</v>
          </cell>
        </row>
        <row r="32">
          <cell r="A32">
            <v>586153</v>
          </cell>
          <cell r="B32" t="str">
            <v>EURO</v>
          </cell>
          <cell r="C32">
            <v>39.47</v>
          </cell>
          <cell r="D32" t="str">
            <v>DFL</v>
          </cell>
          <cell r="E32">
            <v>86.98</v>
          </cell>
          <cell r="F32">
            <v>1.0145</v>
          </cell>
        </row>
        <row r="33">
          <cell r="A33">
            <v>586157</v>
          </cell>
          <cell r="B33" t="str">
            <v>EURO</v>
          </cell>
          <cell r="C33">
            <v>15.27</v>
          </cell>
          <cell r="D33" t="str">
            <v>DFL</v>
          </cell>
          <cell r="E33">
            <v>33.65</v>
          </cell>
          <cell r="F33">
            <v>1.0145</v>
          </cell>
        </row>
        <row r="34">
          <cell r="A34">
            <v>587450</v>
          </cell>
          <cell r="B34" t="str">
            <v>EURO</v>
          </cell>
          <cell r="C34">
            <v>26.56</v>
          </cell>
          <cell r="D34" t="str">
            <v>DFL</v>
          </cell>
          <cell r="E34">
            <v>58.53</v>
          </cell>
          <cell r="F34">
            <v>1.0145</v>
          </cell>
        </row>
        <row r="35">
          <cell r="A35">
            <v>589901</v>
          </cell>
          <cell r="B35" t="str">
            <v>EURO</v>
          </cell>
          <cell r="C35">
            <v>28.54</v>
          </cell>
          <cell r="D35" t="str">
            <v>DFL</v>
          </cell>
          <cell r="E35">
            <v>62.89</v>
          </cell>
          <cell r="F35">
            <v>1.0145</v>
          </cell>
        </row>
        <row r="36">
          <cell r="A36">
            <v>593901</v>
          </cell>
          <cell r="B36" t="str">
            <v>EURO</v>
          </cell>
          <cell r="C36">
            <v>30.28</v>
          </cell>
          <cell r="D36" t="str">
            <v>DFL</v>
          </cell>
          <cell r="E36">
            <v>66.73</v>
          </cell>
          <cell r="F36">
            <v>1.0145</v>
          </cell>
        </row>
        <row r="37">
          <cell r="A37">
            <v>593928</v>
          </cell>
          <cell r="B37" t="str">
            <v>EURO</v>
          </cell>
          <cell r="C37">
            <v>342.82</v>
          </cell>
          <cell r="D37" t="str">
            <v>DFL</v>
          </cell>
          <cell r="E37">
            <v>755.48</v>
          </cell>
          <cell r="F37">
            <v>1.0145</v>
          </cell>
        </row>
        <row r="38">
          <cell r="A38">
            <v>612000</v>
          </cell>
          <cell r="B38" t="str">
            <v>EURO</v>
          </cell>
          <cell r="C38">
            <v>1.5</v>
          </cell>
          <cell r="D38" t="str">
            <v>DFL</v>
          </cell>
          <cell r="E38">
            <v>3.31</v>
          </cell>
          <cell r="F38">
            <v>1.0145</v>
          </cell>
        </row>
        <row r="39">
          <cell r="A39">
            <v>612101</v>
          </cell>
          <cell r="B39" t="str">
            <v>EURO</v>
          </cell>
          <cell r="C39">
            <v>6.42</v>
          </cell>
          <cell r="D39" t="str">
            <v>DFL</v>
          </cell>
          <cell r="E39">
            <v>14.15</v>
          </cell>
          <cell r="F39">
            <v>1.0145</v>
          </cell>
        </row>
        <row r="40">
          <cell r="A40">
            <v>613301</v>
          </cell>
          <cell r="B40" t="str">
            <v>EURO</v>
          </cell>
          <cell r="C40">
            <v>9.1199999999999992</v>
          </cell>
          <cell r="D40" t="str">
            <v>DFL</v>
          </cell>
          <cell r="E40">
            <v>20.100000000000001</v>
          </cell>
          <cell r="F40">
            <v>1.0145</v>
          </cell>
        </row>
        <row r="41">
          <cell r="A41">
            <v>614500</v>
          </cell>
          <cell r="B41" t="str">
            <v>EURO</v>
          </cell>
          <cell r="C41">
            <v>7.85</v>
          </cell>
          <cell r="D41" t="str">
            <v>DFL</v>
          </cell>
          <cell r="E41">
            <v>17.3</v>
          </cell>
          <cell r="F41">
            <v>1.0145</v>
          </cell>
        </row>
        <row r="42">
          <cell r="A42">
            <v>614501</v>
          </cell>
          <cell r="B42" t="str">
            <v>EURO</v>
          </cell>
          <cell r="C42">
            <v>6.66</v>
          </cell>
          <cell r="D42" t="str">
            <v>DFL</v>
          </cell>
          <cell r="E42">
            <v>14.68</v>
          </cell>
          <cell r="F42">
            <v>1.0145</v>
          </cell>
        </row>
        <row r="43">
          <cell r="A43">
            <v>614502</v>
          </cell>
          <cell r="B43" t="str">
            <v>EURO</v>
          </cell>
          <cell r="C43">
            <v>4.59</v>
          </cell>
          <cell r="D43" t="str">
            <v>DFL</v>
          </cell>
          <cell r="E43">
            <v>10.119999999999999</v>
          </cell>
          <cell r="F43">
            <v>1.0145</v>
          </cell>
        </row>
        <row r="44">
          <cell r="A44">
            <v>619130</v>
          </cell>
          <cell r="B44" t="str">
            <v>EURO</v>
          </cell>
          <cell r="C44">
            <v>11.9</v>
          </cell>
          <cell r="D44" t="str">
            <v>DFL</v>
          </cell>
          <cell r="E44">
            <v>26.22</v>
          </cell>
          <cell r="F44">
            <v>1.0145</v>
          </cell>
        </row>
        <row r="45">
          <cell r="A45">
            <v>619132</v>
          </cell>
          <cell r="B45" t="str">
            <v>EURO</v>
          </cell>
          <cell r="C45">
            <v>9.52</v>
          </cell>
          <cell r="D45" t="str">
            <v>DFL</v>
          </cell>
          <cell r="E45">
            <v>20.98</v>
          </cell>
          <cell r="F45">
            <v>1.0145</v>
          </cell>
        </row>
        <row r="46">
          <cell r="A46">
            <v>636835</v>
          </cell>
          <cell r="B46" t="str">
            <v>EURO</v>
          </cell>
          <cell r="C46">
            <v>22.07</v>
          </cell>
          <cell r="D46" t="str">
            <v>DFL</v>
          </cell>
          <cell r="E46">
            <v>48.64</v>
          </cell>
          <cell r="F46">
            <v>1.0145</v>
          </cell>
        </row>
        <row r="47">
          <cell r="A47">
            <v>636836</v>
          </cell>
          <cell r="B47" t="str">
            <v>EURO</v>
          </cell>
          <cell r="C47">
            <v>22.07</v>
          </cell>
          <cell r="D47" t="str">
            <v>DFL</v>
          </cell>
          <cell r="E47">
            <v>48.64</v>
          </cell>
          <cell r="F47">
            <v>1.0145</v>
          </cell>
        </row>
        <row r="48">
          <cell r="A48">
            <v>636837</v>
          </cell>
          <cell r="B48" t="str">
            <v>EURO</v>
          </cell>
          <cell r="C48">
            <v>22.07</v>
          </cell>
          <cell r="D48" t="str">
            <v>DFL</v>
          </cell>
          <cell r="E48">
            <v>48.64</v>
          </cell>
          <cell r="F48">
            <v>1.0145</v>
          </cell>
        </row>
        <row r="49">
          <cell r="A49">
            <v>636838</v>
          </cell>
          <cell r="B49" t="str">
            <v>EURO</v>
          </cell>
          <cell r="C49">
            <v>22.07</v>
          </cell>
          <cell r="D49" t="str">
            <v>DFL</v>
          </cell>
          <cell r="E49">
            <v>48.64</v>
          </cell>
          <cell r="F49">
            <v>1.0145</v>
          </cell>
        </row>
        <row r="50">
          <cell r="A50">
            <v>636843</v>
          </cell>
          <cell r="B50" t="str">
            <v>EURO</v>
          </cell>
          <cell r="C50">
            <v>12.04</v>
          </cell>
          <cell r="D50" t="str">
            <v>DFL</v>
          </cell>
          <cell r="E50">
            <v>26.53</v>
          </cell>
          <cell r="F50">
            <v>1.0145</v>
          </cell>
        </row>
        <row r="51">
          <cell r="A51">
            <v>636844</v>
          </cell>
          <cell r="B51" t="str">
            <v>EURO</v>
          </cell>
          <cell r="C51">
            <v>11.43</v>
          </cell>
          <cell r="D51" t="str">
            <v>DFL</v>
          </cell>
          <cell r="E51">
            <v>25.19</v>
          </cell>
          <cell r="F51">
            <v>1.0145</v>
          </cell>
        </row>
        <row r="52">
          <cell r="A52">
            <v>636845</v>
          </cell>
          <cell r="B52" t="str">
            <v>EURO</v>
          </cell>
          <cell r="C52">
            <v>11.43</v>
          </cell>
          <cell r="D52" t="str">
            <v>DFL</v>
          </cell>
          <cell r="E52">
            <v>25.19</v>
          </cell>
          <cell r="F52">
            <v>1.0145</v>
          </cell>
        </row>
        <row r="53">
          <cell r="A53">
            <v>636846</v>
          </cell>
          <cell r="B53" t="str">
            <v>EURO</v>
          </cell>
          <cell r="C53">
            <v>11.43</v>
          </cell>
          <cell r="D53" t="str">
            <v>DFL</v>
          </cell>
          <cell r="E53">
            <v>25.19</v>
          </cell>
          <cell r="F53">
            <v>1.0145</v>
          </cell>
        </row>
        <row r="54">
          <cell r="A54">
            <v>652104</v>
          </cell>
          <cell r="B54" t="str">
            <v>EURO</v>
          </cell>
          <cell r="C54">
            <v>1.69</v>
          </cell>
          <cell r="D54" t="str">
            <v>DFL</v>
          </cell>
          <cell r="E54">
            <v>3.72</v>
          </cell>
          <cell r="F54">
            <v>1.0145</v>
          </cell>
        </row>
        <row r="55">
          <cell r="A55">
            <v>665619</v>
          </cell>
          <cell r="B55" t="str">
            <v>EURO</v>
          </cell>
          <cell r="C55">
            <v>18.79</v>
          </cell>
          <cell r="D55" t="str">
            <v>DFL</v>
          </cell>
          <cell r="E55">
            <v>41.41</v>
          </cell>
          <cell r="F55">
            <v>1.0145</v>
          </cell>
        </row>
        <row r="56">
          <cell r="A56">
            <v>810401</v>
          </cell>
          <cell r="B56" t="str">
            <v>EURO</v>
          </cell>
          <cell r="C56">
            <v>24.24</v>
          </cell>
          <cell r="D56" t="str">
            <v>DFL</v>
          </cell>
          <cell r="E56">
            <v>53.42</v>
          </cell>
          <cell r="F56">
            <v>1.0145</v>
          </cell>
        </row>
        <row r="57">
          <cell r="A57">
            <v>810402</v>
          </cell>
          <cell r="B57" t="str">
            <v>EURO</v>
          </cell>
          <cell r="C57">
            <v>24.24</v>
          </cell>
          <cell r="D57" t="str">
            <v>DFL</v>
          </cell>
          <cell r="E57">
            <v>53.42</v>
          </cell>
          <cell r="F57">
            <v>1.0145</v>
          </cell>
        </row>
        <row r="58">
          <cell r="A58">
            <v>810403</v>
          </cell>
          <cell r="B58" t="str">
            <v>EURO</v>
          </cell>
          <cell r="C58">
            <v>24.24</v>
          </cell>
          <cell r="D58" t="str">
            <v>DFL</v>
          </cell>
          <cell r="E58">
            <v>53.42</v>
          </cell>
          <cell r="F58">
            <v>1.0145</v>
          </cell>
        </row>
        <row r="59">
          <cell r="A59">
            <v>810404</v>
          </cell>
          <cell r="B59" t="str">
            <v>EURO</v>
          </cell>
          <cell r="C59">
            <v>24.24</v>
          </cell>
          <cell r="D59" t="str">
            <v>DFL</v>
          </cell>
          <cell r="E59">
            <v>53.42</v>
          </cell>
          <cell r="F59">
            <v>1.0145</v>
          </cell>
        </row>
        <row r="60">
          <cell r="A60">
            <v>810405</v>
          </cell>
          <cell r="B60" t="str">
            <v>EURO</v>
          </cell>
          <cell r="C60">
            <v>24.24</v>
          </cell>
          <cell r="D60" t="str">
            <v>DFL</v>
          </cell>
          <cell r="E60">
            <v>53.42</v>
          </cell>
          <cell r="F60">
            <v>1.0145</v>
          </cell>
        </row>
        <row r="61">
          <cell r="A61">
            <v>810406</v>
          </cell>
          <cell r="B61" t="str">
            <v>EURO</v>
          </cell>
          <cell r="C61">
            <v>24.24</v>
          </cell>
          <cell r="D61" t="str">
            <v>DFL</v>
          </cell>
          <cell r="E61">
            <v>53.42</v>
          </cell>
          <cell r="F61">
            <v>1.0145</v>
          </cell>
        </row>
        <row r="62">
          <cell r="A62">
            <v>810407</v>
          </cell>
          <cell r="B62" t="str">
            <v>EURO</v>
          </cell>
          <cell r="C62">
            <v>24.24</v>
          </cell>
          <cell r="D62" t="str">
            <v>DFL</v>
          </cell>
          <cell r="E62">
            <v>53.42</v>
          </cell>
          <cell r="F62">
            <v>1.0145</v>
          </cell>
        </row>
        <row r="63">
          <cell r="A63">
            <v>810408</v>
          </cell>
          <cell r="B63" t="str">
            <v>EURO</v>
          </cell>
          <cell r="C63">
            <v>24.24</v>
          </cell>
          <cell r="D63" t="str">
            <v>DFL</v>
          </cell>
          <cell r="E63">
            <v>53.42</v>
          </cell>
          <cell r="F63">
            <v>1.0145</v>
          </cell>
        </row>
        <row r="64">
          <cell r="A64">
            <v>813091</v>
          </cell>
          <cell r="B64" t="str">
            <v>EURO</v>
          </cell>
          <cell r="C64">
            <v>19.010000000000002</v>
          </cell>
          <cell r="D64" t="str">
            <v>DFL</v>
          </cell>
          <cell r="E64">
            <v>41.89</v>
          </cell>
          <cell r="F64">
            <v>1.0145</v>
          </cell>
        </row>
        <row r="65">
          <cell r="A65">
            <v>813092</v>
          </cell>
          <cell r="B65" t="str">
            <v>EURO</v>
          </cell>
          <cell r="C65">
            <v>19.010000000000002</v>
          </cell>
          <cell r="D65" t="str">
            <v>DFL</v>
          </cell>
          <cell r="E65">
            <v>41.89</v>
          </cell>
          <cell r="F65">
            <v>1.0145</v>
          </cell>
        </row>
        <row r="66">
          <cell r="A66">
            <v>813093</v>
          </cell>
          <cell r="B66" t="str">
            <v>EURO</v>
          </cell>
          <cell r="C66">
            <v>19.010000000000002</v>
          </cell>
          <cell r="D66" t="str">
            <v>DFL</v>
          </cell>
          <cell r="E66">
            <v>41.89</v>
          </cell>
          <cell r="F66">
            <v>1.0145</v>
          </cell>
        </row>
        <row r="67">
          <cell r="A67">
            <v>813094</v>
          </cell>
          <cell r="B67" t="str">
            <v>EURO</v>
          </cell>
          <cell r="C67">
            <v>19.010000000000002</v>
          </cell>
          <cell r="D67" t="str">
            <v>DFL</v>
          </cell>
          <cell r="E67">
            <v>41.89</v>
          </cell>
          <cell r="F67">
            <v>1.0145</v>
          </cell>
        </row>
        <row r="68">
          <cell r="A68">
            <v>813095</v>
          </cell>
          <cell r="B68" t="str">
            <v>EURO</v>
          </cell>
          <cell r="C68">
            <v>19.010000000000002</v>
          </cell>
          <cell r="D68" t="str">
            <v>DFL</v>
          </cell>
          <cell r="E68">
            <v>41.89</v>
          </cell>
          <cell r="F68">
            <v>1.0145</v>
          </cell>
        </row>
        <row r="69">
          <cell r="A69">
            <v>813096</v>
          </cell>
          <cell r="B69" t="str">
            <v>EURO</v>
          </cell>
          <cell r="C69">
            <v>19.010000000000002</v>
          </cell>
          <cell r="D69" t="str">
            <v>DFL</v>
          </cell>
          <cell r="E69">
            <v>41.89</v>
          </cell>
          <cell r="F69">
            <v>1.0145</v>
          </cell>
        </row>
        <row r="70">
          <cell r="A70">
            <v>813097</v>
          </cell>
          <cell r="B70" t="str">
            <v>EURO</v>
          </cell>
          <cell r="C70">
            <v>19.010000000000002</v>
          </cell>
          <cell r="D70" t="str">
            <v>DFL</v>
          </cell>
          <cell r="E70">
            <v>41.89</v>
          </cell>
          <cell r="F70">
            <v>1.0145</v>
          </cell>
        </row>
        <row r="71">
          <cell r="A71">
            <v>814505</v>
          </cell>
          <cell r="B71" t="str">
            <v>EURO</v>
          </cell>
          <cell r="C71">
            <v>17.440000000000001</v>
          </cell>
          <cell r="D71" t="str">
            <v>DFL</v>
          </cell>
          <cell r="E71">
            <v>38.43</v>
          </cell>
          <cell r="F71">
            <v>1.0145</v>
          </cell>
        </row>
        <row r="72">
          <cell r="A72">
            <v>814514</v>
          </cell>
          <cell r="B72" t="str">
            <v>EURO</v>
          </cell>
          <cell r="C72">
            <v>111.27</v>
          </cell>
          <cell r="D72" t="str">
            <v>DFL</v>
          </cell>
          <cell r="E72">
            <v>245.21</v>
          </cell>
          <cell r="F72">
            <v>1.0145</v>
          </cell>
        </row>
        <row r="73">
          <cell r="A73">
            <v>852103</v>
          </cell>
          <cell r="B73" t="str">
            <v>EURO</v>
          </cell>
          <cell r="C73">
            <v>14.54</v>
          </cell>
          <cell r="D73" t="str">
            <v>DFL</v>
          </cell>
          <cell r="E73">
            <v>32.04</v>
          </cell>
          <cell r="F73">
            <v>1.0145</v>
          </cell>
        </row>
        <row r="74">
          <cell r="A74">
            <v>880941</v>
          </cell>
          <cell r="B74" t="str">
            <v>EURO</v>
          </cell>
          <cell r="C74">
            <v>33</v>
          </cell>
          <cell r="D74" t="str">
            <v>DFL</v>
          </cell>
          <cell r="E74">
            <v>72.72</v>
          </cell>
          <cell r="F74">
            <v>1.0145</v>
          </cell>
        </row>
        <row r="75">
          <cell r="A75">
            <v>884103</v>
          </cell>
          <cell r="B75" t="str">
            <v>EURO</v>
          </cell>
          <cell r="C75">
            <v>32.6</v>
          </cell>
          <cell r="D75" t="str">
            <v>DFL</v>
          </cell>
          <cell r="E75">
            <v>71.84</v>
          </cell>
          <cell r="F75">
            <v>1.0145</v>
          </cell>
        </row>
        <row r="76">
          <cell r="A76">
            <v>884105</v>
          </cell>
          <cell r="B76" t="str">
            <v>EURO</v>
          </cell>
          <cell r="C76">
            <v>25.71</v>
          </cell>
          <cell r="D76" t="str">
            <v>DFL</v>
          </cell>
          <cell r="E76">
            <v>56.66</v>
          </cell>
          <cell r="F76">
            <v>1.0145</v>
          </cell>
        </row>
        <row r="77">
          <cell r="A77">
            <v>886905</v>
          </cell>
          <cell r="B77" t="str">
            <v>EURO</v>
          </cell>
          <cell r="C77">
            <v>22.87</v>
          </cell>
          <cell r="D77" t="str">
            <v>DFL</v>
          </cell>
          <cell r="E77">
            <v>50.4</v>
          </cell>
          <cell r="F77">
            <v>1.0145</v>
          </cell>
        </row>
        <row r="78">
          <cell r="A78">
            <v>886906</v>
          </cell>
          <cell r="B78" t="str">
            <v>EURO</v>
          </cell>
          <cell r="C78">
            <v>22.87</v>
          </cell>
          <cell r="D78" t="str">
            <v>DFL</v>
          </cell>
          <cell r="E78">
            <v>50.4</v>
          </cell>
          <cell r="F78">
            <v>1.0145</v>
          </cell>
        </row>
        <row r="79">
          <cell r="A79">
            <v>886907</v>
          </cell>
          <cell r="B79" t="str">
            <v>EURO</v>
          </cell>
          <cell r="C79">
            <v>22.87</v>
          </cell>
          <cell r="D79" t="str">
            <v>DFL</v>
          </cell>
          <cell r="E79">
            <v>50.4</v>
          </cell>
          <cell r="F79">
            <v>1.0145</v>
          </cell>
        </row>
        <row r="80">
          <cell r="A80">
            <v>886908</v>
          </cell>
          <cell r="B80" t="str">
            <v>EURO</v>
          </cell>
          <cell r="C80">
            <v>22.87</v>
          </cell>
          <cell r="D80" t="str">
            <v>DFL</v>
          </cell>
          <cell r="E80">
            <v>50.4</v>
          </cell>
          <cell r="F80">
            <v>1.0145</v>
          </cell>
        </row>
        <row r="81">
          <cell r="A81">
            <v>887051</v>
          </cell>
          <cell r="B81" t="str">
            <v>EURO</v>
          </cell>
          <cell r="C81">
            <v>27.09</v>
          </cell>
          <cell r="D81" t="str">
            <v>DFL</v>
          </cell>
          <cell r="E81">
            <v>59.7</v>
          </cell>
          <cell r="F81">
            <v>1.0145</v>
          </cell>
        </row>
        <row r="82">
          <cell r="A82">
            <v>887079</v>
          </cell>
          <cell r="B82" t="str">
            <v>EURO</v>
          </cell>
          <cell r="C82">
            <v>87.01</v>
          </cell>
          <cell r="D82" t="str">
            <v>DFL</v>
          </cell>
          <cell r="E82">
            <v>191.74</v>
          </cell>
          <cell r="F82">
            <v>1.0145</v>
          </cell>
        </row>
        <row r="83">
          <cell r="A83">
            <v>887113</v>
          </cell>
          <cell r="B83" t="str">
            <v>EURO</v>
          </cell>
          <cell r="C83">
            <v>64.56</v>
          </cell>
          <cell r="D83" t="str">
            <v>DFL</v>
          </cell>
          <cell r="E83">
            <v>142.27000000000001</v>
          </cell>
          <cell r="F83">
            <v>1.0145</v>
          </cell>
        </row>
        <row r="84">
          <cell r="A84">
            <v>887162</v>
          </cell>
          <cell r="B84" t="str">
            <v>EURO</v>
          </cell>
          <cell r="C84">
            <v>80.69</v>
          </cell>
          <cell r="D84" t="str">
            <v>DFL</v>
          </cell>
          <cell r="E84">
            <v>177.82</v>
          </cell>
          <cell r="F84">
            <v>1.0145</v>
          </cell>
        </row>
        <row r="85">
          <cell r="A85">
            <v>887188</v>
          </cell>
          <cell r="B85" t="str">
            <v>EURO</v>
          </cell>
          <cell r="C85">
            <v>123.39</v>
          </cell>
          <cell r="D85" t="str">
            <v>DFL</v>
          </cell>
          <cell r="E85">
            <v>271.92</v>
          </cell>
          <cell r="F85">
            <v>1.0145</v>
          </cell>
        </row>
        <row r="86">
          <cell r="A86">
            <v>887405</v>
          </cell>
          <cell r="B86" t="str">
            <v>EURO</v>
          </cell>
          <cell r="C86">
            <v>193.92</v>
          </cell>
          <cell r="D86" t="str">
            <v>DFL</v>
          </cell>
          <cell r="E86">
            <v>427.34</v>
          </cell>
          <cell r="F86">
            <v>1.0145</v>
          </cell>
        </row>
        <row r="87">
          <cell r="A87">
            <v>887409</v>
          </cell>
          <cell r="B87" t="str">
            <v>EURO</v>
          </cell>
          <cell r="C87">
            <v>193.92</v>
          </cell>
          <cell r="D87" t="str">
            <v>DFL</v>
          </cell>
          <cell r="E87">
            <v>427.34</v>
          </cell>
          <cell r="F87">
            <v>1.0145</v>
          </cell>
        </row>
        <row r="88">
          <cell r="A88">
            <v>887413</v>
          </cell>
          <cell r="B88" t="str">
            <v>EURO</v>
          </cell>
          <cell r="C88">
            <v>193.92</v>
          </cell>
          <cell r="D88" t="str">
            <v>DFL</v>
          </cell>
          <cell r="E88">
            <v>427.34</v>
          </cell>
          <cell r="F88">
            <v>1.0145</v>
          </cell>
        </row>
        <row r="89">
          <cell r="A89">
            <v>887447</v>
          </cell>
          <cell r="B89" t="str">
            <v>EURO</v>
          </cell>
          <cell r="C89">
            <v>376.88</v>
          </cell>
          <cell r="D89" t="str">
            <v>DFL</v>
          </cell>
          <cell r="E89">
            <v>830.53</v>
          </cell>
          <cell r="F89">
            <v>1.0145</v>
          </cell>
        </row>
        <row r="90">
          <cell r="A90">
            <v>887449</v>
          </cell>
          <cell r="B90" t="str">
            <v>EURO</v>
          </cell>
          <cell r="C90">
            <v>63.25</v>
          </cell>
          <cell r="D90" t="str">
            <v>DFL</v>
          </cell>
          <cell r="E90">
            <v>139.38</v>
          </cell>
          <cell r="F90">
            <v>1.0145</v>
          </cell>
        </row>
        <row r="91">
          <cell r="A91">
            <v>887452</v>
          </cell>
          <cell r="B91" t="str">
            <v>EURO</v>
          </cell>
          <cell r="C91">
            <v>29.82</v>
          </cell>
          <cell r="D91" t="str">
            <v>DFL</v>
          </cell>
          <cell r="E91">
            <v>65.709999999999994</v>
          </cell>
          <cell r="F91">
            <v>1.0145</v>
          </cell>
        </row>
        <row r="92">
          <cell r="A92">
            <v>887453</v>
          </cell>
          <cell r="B92" t="str">
            <v>EURO</v>
          </cell>
          <cell r="C92">
            <v>29.82</v>
          </cell>
          <cell r="D92" t="str">
            <v>DFL</v>
          </cell>
          <cell r="E92">
            <v>65.709999999999994</v>
          </cell>
          <cell r="F92">
            <v>1.0145</v>
          </cell>
        </row>
        <row r="93">
          <cell r="A93">
            <v>887454</v>
          </cell>
          <cell r="B93" t="str">
            <v>EURO</v>
          </cell>
          <cell r="C93">
            <v>29.82</v>
          </cell>
          <cell r="D93" t="str">
            <v>DFL</v>
          </cell>
          <cell r="E93">
            <v>65.709999999999994</v>
          </cell>
          <cell r="F93">
            <v>1.0145</v>
          </cell>
        </row>
        <row r="94">
          <cell r="A94">
            <v>887459</v>
          </cell>
          <cell r="B94" t="str">
            <v>EURO</v>
          </cell>
          <cell r="C94">
            <v>101.11</v>
          </cell>
          <cell r="D94" t="str">
            <v>DFL</v>
          </cell>
          <cell r="E94">
            <v>222.82</v>
          </cell>
          <cell r="F94">
            <v>1.0145</v>
          </cell>
        </row>
        <row r="95">
          <cell r="A95">
            <v>887461</v>
          </cell>
          <cell r="B95" t="str">
            <v>EURO</v>
          </cell>
          <cell r="C95">
            <v>62.37</v>
          </cell>
          <cell r="D95" t="str">
            <v>DFL</v>
          </cell>
          <cell r="E95">
            <v>137.44999999999999</v>
          </cell>
          <cell r="F95">
            <v>1.0145</v>
          </cell>
        </row>
        <row r="96">
          <cell r="A96">
            <v>887481</v>
          </cell>
          <cell r="B96" t="str">
            <v>EURO</v>
          </cell>
          <cell r="C96">
            <v>102.14</v>
          </cell>
          <cell r="D96" t="str">
            <v>DFL</v>
          </cell>
          <cell r="E96">
            <v>225.09</v>
          </cell>
          <cell r="F96">
            <v>1.0145</v>
          </cell>
        </row>
        <row r="97">
          <cell r="A97">
            <v>887483</v>
          </cell>
          <cell r="B97" t="str">
            <v>EURO</v>
          </cell>
          <cell r="C97">
            <v>57.4</v>
          </cell>
          <cell r="D97" t="str">
            <v>DFL</v>
          </cell>
          <cell r="E97">
            <v>126.49</v>
          </cell>
          <cell r="F97">
            <v>1.0145</v>
          </cell>
        </row>
        <row r="98">
          <cell r="A98">
            <v>887485</v>
          </cell>
          <cell r="B98" t="str">
            <v>EURO</v>
          </cell>
          <cell r="C98">
            <v>57.4</v>
          </cell>
          <cell r="D98" t="str">
            <v>DFL</v>
          </cell>
          <cell r="E98">
            <v>126.49</v>
          </cell>
          <cell r="F98">
            <v>1.0145</v>
          </cell>
        </row>
        <row r="99">
          <cell r="A99">
            <v>887487</v>
          </cell>
          <cell r="B99" t="str">
            <v>EURO</v>
          </cell>
          <cell r="C99">
            <v>57.4</v>
          </cell>
          <cell r="D99" t="str">
            <v>DFL</v>
          </cell>
          <cell r="E99">
            <v>126.49</v>
          </cell>
          <cell r="F99">
            <v>1.0145</v>
          </cell>
        </row>
        <row r="100">
          <cell r="A100">
            <v>887527</v>
          </cell>
          <cell r="B100" t="str">
            <v>EURO</v>
          </cell>
          <cell r="C100">
            <v>34.67</v>
          </cell>
          <cell r="D100" t="str">
            <v>DFL</v>
          </cell>
          <cell r="E100">
            <v>76.400000000000006</v>
          </cell>
          <cell r="F100">
            <v>1.0145</v>
          </cell>
        </row>
        <row r="101">
          <cell r="A101">
            <v>887530</v>
          </cell>
          <cell r="B101" t="str">
            <v>EURO</v>
          </cell>
          <cell r="C101">
            <v>34.67</v>
          </cell>
          <cell r="D101" t="str">
            <v>DFL</v>
          </cell>
          <cell r="E101">
            <v>76.400000000000006</v>
          </cell>
          <cell r="F101">
            <v>1.0145</v>
          </cell>
        </row>
        <row r="102">
          <cell r="A102">
            <v>887533</v>
          </cell>
          <cell r="B102" t="str">
            <v>EURO</v>
          </cell>
          <cell r="C102">
            <v>34.67</v>
          </cell>
          <cell r="D102" t="str">
            <v>DFL</v>
          </cell>
          <cell r="E102">
            <v>76.400000000000006</v>
          </cell>
          <cell r="F102">
            <v>1.0145</v>
          </cell>
        </row>
        <row r="103">
          <cell r="A103">
            <v>887564</v>
          </cell>
          <cell r="B103" t="str">
            <v>EURO</v>
          </cell>
          <cell r="C103">
            <v>24.73</v>
          </cell>
          <cell r="D103" t="str">
            <v>DFL</v>
          </cell>
          <cell r="E103">
            <v>54.5</v>
          </cell>
          <cell r="F103">
            <v>1.0145</v>
          </cell>
        </row>
        <row r="104">
          <cell r="A104">
            <v>887565</v>
          </cell>
          <cell r="B104" t="str">
            <v>EURO</v>
          </cell>
          <cell r="C104">
            <v>48.76</v>
          </cell>
          <cell r="D104" t="str">
            <v>DFL</v>
          </cell>
          <cell r="E104">
            <v>107.45</v>
          </cell>
          <cell r="F104">
            <v>1.0145</v>
          </cell>
        </row>
        <row r="105">
          <cell r="A105">
            <v>887566</v>
          </cell>
          <cell r="B105" t="str">
            <v>EURO</v>
          </cell>
          <cell r="C105">
            <v>51.31</v>
          </cell>
          <cell r="D105" t="str">
            <v>DFL</v>
          </cell>
          <cell r="E105">
            <v>113.07</v>
          </cell>
          <cell r="F105">
            <v>1.0145</v>
          </cell>
        </row>
        <row r="106">
          <cell r="A106">
            <v>887567</v>
          </cell>
          <cell r="B106" t="str">
            <v>EURO</v>
          </cell>
          <cell r="C106">
            <v>51.31</v>
          </cell>
          <cell r="D106" t="str">
            <v>DFL</v>
          </cell>
          <cell r="E106">
            <v>113.07</v>
          </cell>
          <cell r="F106">
            <v>1.0145</v>
          </cell>
        </row>
        <row r="107">
          <cell r="A107">
            <v>887576</v>
          </cell>
          <cell r="B107" t="str">
            <v>EURO</v>
          </cell>
          <cell r="C107">
            <v>51.29</v>
          </cell>
          <cell r="D107" t="str">
            <v>DFL</v>
          </cell>
          <cell r="E107">
            <v>113.03</v>
          </cell>
          <cell r="F107">
            <v>1.0145</v>
          </cell>
        </row>
        <row r="108">
          <cell r="A108">
            <v>887624</v>
          </cell>
          <cell r="B108" t="str">
            <v>EURO</v>
          </cell>
          <cell r="C108">
            <v>21.72</v>
          </cell>
          <cell r="D108" t="str">
            <v>DFL</v>
          </cell>
          <cell r="E108">
            <v>47.86</v>
          </cell>
          <cell r="F108">
            <v>1.0145</v>
          </cell>
        </row>
        <row r="109">
          <cell r="A109">
            <v>887625</v>
          </cell>
          <cell r="B109" t="str">
            <v>EURO</v>
          </cell>
          <cell r="C109">
            <v>22.87</v>
          </cell>
          <cell r="D109" t="str">
            <v>DFL</v>
          </cell>
          <cell r="E109">
            <v>50.4</v>
          </cell>
          <cell r="F109">
            <v>1.0145</v>
          </cell>
        </row>
        <row r="110">
          <cell r="A110">
            <v>887626</v>
          </cell>
          <cell r="B110" t="str">
            <v>EURO</v>
          </cell>
          <cell r="C110">
            <v>22.87</v>
          </cell>
          <cell r="D110" t="str">
            <v>DFL</v>
          </cell>
          <cell r="E110">
            <v>50.4</v>
          </cell>
          <cell r="F110">
            <v>1.0145</v>
          </cell>
        </row>
        <row r="111">
          <cell r="A111">
            <v>887627</v>
          </cell>
          <cell r="B111" t="str">
            <v>EURO</v>
          </cell>
          <cell r="C111">
            <v>22.87</v>
          </cell>
          <cell r="D111" t="str">
            <v>DFL</v>
          </cell>
          <cell r="E111">
            <v>50.4</v>
          </cell>
          <cell r="F111">
            <v>1.0145</v>
          </cell>
        </row>
        <row r="112">
          <cell r="A112">
            <v>887637</v>
          </cell>
          <cell r="B112" t="str">
            <v>EURO</v>
          </cell>
          <cell r="C112">
            <v>187.98</v>
          </cell>
          <cell r="D112" t="str">
            <v>DFL</v>
          </cell>
          <cell r="E112">
            <v>414.25</v>
          </cell>
          <cell r="F112">
            <v>1.0145</v>
          </cell>
        </row>
        <row r="113">
          <cell r="A113">
            <v>887675</v>
          </cell>
          <cell r="B113" t="str">
            <v>EURO</v>
          </cell>
          <cell r="C113">
            <v>169.45</v>
          </cell>
          <cell r="D113" t="str">
            <v>DFL</v>
          </cell>
          <cell r="E113">
            <v>373.42</v>
          </cell>
          <cell r="F113">
            <v>1.0145</v>
          </cell>
        </row>
        <row r="114">
          <cell r="A114">
            <v>887704</v>
          </cell>
          <cell r="B114" t="str">
            <v>EURO</v>
          </cell>
          <cell r="C114">
            <v>34.67</v>
          </cell>
          <cell r="D114" t="str">
            <v>DFL</v>
          </cell>
          <cell r="E114">
            <v>76.400000000000006</v>
          </cell>
          <cell r="F114">
            <v>1.0145</v>
          </cell>
        </row>
        <row r="115">
          <cell r="A115">
            <v>887705</v>
          </cell>
          <cell r="B115" t="str">
            <v>EURO</v>
          </cell>
          <cell r="C115">
            <v>34.67</v>
          </cell>
          <cell r="D115" t="str">
            <v>DFL</v>
          </cell>
          <cell r="E115">
            <v>76.400000000000006</v>
          </cell>
          <cell r="F115">
            <v>1.0145</v>
          </cell>
        </row>
        <row r="116">
          <cell r="A116">
            <v>887706</v>
          </cell>
          <cell r="B116" t="str">
            <v>EURO</v>
          </cell>
          <cell r="C116">
            <v>34.67</v>
          </cell>
          <cell r="D116" t="str">
            <v>DFL</v>
          </cell>
          <cell r="E116">
            <v>76.400000000000006</v>
          </cell>
          <cell r="F116">
            <v>1.0145</v>
          </cell>
        </row>
        <row r="117">
          <cell r="A117">
            <v>887707</v>
          </cell>
          <cell r="B117" t="str">
            <v>EURO</v>
          </cell>
          <cell r="C117">
            <v>34.67</v>
          </cell>
          <cell r="D117" t="str">
            <v>DFL</v>
          </cell>
          <cell r="E117">
            <v>76.400000000000006</v>
          </cell>
          <cell r="F117">
            <v>1.0145</v>
          </cell>
        </row>
        <row r="118">
          <cell r="A118">
            <v>887733</v>
          </cell>
          <cell r="B118" t="str">
            <v>EURO</v>
          </cell>
          <cell r="C118">
            <v>152.22</v>
          </cell>
          <cell r="D118" t="str">
            <v>DFL</v>
          </cell>
          <cell r="E118">
            <v>335.45</v>
          </cell>
          <cell r="F118">
            <v>1.0145</v>
          </cell>
        </row>
        <row r="119">
          <cell r="A119">
            <v>887741</v>
          </cell>
          <cell r="B119" t="str">
            <v>EURO</v>
          </cell>
          <cell r="C119">
            <v>96.87</v>
          </cell>
          <cell r="D119" t="str">
            <v>DFL</v>
          </cell>
          <cell r="E119">
            <v>213.47</v>
          </cell>
          <cell r="F119">
            <v>1.0145</v>
          </cell>
        </row>
        <row r="120">
          <cell r="A120">
            <v>887748</v>
          </cell>
          <cell r="B120" t="str">
            <v>EURO</v>
          </cell>
          <cell r="C120">
            <v>153.19</v>
          </cell>
          <cell r="D120" t="str">
            <v>DFL</v>
          </cell>
          <cell r="E120">
            <v>337.59</v>
          </cell>
          <cell r="F120">
            <v>1.0145</v>
          </cell>
        </row>
        <row r="121">
          <cell r="A121">
            <v>887754</v>
          </cell>
          <cell r="B121" t="str">
            <v>EURO</v>
          </cell>
          <cell r="C121">
            <v>29.82</v>
          </cell>
          <cell r="D121" t="str">
            <v>DFL</v>
          </cell>
          <cell r="E121">
            <v>65.709999999999994</v>
          </cell>
          <cell r="F121">
            <v>1.0145</v>
          </cell>
        </row>
        <row r="122">
          <cell r="A122">
            <v>887797</v>
          </cell>
          <cell r="B122" t="str">
            <v>EURO</v>
          </cell>
          <cell r="C122">
            <v>159.33000000000001</v>
          </cell>
          <cell r="D122" t="str">
            <v>DFL</v>
          </cell>
          <cell r="E122">
            <v>351.12</v>
          </cell>
          <cell r="F122">
            <v>1.0145</v>
          </cell>
        </row>
        <row r="123">
          <cell r="A123">
            <v>887802</v>
          </cell>
          <cell r="B123" t="str">
            <v>EURO</v>
          </cell>
          <cell r="C123">
            <v>115.05</v>
          </cell>
          <cell r="D123" t="str">
            <v>DFL</v>
          </cell>
          <cell r="E123">
            <v>253.54</v>
          </cell>
          <cell r="F123">
            <v>1.0145</v>
          </cell>
        </row>
        <row r="124">
          <cell r="A124">
            <v>887813</v>
          </cell>
          <cell r="B124" t="str">
            <v>EURO</v>
          </cell>
          <cell r="C124">
            <v>66.09</v>
          </cell>
          <cell r="D124" t="str">
            <v>DFL</v>
          </cell>
          <cell r="E124">
            <v>145.63999999999999</v>
          </cell>
          <cell r="F124">
            <v>1.0145</v>
          </cell>
        </row>
        <row r="125">
          <cell r="A125">
            <v>887814</v>
          </cell>
          <cell r="B125" t="str">
            <v>EURO</v>
          </cell>
          <cell r="C125">
            <v>73.44</v>
          </cell>
          <cell r="D125" t="str">
            <v>DFL</v>
          </cell>
          <cell r="E125">
            <v>161.84</v>
          </cell>
          <cell r="F125">
            <v>1.0145</v>
          </cell>
        </row>
        <row r="126">
          <cell r="A126">
            <v>887815</v>
          </cell>
          <cell r="B126" t="str">
            <v>EURO</v>
          </cell>
          <cell r="C126">
            <v>73.44</v>
          </cell>
          <cell r="D126" t="str">
            <v>DFL</v>
          </cell>
          <cell r="E126">
            <v>161.84</v>
          </cell>
          <cell r="F126">
            <v>1.0145</v>
          </cell>
        </row>
        <row r="127">
          <cell r="A127">
            <v>887816</v>
          </cell>
          <cell r="B127" t="str">
            <v>EURO</v>
          </cell>
          <cell r="C127">
            <v>73.44</v>
          </cell>
          <cell r="D127" t="str">
            <v>DFL</v>
          </cell>
          <cell r="E127">
            <v>161.84</v>
          </cell>
          <cell r="F127">
            <v>1.0145</v>
          </cell>
        </row>
        <row r="128">
          <cell r="A128">
            <v>887845</v>
          </cell>
          <cell r="B128" t="str">
            <v>EURO</v>
          </cell>
          <cell r="C128">
            <v>60.12</v>
          </cell>
          <cell r="D128" t="str">
            <v>DFL</v>
          </cell>
          <cell r="E128">
            <v>132.49</v>
          </cell>
          <cell r="F128">
            <v>1.0145</v>
          </cell>
        </row>
        <row r="129">
          <cell r="A129">
            <v>887847</v>
          </cell>
          <cell r="B129" t="str">
            <v>EURO</v>
          </cell>
          <cell r="C129">
            <v>57.08</v>
          </cell>
          <cell r="D129" t="str">
            <v>DFL</v>
          </cell>
          <cell r="E129">
            <v>125.79</v>
          </cell>
          <cell r="F129">
            <v>1.0145</v>
          </cell>
        </row>
        <row r="130">
          <cell r="A130">
            <v>887848</v>
          </cell>
          <cell r="B130" t="str">
            <v>EURO</v>
          </cell>
          <cell r="C130">
            <v>57.08</v>
          </cell>
          <cell r="D130" t="str">
            <v>DFL</v>
          </cell>
          <cell r="E130">
            <v>125.79</v>
          </cell>
          <cell r="F130">
            <v>1.0145</v>
          </cell>
        </row>
        <row r="131">
          <cell r="A131">
            <v>887849</v>
          </cell>
          <cell r="B131" t="str">
            <v>EURO</v>
          </cell>
          <cell r="C131">
            <v>57.08</v>
          </cell>
          <cell r="D131" t="str">
            <v>DFL</v>
          </cell>
          <cell r="E131">
            <v>125.79</v>
          </cell>
          <cell r="F131">
            <v>1.0145</v>
          </cell>
        </row>
        <row r="132">
          <cell r="A132">
            <v>887880</v>
          </cell>
          <cell r="B132" t="str">
            <v>EURO</v>
          </cell>
          <cell r="C132">
            <v>18.329999999999998</v>
          </cell>
          <cell r="D132" t="str">
            <v>DFL</v>
          </cell>
          <cell r="E132">
            <v>40.39</v>
          </cell>
          <cell r="F132">
            <v>1.0145</v>
          </cell>
        </row>
        <row r="133">
          <cell r="A133">
            <v>887881</v>
          </cell>
          <cell r="B133" t="str">
            <v>EURO</v>
          </cell>
          <cell r="C133">
            <v>30.74</v>
          </cell>
          <cell r="D133" t="str">
            <v>DFL</v>
          </cell>
          <cell r="E133">
            <v>67.739999999999995</v>
          </cell>
          <cell r="F133">
            <v>1.0145</v>
          </cell>
        </row>
        <row r="134">
          <cell r="A134">
            <v>887882</v>
          </cell>
          <cell r="B134" t="str">
            <v>EURO</v>
          </cell>
          <cell r="C134">
            <v>30.74</v>
          </cell>
          <cell r="D134" t="str">
            <v>DFL</v>
          </cell>
          <cell r="E134">
            <v>67.739999999999995</v>
          </cell>
          <cell r="F134">
            <v>1.0145</v>
          </cell>
        </row>
        <row r="135">
          <cell r="A135">
            <v>887883</v>
          </cell>
          <cell r="B135" t="str">
            <v>EURO</v>
          </cell>
          <cell r="C135">
            <v>30.74</v>
          </cell>
          <cell r="D135" t="str">
            <v>DFL</v>
          </cell>
          <cell r="E135">
            <v>67.739999999999995</v>
          </cell>
          <cell r="F135">
            <v>1.0145</v>
          </cell>
        </row>
        <row r="136">
          <cell r="A136">
            <v>887890</v>
          </cell>
          <cell r="B136" t="str">
            <v>EURO</v>
          </cell>
          <cell r="C136">
            <v>105.66</v>
          </cell>
          <cell r="D136" t="str">
            <v>DFL</v>
          </cell>
          <cell r="E136">
            <v>232.84</v>
          </cell>
          <cell r="F136">
            <v>1.0145</v>
          </cell>
        </row>
        <row r="137">
          <cell r="A137">
            <v>887896</v>
          </cell>
          <cell r="B137" t="str">
            <v>EURO</v>
          </cell>
          <cell r="C137">
            <v>120.08</v>
          </cell>
          <cell r="D137" t="str">
            <v>DFL</v>
          </cell>
          <cell r="E137">
            <v>264.62</v>
          </cell>
          <cell r="F137">
            <v>1.0145</v>
          </cell>
        </row>
        <row r="138">
          <cell r="A138">
            <v>887902</v>
          </cell>
          <cell r="B138" t="str">
            <v>EURO</v>
          </cell>
          <cell r="C138">
            <v>120.08</v>
          </cell>
          <cell r="D138" t="str">
            <v>DFL</v>
          </cell>
          <cell r="E138">
            <v>264.62</v>
          </cell>
          <cell r="F138">
            <v>1.0145</v>
          </cell>
        </row>
        <row r="139">
          <cell r="A139">
            <v>887908</v>
          </cell>
          <cell r="B139" t="str">
            <v>EURO</v>
          </cell>
          <cell r="C139">
            <v>120.08</v>
          </cell>
          <cell r="D139" t="str">
            <v>DFL</v>
          </cell>
          <cell r="E139">
            <v>264.62</v>
          </cell>
          <cell r="F139">
            <v>1.0145</v>
          </cell>
        </row>
        <row r="140">
          <cell r="A140">
            <v>887914</v>
          </cell>
          <cell r="B140" t="str">
            <v>EURO</v>
          </cell>
          <cell r="C140">
            <v>39.49</v>
          </cell>
          <cell r="D140" t="str">
            <v>DFL</v>
          </cell>
          <cell r="E140">
            <v>87.02</v>
          </cell>
          <cell r="F140">
            <v>1.0145</v>
          </cell>
        </row>
        <row r="141">
          <cell r="A141">
            <v>887921</v>
          </cell>
          <cell r="B141" t="str">
            <v>EURO</v>
          </cell>
          <cell r="C141">
            <v>67.47</v>
          </cell>
          <cell r="D141" t="str">
            <v>DFL</v>
          </cell>
          <cell r="E141">
            <v>148.68</v>
          </cell>
          <cell r="F141">
            <v>1.0145</v>
          </cell>
        </row>
        <row r="142">
          <cell r="A142">
            <v>887927</v>
          </cell>
          <cell r="B142" t="str">
            <v>EURO</v>
          </cell>
          <cell r="C142">
            <v>67.47</v>
          </cell>
          <cell r="D142" t="str">
            <v>DFL</v>
          </cell>
          <cell r="E142">
            <v>148.68</v>
          </cell>
          <cell r="F142">
            <v>1.0145</v>
          </cell>
        </row>
        <row r="143">
          <cell r="A143">
            <v>887933</v>
          </cell>
          <cell r="B143" t="str">
            <v>EURO</v>
          </cell>
          <cell r="C143">
            <v>67.47</v>
          </cell>
          <cell r="D143" t="str">
            <v>DFL</v>
          </cell>
          <cell r="E143">
            <v>148.68</v>
          </cell>
          <cell r="F143">
            <v>1.0145</v>
          </cell>
        </row>
        <row r="144">
          <cell r="A144">
            <v>887951</v>
          </cell>
          <cell r="B144" t="str">
            <v>EURO</v>
          </cell>
          <cell r="C144">
            <v>63.4</v>
          </cell>
          <cell r="D144" t="str">
            <v>DFL</v>
          </cell>
          <cell r="E144">
            <v>139.72</v>
          </cell>
          <cell r="F144">
            <v>1.0145</v>
          </cell>
        </row>
        <row r="145">
          <cell r="A145">
            <v>887952</v>
          </cell>
          <cell r="B145" t="str">
            <v>EURO</v>
          </cell>
          <cell r="C145">
            <v>50.71</v>
          </cell>
          <cell r="D145" t="str">
            <v>DFL</v>
          </cell>
          <cell r="E145">
            <v>111.75</v>
          </cell>
          <cell r="F145">
            <v>1.0145</v>
          </cell>
        </row>
        <row r="146">
          <cell r="A146">
            <v>887953</v>
          </cell>
          <cell r="B146" t="str">
            <v>EURO</v>
          </cell>
          <cell r="C146">
            <v>50.71</v>
          </cell>
          <cell r="D146" t="str">
            <v>DFL</v>
          </cell>
          <cell r="E146">
            <v>111.75</v>
          </cell>
          <cell r="F146">
            <v>1.0145</v>
          </cell>
        </row>
        <row r="147">
          <cell r="A147">
            <v>887954</v>
          </cell>
          <cell r="B147" t="str">
            <v>EURO</v>
          </cell>
          <cell r="C147">
            <v>50.71</v>
          </cell>
          <cell r="D147" t="str">
            <v>DFL</v>
          </cell>
          <cell r="E147">
            <v>111.75</v>
          </cell>
          <cell r="F147">
            <v>1.0145</v>
          </cell>
        </row>
        <row r="148">
          <cell r="A148">
            <v>889015</v>
          </cell>
          <cell r="B148" t="str">
            <v>EURO</v>
          </cell>
          <cell r="C148">
            <v>93.89</v>
          </cell>
          <cell r="D148" t="str">
            <v>DFL</v>
          </cell>
          <cell r="E148">
            <v>206.91</v>
          </cell>
          <cell r="F148">
            <v>1.0145</v>
          </cell>
        </row>
        <row r="149">
          <cell r="A149">
            <v>889207</v>
          </cell>
          <cell r="B149" t="str">
            <v>EURO</v>
          </cell>
          <cell r="C149">
            <v>30.82</v>
          </cell>
          <cell r="D149" t="str">
            <v>DFL</v>
          </cell>
          <cell r="E149">
            <v>67.92</v>
          </cell>
          <cell r="F149">
            <v>1.0145</v>
          </cell>
        </row>
        <row r="150">
          <cell r="A150">
            <v>889213</v>
          </cell>
          <cell r="B150" t="str">
            <v>EURO</v>
          </cell>
          <cell r="C150">
            <v>32.44</v>
          </cell>
          <cell r="D150" t="str">
            <v>DFL</v>
          </cell>
          <cell r="E150">
            <v>71.489999999999995</v>
          </cell>
          <cell r="F150">
            <v>1.0145</v>
          </cell>
        </row>
        <row r="151">
          <cell r="A151">
            <v>889219</v>
          </cell>
          <cell r="B151" t="str">
            <v>EURO</v>
          </cell>
          <cell r="C151">
            <v>32.44</v>
          </cell>
          <cell r="D151" t="str">
            <v>DFL</v>
          </cell>
          <cell r="E151">
            <v>71.489999999999995</v>
          </cell>
          <cell r="F151">
            <v>1.0145</v>
          </cell>
        </row>
        <row r="152">
          <cell r="A152">
            <v>889260</v>
          </cell>
          <cell r="B152" t="str">
            <v>EURO</v>
          </cell>
          <cell r="C152">
            <v>89.85</v>
          </cell>
          <cell r="D152" t="str">
            <v>DFL</v>
          </cell>
          <cell r="E152">
            <v>198</v>
          </cell>
          <cell r="F152">
            <v>1.0145</v>
          </cell>
        </row>
        <row r="153">
          <cell r="A153">
            <v>889268</v>
          </cell>
          <cell r="B153" t="str">
            <v>EURO</v>
          </cell>
          <cell r="C153">
            <v>26.17</v>
          </cell>
          <cell r="D153" t="str">
            <v>DFL</v>
          </cell>
          <cell r="E153">
            <v>57.67</v>
          </cell>
          <cell r="F153">
            <v>1.0145</v>
          </cell>
        </row>
        <row r="154">
          <cell r="A154">
            <v>889270</v>
          </cell>
          <cell r="B154" t="str">
            <v>EURO</v>
          </cell>
          <cell r="C154">
            <v>27.54</v>
          </cell>
          <cell r="D154" t="str">
            <v>DFL</v>
          </cell>
          <cell r="E154">
            <v>60.69</v>
          </cell>
          <cell r="F154">
            <v>1.0145</v>
          </cell>
        </row>
        <row r="155">
          <cell r="A155">
            <v>889280</v>
          </cell>
          <cell r="B155" t="str">
            <v>EURO</v>
          </cell>
          <cell r="C155">
            <v>33.78</v>
          </cell>
          <cell r="D155" t="str">
            <v>DFL</v>
          </cell>
          <cell r="E155">
            <v>74.44</v>
          </cell>
          <cell r="F155">
            <v>1.0145</v>
          </cell>
        </row>
        <row r="156">
          <cell r="A156">
            <v>889283</v>
          </cell>
          <cell r="B156" t="str">
            <v>EURO</v>
          </cell>
          <cell r="C156">
            <v>33.78</v>
          </cell>
          <cell r="D156" t="str">
            <v>DFL</v>
          </cell>
          <cell r="E156">
            <v>74.44</v>
          </cell>
          <cell r="F156">
            <v>1.0145</v>
          </cell>
        </row>
        <row r="157">
          <cell r="A157">
            <v>889286</v>
          </cell>
          <cell r="B157" t="str">
            <v>EURO</v>
          </cell>
          <cell r="C157">
            <v>33.78</v>
          </cell>
          <cell r="D157" t="str">
            <v>DFL</v>
          </cell>
          <cell r="E157">
            <v>74.44</v>
          </cell>
          <cell r="F157">
            <v>1.0145</v>
          </cell>
        </row>
        <row r="158">
          <cell r="A158">
            <v>889289</v>
          </cell>
          <cell r="B158" t="str">
            <v>EURO</v>
          </cell>
          <cell r="C158">
            <v>18.940000000000001</v>
          </cell>
          <cell r="D158" t="str">
            <v>DFL</v>
          </cell>
          <cell r="E158">
            <v>41.74</v>
          </cell>
          <cell r="F158">
            <v>1.0145</v>
          </cell>
        </row>
        <row r="159">
          <cell r="A159">
            <v>889292</v>
          </cell>
          <cell r="B159" t="str">
            <v>EURO</v>
          </cell>
          <cell r="C159">
            <v>18.940000000000001</v>
          </cell>
          <cell r="D159" t="str">
            <v>DFL</v>
          </cell>
          <cell r="E159">
            <v>41.74</v>
          </cell>
          <cell r="F159">
            <v>1.0145</v>
          </cell>
        </row>
        <row r="160">
          <cell r="A160">
            <v>889295</v>
          </cell>
          <cell r="B160" t="str">
            <v>EURO</v>
          </cell>
          <cell r="C160">
            <v>18.940000000000001</v>
          </cell>
          <cell r="D160" t="str">
            <v>DFL</v>
          </cell>
          <cell r="E160">
            <v>41.74</v>
          </cell>
          <cell r="F160">
            <v>1.0145</v>
          </cell>
        </row>
        <row r="161">
          <cell r="A161">
            <v>889305</v>
          </cell>
          <cell r="B161" t="str">
            <v>EURO</v>
          </cell>
          <cell r="C161">
            <v>41.53</v>
          </cell>
          <cell r="D161" t="str">
            <v>DFL</v>
          </cell>
          <cell r="E161">
            <v>91.52</v>
          </cell>
          <cell r="F161">
            <v>1.0145</v>
          </cell>
        </row>
        <row r="162">
          <cell r="A162">
            <v>889309</v>
          </cell>
          <cell r="B162" t="str">
            <v>EURO</v>
          </cell>
          <cell r="C162">
            <v>41.53</v>
          </cell>
          <cell r="D162" t="str">
            <v>DFL</v>
          </cell>
          <cell r="E162">
            <v>91.52</v>
          </cell>
          <cell r="F162">
            <v>1.0145</v>
          </cell>
        </row>
        <row r="163">
          <cell r="A163">
            <v>889313</v>
          </cell>
          <cell r="B163" t="str">
            <v>EURO</v>
          </cell>
          <cell r="C163">
            <v>41.53</v>
          </cell>
          <cell r="D163" t="str">
            <v>DFL</v>
          </cell>
          <cell r="E163">
            <v>91.52</v>
          </cell>
          <cell r="F163">
            <v>1.0145</v>
          </cell>
        </row>
        <row r="164">
          <cell r="A164">
            <v>889341</v>
          </cell>
          <cell r="B164" t="str">
            <v>EURO</v>
          </cell>
          <cell r="C164">
            <v>53.39</v>
          </cell>
          <cell r="D164" t="str">
            <v>DFL</v>
          </cell>
          <cell r="E164">
            <v>117.66</v>
          </cell>
          <cell r="F164">
            <v>1.0145</v>
          </cell>
        </row>
        <row r="165">
          <cell r="A165">
            <v>889347</v>
          </cell>
          <cell r="B165" t="str">
            <v>EURO</v>
          </cell>
          <cell r="C165">
            <v>181.37</v>
          </cell>
          <cell r="D165" t="str">
            <v>DFL</v>
          </cell>
          <cell r="E165">
            <v>399.69</v>
          </cell>
          <cell r="F165">
            <v>1.0145</v>
          </cell>
        </row>
        <row r="166">
          <cell r="A166">
            <v>889351</v>
          </cell>
          <cell r="B166" t="str">
            <v>EURO</v>
          </cell>
          <cell r="C166">
            <v>97.48</v>
          </cell>
          <cell r="D166" t="str">
            <v>DFL</v>
          </cell>
          <cell r="E166">
            <v>214.82</v>
          </cell>
          <cell r="F166">
            <v>1.0145</v>
          </cell>
        </row>
        <row r="167">
          <cell r="A167">
            <v>889368</v>
          </cell>
          <cell r="B167" t="str">
            <v>EURO</v>
          </cell>
          <cell r="C167">
            <v>181.37</v>
          </cell>
          <cell r="D167" t="str">
            <v>DFL</v>
          </cell>
          <cell r="E167">
            <v>399.69</v>
          </cell>
          <cell r="F167">
            <v>1.0145</v>
          </cell>
        </row>
        <row r="168">
          <cell r="A168">
            <v>889385</v>
          </cell>
          <cell r="B168" t="str">
            <v>EURO</v>
          </cell>
          <cell r="C168">
            <v>82.82</v>
          </cell>
          <cell r="D168" t="str">
            <v>DFL</v>
          </cell>
          <cell r="E168">
            <v>182.51</v>
          </cell>
          <cell r="F168">
            <v>1.0145</v>
          </cell>
        </row>
        <row r="169">
          <cell r="A169">
            <v>889386</v>
          </cell>
          <cell r="B169" t="str">
            <v>EURO</v>
          </cell>
          <cell r="C169">
            <v>82.82</v>
          </cell>
          <cell r="D169" t="str">
            <v>DFL</v>
          </cell>
          <cell r="E169">
            <v>182.51</v>
          </cell>
          <cell r="F169">
            <v>1.0145</v>
          </cell>
        </row>
        <row r="170">
          <cell r="A170">
            <v>889387</v>
          </cell>
          <cell r="B170" t="str">
            <v>EURO</v>
          </cell>
          <cell r="C170">
            <v>82.82</v>
          </cell>
          <cell r="D170" t="str">
            <v>DFL</v>
          </cell>
          <cell r="E170">
            <v>182.51</v>
          </cell>
          <cell r="F170">
            <v>1.0145</v>
          </cell>
        </row>
        <row r="171">
          <cell r="A171">
            <v>889394</v>
          </cell>
          <cell r="B171" t="str">
            <v>EURO</v>
          </cell>
          <cell r="C171">
            <v>25</v>
          </cell>
          <cell r="D171" t="str">
            <v>DFL</v>
          </cell>
          <cell r="E171">
            <v>55.09</v>
          </cell>
          <cell r="F171">
            <v>1.0145</v>
          </cell>
        </row>
        <row r="172">
          <cell r="A172">
            <v>889395</v>
          </cell>
          <cell r="B172" t="str">
            <v>EURO</v>
          </cell>
          <cell r="C172">
            <v>25</v>
          </cell>
          <cell r="D172" t="str">
            <v>DFL</v>
          </cell>
          <cell r="E172">
            <v>55.09</v>
          </cell>
          <cell r="F172">
            <v>1.0145</v>
          </cell>
        </row>
        <row r="173">
          <cell r="A173">
            <v>889396</v>
          </cell>
          <cell r="B173" t="str">
            <v>EURO</v>
          </cell>
          <cell r="C173">
            <v>25</v>
          </cell>
          <cell r="D173" t="str">
            <v>DFL</v>
          </cell>
          <cell r="E173">
            <v>55.09</v>
          </cell>
          <cell r="F173">
            <v>1.0145</v>
          </cell>
        </row>
        <row r="174">
          <cell r="A174">
            <v>889405</v>
          </cell>
          <cell r="B174" t="str">
            <v>EURO</v>
          </cell>
          <cell r="C174">
            <v>86.11</v>
          </cell>
          <cell r="D174" t="str">
            <v>DFL</v>
          </cell>
          <cell r="E174">
            <v>189.76</v>
          </cell>
          <cell r="F174">
            <v>1.0145</v>
          </cell>
        </row>
        <row r="175">
          <cell r="A175">
            <v>889406</v>
          </cell>
          <cell r="B175" t="str">
            <v>EURO</v>
          </cell>
          <cell r="C175">
            <v>36.909999999999997</v>
          </cell>
          <cell r="D175" t="str">
            <v>DFL</v>
          </cell>
          <cell r="E175">
            <v>81.34</v>
          </cell>
          <cell r="F175">
            <v>1.0145</v>
          </cell>
        </row>
        <row r="176">
          <cell r="A176">
            <v>889407</v>
          </cell>
          <cell r="B176" t="str">
            <v>EURO</v>
          </cell>
          <cell r="C176">
            <v>36.909999999999997</v>
          </cell>
          <cell r="D176" t="str">
            <v>DFL</v>
          </cell>
          <cell r="E176">
            <v>81.34</v>
          </cell>
          <cell r="F176">
            <v>1.0145</v>
          </cell>
        </row>
        <row r="177">
          <cell r="A177">
            <v>889408</v>
          </cell>
          <cell r="B177" t="str">
            <v>EURO</v>
          </cell>
          <cell r="C177">
            <v>36.909999999999997</v>
          </cell>
          <cell r="D177" t="str">
            <v>DFL</v>
          </cell>
          <cell r="E177">
            <v>81.34</v>
          </cell>
          <cell r="F177">
            <v>1.0145</v>
          </cell>
        </row>
        <row r="178">
          <cell r="A178">
            <v>889409</v>
          </cell>
          <cell r="B178" t="str">
            <v>EURO</v>
          </cell>
          <cell r="C178">
            <v>21.98</v>
          </cell>
          <cell r="D178" t="str">
            <v>DFL</v>
          </cell>
          <cell r="E178">
            <v>48.44</v>
          </cell>
          <cell r="F178">
            <v>1.0145</v>
          </cell>
        </row>
        <row r="179">
          <cell r="A179">
            <v>889416</v>
          </cell>
          <cell r="B179" t="str">
            <v>EURO</v>
          </cell>
          <cell r="C179">
            <v>30.76</v>
          </cell>
          <cell r="D179" t="str">
            <v>DFL</v>
          </cell>
          <cell r="E179">
            <v>67.790000000000006</v>
          </cell>
          <cell r="F179">
            <v>1.0145</v>
          </cell>
        </row>
        <row r="180">
          <cell r="A180">
            <v>889453</v>
          </cell>
          <cell r="B180" t="str">
            <v>EURO</v>
          </cell>
          <cell r="C180">
            <v>96.65</v>
          </cell>
          <cell r="D180" t="str">
            <v>DFL</v>
          </cell>
          <cell r="E180">
            <v>212.99</v>
          </cell>
          <cell r="F180">
            <v>1.0145</v>
          </cell>
        </row>
        <row r="181">
          <cell r="A181">
            <v>889455</v>
          </cell>
          <cell r="B181" t="str">
            <v>EURO</v>
          </cell>
          <cell r="C181">
            <v>62.66</v>
          </cell>
          <cell r="D181" t="str">
            <v>DFL</v>
          </cell>
          <cell r="E181">
            <v>138.08000000000001</v>
          </cell>
          <cell r="F181">
            <v>1.0145</v>
          </cell>
        </row>
        <row r="182">
          <cell r="A182">
            <v>889465</v>
          </cell>
          <cell r="B182" t="str">
            <v>EURO</v>
          </cell>
          <cell r="C182">
            <v>25.71</v>
          </cell>
          <cell r="D182" t="str">
            <v>DFL</v>
          </cell>
          <cell r="E182">
            <v>56.66</v>
          </cell>
          <cell r="F182">
            <v>1.0145</v>
          </cell>
        </row>
        <row r="183">
          <cell r="A183">
            <v>889526</v>
          </cell>
          <cell r="B183" t="str">
            <v>EURO</v>
          </cell>
          <cell r="C183">
            <v>75.11</v>
          </cell>
          <cell r="D183" t="str">
            <v>DFL</v>
          </cell>
          <cell r="E183">
            <v>165.52</v>
          </cell>
          <cell r="F183">
            <v>1.0145</v>
          </cell>
        </row>
        <row r="184">
          <cell r="A184">
            <v>889541</v>
          </cell>
          <cell r="B184" t="str">
            <v>EURO</v>
          </cell>
          <cell r="C184">
            <v>139.15</v>
          </cell>
          <cell r="D184" t="str">
            <v>DFL</v>
          </cell>
          <cell r="E184">
            <v>306.64999999999998</v>
          </cell>
          <cell r="F184">
            <v>1.0145</v>
          </cell>
        </row>
        <row r="185">
          <cell r="A185">
            <v>889544</v>
          </cell>
          <cell r="B185" t="str">
            <v>EURO</v>
          </cell>
          <cell r="C185">
            <v>139.15</v>
          </cell>
          <cell r="D185" t="str">
            <v>DFL</v>
          </cell>
          <cell r="E185">
            <v>306.64999999999998</v>
          </cell>
          <cell r="F185">
            <v>1.0145</v>
          </cell>
        </row>
        <row r="186">
          <cell r="A186">
            <v>889547</v>
          </cell>
          <cell r="B186" t="str">
            <v>EURO</v>
          </cell>
          <cell r="C186">
            <v>139.15</v>
          </cell>
          <cell r="D186" t="str">
            <v>DFL</v>
          </cell>
          <cell r="E186">
            <v>306.64999999999998</v>
          </cell>
          <cell r="F186">
            <v>1.0145</v>
          </cell>
        </row>
        <row r="187">
          <cell r="A187">
            <v>889550</v>
          </cell>
          <cell r="B187" t="str">
            <v>EURO</v>
          </cell>
          <cell r="C187">
            <v>139.15</v>
          </cell>
          <cell r="D187" t="str">
            <v>DFL</v>
          </cell>
          <cell r="E187">
            <v>306.64999999999998</v>
          </cell>
          <cell r="F187">
            <v>1.0145</v>
          </cell>
        </row>
        <row r="188">
          <cell r="A188">
            <v>889553</v>
          </cell>
          <cell r="B188" t="str">
            <v>EURO</v>
          </cell>
          <cell r="C188">
            <v>24.34</v>
          </cell>
          <cell r="D188" t="str">
            <v>DFL</v>
          </cell>
          <cell r="E188">
            <v>53.64</v>
          </cell>
          <cell r="F188">
            <v>1.0145</v>
          </cell>
        </row>
        <row r="189">
          <cell r="A189">
            <v>889556</v>
          </cell>
          <cell r="B189" t="str">
            <v>EURO</v>
          </cell>
          <cell r="C189">
            <v>24.34</v>
          </cell>
          <cell r="D189" t="str">
            <v>DFL</v>
          </cell>
          <cell r="E189">
            <v>53.64</v>
          </cell>
          <cell r="F189">
            <v>1.0145</v>
          </cell>
        </row>
        <row r="190">
          <cell r="A190">
            <v>889559</v>
          </cell>
          <cell r="B190" t="str">
            <v>EURO</v>
          </cell>
          <cell r="C190">
            <v>24.34</v>
          </cell>
          <cell r="D190" t="str">
            <v>DFL</v>
          </cell>
          <cell r="E190">
            <v>53.64</v>
          </cell>
          <cell r="F190">
            <v>1.0145</v>
          </cell>
        </row>
        <row r="191">
          <cell r="A191">
            <v>889562</v>
          </cell>
          <cell r="B191" t="str">
            <v>EURO</v>
          </cell>
          <cell r="C191">
            <v>24.34</v>
          </cell>
          <cell r="D191" t="str">
            <v>DFL</v>
          </cell>
          <cell r="E191">
            <v>53.64</v>
          </cell>
          <cell r="F191">
            <v>1.0145</v>
          </cell>
        </row>
        <row r="192">
          <cell r="A192">
            <v>889580</v>
          </cell>
          <cell r="B192" t="str">
            <v>EURO</v>
          </cell>
          <cell r="C192">
            <v>110.93</v>
          </cell>
          <cell r="D192" t="str">
            <v>DFL</v>
          </cell>
          <cell r="E192">
            <v>244.46</v>
          </cell>
          <cell r="F192">
            <v>1.0145</v>
          </cell>
        </row>
        <row r="193">
          <cell r="A193">
            <v>889603</v>
          </cell>
          <cell r="B193" t="str">
            <v>EURO</v>
          </cell>
          <cell r="C193">
            <v>123.15</v>
          </cell>
          <cell r="D193" t="str">
            <v>DFL</v>
          </cell>
          <cell r="E193">
            <v>271.39</v>
          </cell>
          <cell r="F193">
            <v>1.0145</v>
          </cell>
        </row>
        <row r="194">
          <cell r="A194">
            <v>889606</v>
          </cell>
          <cell r="B194" t="str">
            <v>EURO</v>
          </cell>
          <cell r="C194">
            <v>79.12</v>
          </cell>
          <cell r="D194" t="str">
            <v>DFL</v>
          </cell>
          <cell r="E194">
            <v>174.36</v>
          </cell>
          <cell r="F194">
            <v>1.0145</v>
          </cell>
        </row>
        <row r="195">
          <cell r="A195">
            <v>889614</v>
          </cell>
          <cell r="B195" t="str">
            <v>EURO</v>
          </cell>
          <cell r="C195">
            <v>38.42</v>
          </cell>
          <cell r="D195" t="str">
            <v>DFL</v>
          </cell>
          <cell r="E195">
            <v>84.67</v>
          </cell>
          <cell r="F195">
            <v>1.0145</v>
          </cell>
        </row>
        <row r="196">
          <cell r="A196">
            <v>889735</v>
          </cell>
          <cell r="B196" t="str">
            <v>EURO</v>
          </cell>
          <cell r="C196">
            <v>176.84</v>
          </cell>
          <cell r="D196" t="str">
            <v>DFL</v>
          </cell>
          <cell r="E196">
            <v>389.7</v>
          </cell>
          <cell r="F196">
            <v>1.0145</v>
          </cell>
        </row>
        <row r="197">
          <cell r="A197">
            <v>889736</v>
          </cell>
          <cell r="B197" t="str">
            <v>EURO</v>
          </cell>
          <cell r="C197">
            <v>57.87</v>
          </cell>
          <cell r="D197" t="str">
            <v>DFL</v>
          </cell>
          <cell r="E197">
            <v>127.53</v>
          </cell>
          <cell r="F197">
            <v>1.0145</v>
          </cell>
        </row>
        <row r="198">
          <cell r="A198">
            <v>889737</v>
          </cell>
          <cell r="B198" t="str">
            <v>EURO</v>
          </cell>
          <cell r="C198">
            <v>61.83</v>
          </cell>
          <cell r="D198" t="str">
            <v>DFL</v>
          </cell>
          <cell r="E198">
            <v>136.26</v>
          </cell>
          <cell r="F198">
            <v>1.0145</v>
          </cell>
        </row>
        <row r="199">
          <cell r="A199">
            <v>889744</v>
          </cell>
          <cell r="B199" t="str">
            <v>EURO</v>
          </cell>
          <cell r="C199">
            <v>41.85</v>
          </cell>
          <cell r="D199" t="str">
            <v>DFL</v>
          </cell>
          <cell r="E199">
            <v>92.23</v>
          </cell>
          <cell r="F199">
            <v>1.0145</v>
          </cell>
        </row>
        <row r="200">
          <cell r="A200">
            <v>889759</v>
          </cell>
          <cell r="B200" t="str">
            <v>EURO</v>
          </cell>
          <cell r="C200">
            <v>21.23</v>
          </cell>
          <cell r="D200" t="str">
            <v>DFL</v>
          </cell>
          <cell r="E200">
            <v>46.78</v>
          </cell>
          <cell r="F200">
            <v>1.0145</v>
          </cell>
        </row>
        <row r="201">
          <cell r="A201">
            <v>889760</v>
          </cell>
          <cell r="B201" t="str">
            <v>EURO</v>
          </cell>
          <cell r="C201">
            <v>21.23</v>
          </cell>
          <cell r="D201" t="str">
            <v>DFL</v>
          </cell>
          <cell r="E201">
            <v>46.78</v>
          </cell>
          <cell r="F201">
            <v>1.0145</v>
          </cell>
        </row>
        <row r="202">
          <cell r="A202">
            <v>889761</v>
          </cell>
          <cell r="B202" t="str">
            <v>EURO</v>
          </cell>
          <cell r="C202">
            <v>21.23</v>
          </cell>
          <cell r="D202" t="str">
            <v>DFL</v>
          </cell>
          <cell r="E202">
            <v>46.78</v>
          </cell>
          <cell r="F202">
            <v>1.0145</v>
          </cell>
        </row>
        <row r="203">
          <cell r="A203">
            <v>889762</v>
          </cell>
          <cell r="B203" t="str">
            <v>EURO</v>
          </cell>
          <cell r="C203">
            <v>21.23</v>
          </cell>
          <cell r="D203" t="str">
            <v>DFL</v>
          </cell>
          <cell r="E203">
            <v>46.78</v>
          </cell>
          <cell r="F203">
            <v>1.0145</v>
          </cell>
        </row>
        <row r="204">
          <cell r="A204">
            <v>889776</v>
          </cell>
          <cell r="B204" t="str">
            <v>EURO</v>
          </cell>
          <cell r="C204">
            <v>148.63999999999999</v>
          </cell>
          <cell r="D204" t="str">
            <v>DFL</v>
          </cell>
          <cell r="E204">
            <v>327.56</v>
          </cell>
          <cell r="F204">
            <v>1.0145</v>
          </cell>
        </row>
        <row r="205">
          <cell r="A205">
            <v>889855</v>
          </cell>
          <cell r="B205" t="str">
            <v>EURO</v>
          </cell>
          <cell r="C205">
            <v>38.880000000000003</v>
          </cell>
          <cell r="D205" t="str">
            <v>DFL</v>
          </cell>
          <cell r="E205">
            <v>85.68</v>
          </cell>
          <cell r="F205">
            <v>1.0145</v>
          </cell>
        </row>
        <row r="206">
          <cell r="A206">
            <v>889873</v>
          </cell>
          <cell r="B206" t="str">
            <v>EURO</v>
          </cell>
          <cell r="C206">
            <v>126.84</v>
          </cell>
          <cell r="D206" t="str">
            <v>DFL</v>
          </cell>
          <cell r="E206">
            <v>279.52</v>
          </cell>
          <cell r="F206">
            <v>1.0145</v>
          </cell>
        </row>
        <row r="207">
          <cell r="A207">
            <v>889880</v>
          </cell>
          <cell r="B207" t="str">
            <v>EURO</v>
          </cell>
          <cell r="C207">
            <v>21.23</v>
          </cell>
          <cell r="D207" t="str">
            <v>DFL</v>
          </cell>
          <cell r="E207">
            <v>46.78</v>
          </cell>
          <cell r="F207">
            <v>1.0145</v>
          </cell>
        </row>
        <row r="208">
          <cell r="A208">
            <v>889881</v>
          </cell>
          <cell r="B208" t="str">
            <v>EURO</v>
          </cell>
          <cell r="C208">
            <v>21.23</v>
          </cell>
          <cell r="D208" t="str">
            <v>DFL</v>
          </cell>
          <cell r="E208">
            <v>46.78</v>
          </cell>
          <cell r="F208">
            <v>1.0145</v>
          </cell>
        </row>
        <row r="209">
          <cell r="A209">
            <v>889882</v>
          </cell>
          <cell r="B209" t="str">
            <v>EURO</v>
          </cell>
          <cell r="C209">
            <v>21.23</v>
          </cell>
          <cell r="D209" t="str">
            <v>DFL</v>
          </cell>
          <cell r="E209">
            <v>46.78</v>
          </cell>
          <cell r="F209">
            <v>1.0145</v>
          </cell>
        </row>
        <row r="210">
          <cell r="A210">
            <v>893801</v>
          </cell>
          <cell r="B210" t="str">
            <v>EURO</v>
          </cell>
          <cell r="C210">
            <v>41</v>
          </cell>
          <cell r="D210" t="str">
            <v>DFL</v>
          </cell>
          <cell r="E210">
            <v>90.35</v>
          </cell>
          <cell r="F210">
            <v>1.0145</v>
          </cell>
        </row>
        <row r="211">
          <cell r="A211">
            <v>893802</v>
          </cell>
          <cell r="B211" t="str">
            <v>EURO</v>
          </cell>
          <cell r="C211">
            <v>348.02</v>
          </cell>
          <cell r="D211" t="str">
            <v>DFL</v>
          </cell>
          <cell r="E211">
            <v>766.94</v>
          </cell>
          <cell r="F211">
            <v>1.0145</v>
          </cell>
        </row>
        <row r="212">
          <cell r="A212">
            <v>893962</v>
          </cell>
          <cell r="B212" t="str">
            <v>EURO</v>
          </cell>
          <cell r="C212">
            <v>24.24</v>
          </cell>
          <cell r="D212" t="str">
            <v>DFL</v>
          </cell>
          <cell r="E212">
            <v>53.42</v>
          </cell>
          <cell r="F212">
            <v>1.0145</v>
          </cell>
        </row>
        <row r="213">
          <cell r="A213">
            <v>893963</v>
          </cell>
          <cell r="B213" t="str">
            <v>EURO</v>
          </cell>
          <cell r="C213">
            <v>24.24</v>
          </cell>
          <cell r="D213" t="str">
            <v>DFL</v>
          </cell>
          <cell r="E213">
            <v>53.42</v>
          </cell>
          <cell r="F213">
            <v>1.0145</v>
          </cell>
        </row>
        <row r="214">
          <cell r="A214">
            <v>893965</v>
          </cell>
          <cell r="B214" t="str">
            <v>EURO</v>
          </cell>
          <cell r="C214">
            <v>24.24</v>
          </cell>
          <cell r="D214" t="str">
            <v>DFL</v>
          </cell>
          <cell r="E214">
            <v>53.42</v>
          </cell>
          <cell r="F214">
            <v>1.0145</v>
          </cell>
        </row>
        <row r="215">
          <cell r="A215">
            <v>893970</v>
          </cell>
          <cell r="B215" t="str">
            <v>EURO</v>
          </cell>
          <cell r="C215">
            <v>19.010000000000002</v>
          </cell>
          <cell r="D215" t="str">
            <v>DFL</v>
          </cell>
          <cell r="E215">
            <v>41.89</v>
          </cell>
          <cell r="F215">
            <v>1.0145</v>
          </cell>
        </row>
        <row r="216">
          <cell r="A216">
            <v>894101</v>
          </cell>
          <cell r="B216" t="str">
            <v>EURO</v>
          </cell>
          <cell r="C216">
            <v>38.799999999999997</v>
          </cell>
          <cell r="D216" t="str">
            <v>DFL</v>
          </cell>
          <cell r="E216">
            <v>85.5</v>
          </cell>
          <cell r="F216">
            <v>1.0145</v>
          </cell>
        </row>
        <row r="217">
          <cell r="A217">
            <v>894716</v>
          </cell>
          <cell r="B217" t="str">
            <v>EURO</v>
          </cell>
          <cell r="C217">
            <v>182.06</v>
          </cell>
          <cell r="D217" t="str">
            <v>DFL</v>
          </cell>
          <cell r="E217">
            <v>401.21</v>
          </cell>
          <cell r="F217">
            <v>1.0145</v>
          </cell>
        </row>
        <row r="218">
          <cell r="A218">
            <v>894718</v>
          </cell>
          <cell r="B218" t="str">
            <v>EURO</v>
          </cell>
          <cell r="C218">
            <v>182.06</v>
          </cell>
          <cell r="D218" t="str">
            <v>DFL</v>
          </cell>
          <cell r="E218">
            <v>401.21</v>
          </cell>
          <cell r="F218">
            <v>1.0145</v>
          </cell>
        </row>
      </sheetData>
      <sheetData sheetId="16" refreshError="1">
        <row r="6">
          <cell r="D6">
            <v>317927</v>
          </cell>
          <cell r="E6" t="str">
            <v>EURO</v>
          </cell>
          <cell r="F6">
            <v>12.9</v>
          </cell>
          <cell r="G6" t="str">
            <v>20000101</v>
          </cell>
          <cell r="H6" t="str">
            <v>20991231</v>
          </cell>
          <cell r="I6" t="str">
            <v>12.20</v>
          </cell>
          <cell r="J6" t="str">
            <v>105.74</v>
          </cell>
          <cell r="K6">
            <v>1.0573999999999999</v>
          </cell>
        </row>
        <row r="7">
          <cell r="D7">
            <v>209307</v>
          </cell>
          <cell r="E7" t="str">
            <v>EURO</v>
          </cell>
          <cell r="F7">
            <v>19.37</v>
          </cell>
          <cell r="G7" t="str">
            <v>20000101</v>
          </cell>
          <cell r="H7" t="str">
            <v>20991231</v>
          </cell>
          <cell r="I7" t="str">
            <v>18.32</v>
          </cell>
          <cell r="J7" t="str">
            <v>105.73</v>
          </cell>
          <cell r="K7">
            <v>1.0573000000000001</v>
          </cell>
        </row>
        <row r="8">
          <cell r="D8">
            <v>410133</v>
          </cell>
          <cell r="E8" t="str">
            <v>EURO</v>
          </cell>
          <cell r="F8">
            <v>19.37</v>
          </cell>
          <cell r="G8" t="str">
            <v>20000101</v>
          </cell>
          <cell r="H8" t="str">
            <v>20991231</v>
          </cell>
          <cell r="I8" t="str">
            <v>18.32</v>
          </cell>
          <cell r="J8" t="str">
            <v>105.73</v>
          </cell>
          <cell r="K8">
            <v>1.0573000000000001</v>
          </cell>
        </row>
        <row r="9">
          <cell r="D9">
            <v>207866</v>
          </cell>
          <cell r="E9" t="str">
            <v>EURO</v>
          </cell>
          <cell r="F9">
            <v>23.06</v>
          </cell>
          <cell r="G9" t="str">
            <v>20000101</v>
          </cell>
          <cell r="H9" t="str">
            <v>20991231</v>
          </cell>
          <cell r="I9" t="str">
            <v>21.81</v>
          </cell>
          <cell r="J9" t="str">
            <v>105.73</v>
          </cell>
          <cell r="K9">
            <v>1.0573000000000001</v>
          </cell>
        </row>
        <row r="10">
          <cell r="D10">
            <v>208171</v>
          </cell>
          <cell r="E10" t="str">
            <v>EURO</v>
          </cell>
          <cell r="F10">
            <v>17.739999999999998</v>
          </cell>
          <cell r="G10" t="str">
            <v>20000101</v>
          </cell>
          <cell r="H10" t="str">
            <v>20991231</v>
          </cell>
          <cell r="I10" t="str">
            <v>16.78</v>
          </cell>
          <cell r="J10" t="str">
            <v>105.72</v>
          </cell>
          <cell r="K10">
            <v>1.0571999999999999</v>
          </cell>
        </row>
        <row r="11">
          <cell r="D11">
            <v>208532</v>
          </cell>
          <cell r="E11" t="str">
            <v>EURO</v>
          </cell>
          <cell r="F11">
            <v>14.19</v>
          </cell>
          <cell r="G11" t="str">
            <v>20000101</v>
          </cell>
          <cell r="H11" t="str">
            <v>20991231</v>
          </cell>
          <cell r="I11" t="str">
            <v>13.42</v>
          </cell>
          <cell r="J11" t="str">
            <v>105.74</v>
          </cell>
          <cell r="K11">
            <v>1.0573999999999999</v>
          </cell>
        </row>
        <row r="12">
          <cell r="D12">
            <v>889015</v>
          </cell>
          <cell r="E12" t="str">
            <v>EURO</v>
          </cell>
          <cell r="F12">
            <v>99.26</v>
          </cell>
          <cell r="G12" t="str">
            <v>20000101</v>
          </cell>
          <cell r="H12" t="str">
            <v>20991231</v>
          </cell>
          <cell r="I12" t="str">
            <v>93.89</v>
          </cell>
          <cell r="J12" t="str">
            <v>105.72</v>
          </cell>
          <cell r="K12">
            <v>1.0571999999999999</v>
          </cell>
        </row>
        <row r="13">
          <cell r="D13">
            <v>889260</v>
          </cell>
          <cell r="E13" t="str">
            <v>EURO</v>
          </cell>
          <cell r="F13">
            <v>94.99</v>
          </cell>
          <cell r="G13" t="str">
            <v>20000101</v>
          </cell>
          <cell r="H13" t="str">
            <v>20991231</v>
          </cell>
          <cell r="I13" t="str">
            <v>89.85</v>
          </cell>
          <cell r="J13" t="str">
            <v>105.72</v>
          </cell>
          <cell r="K13">
            <v>1.0571999999999999</v>
          </cell>
        </row>
        <row r="14">
          <cell r="D14">
            <v>889351</v>
          </cell>
          <cell r="E14" t="str">
            <v>EURO</v>
          </cell>
          <cell r="F14">
            <v>103.06</v>
          </cell>
          <cell r="G14" t="str">
            <v>20000101</v>
          </cell>
          <cell r="H14" t="str">
            <v>20991231</v>
          </cell>
          <cell r="I14" t="str">
            <v>97.48</v>
          </cell>
          <cell r="J14" t="str">
            <v>105.72</v>
          </cell>
          <cell r="K14">
            <v>1.0571999999999999</v>
          </cell>
        </row>
        <row r="15">
          <cell r="D15">
            <v>889776</v>
          </cell>
          <cell r="E15" t="str">
            <v>EURO</v>
          </cell>
          <cell r="F15">
            <v>157.13999999999999</v>
          </cell>
          <cell r="G15" t="str">
            <v>20000101</v>
          </cell>
          <cell r="H15" t="str">
            <v>20991231</v>
          </cell>
          <cell r="I15" t="str">
            <v>148.64</v>
          </cell>
          <cell r="J15" t="str">
            <v>105.72</v>
          </cell>
          <cell r="K15">
            <v>1.0571999999999999</v>
          </cell>
        </row>
        <row r="16">
          <cell r="D16">
            <v>887754</v>
          </cell>
          <cell r="E16" t="str">
            <v>EURO</v>
          </cell>
          <cell r="F16">
            <v>31.53</v>
          </cell>
          <cell r="G16" t="str">
            <v>20000101</v>
          </cell>
          <cell r="H16" t="str">
            <v>20991231</v>
          </cell>
          <cell r="I16" t="str">
            <v>29.82</v>
          </cell>
          <cell r="J16" t="str">
            <v>105.73</v>
          </cell>
          <cell r="K16">
            <v>1.0573000000000001</v>
          </cell>
        </row>
        <row r="17">
          <cell r="D17">
            <v>889347</v>
          </cell>
          <cell r="E17" t="str">
            <v>EURO</v>
          </cell>
          <cell r="F17">
            <v>191.74</v>
          </cell>
          <cell r="G17" t="str">
            <v>20000101</v>
          </cell>
          <cell r="H17" t="str">
            <v>20991231</v>
          </cell>
          <cell r="I17" t="str">
            <v>181.37</v>
          </cell>
          <cell r="J17" t="str">
            <v>105.72</v>
          </cell>
          <cell r="K17">
            <v>1.0571999999999999</v>
          </cell>
        </row>
        <row r="18">
          <cell r="D18">
            <v>889606</v>
          </cell>
          <cell r="E18" t="str">
            <v>EURO</v>
          </cell>
          <cell r="F18">
            <v>83.65</v>
          </cell>
          <cell r="G18" t="str">
            <v>20000101</v>
          </cell>
          <cell r="H18" t="str">
            <v>20991231</v>
          </cell>
          <cell r="I18" t="str">
            <v>79.12</v>
          </cell>
          <cell r="J18" t="str">
            <v>105.73</v>
          </cell>
          <cell r="K18">
            <v>1.0573000000000001</v>
          </cell>
        </row>
        <row r="19">
          <cell r="D19">
            <v>339588</v>
          </cell>
          <cell r="E19" t="str">
            <v>EURO</v>
          </cell>
          <cell r="F19">
            <v>120.62</v>
          </cell>
          <cell r="G19" t="str">
            <v>20000101</v>
          </cell>
          <cell r="H19" t="str">
            <v>20991231</v>
          </cell>
          <cell r="I19" t="str">
            <v>114.09</v>
          </cell>
          <cell r="J19" t="str">
            <v>105.72</v>
          </cell>
          <cell r="K19">
            <v>1.0571999999999999</v>
          </cell>
        </row>
        <row r="20">
          <cell r="D20">
            <v>887675</v>
          </cell>
          <cell r="E20" t="str">
            <v>EURO</v>
          </cell>
          <cell r="F20">
            <v>179.14</v>
          </cell>
          <cell r="G20" t="str">
            <v>20000101</v>
          </cell>
          <cell r="H20" t="str">
            <v>20991231</v>
          </cell>
          <cell r="I20" t="str">
            <v>169.45</v>
          </cell>
          <cell r="J20" t="str">
            <v>105.72</v>
          </cell>
          <cell r="K20">
            <v>1.0571999999999999</v>
          </cell>
        </row>
        <row r="21">
          <cell r="D21">
            <v>352900</v>
          </cell>
          <cell r="E21" t="str">
            <v>EURO</v>
          </cell>
          <cell r="F21">
            <v>31.77</v>
          </cell>
          <cell r="G21" t="str">
            <v>20000101</v>
          </cell>
          <cell r="H21" t="str">
            <v>20991231</v>
          </cell>
          <cell r="I21" t="str">
            <v>30.05</v>
          </cell>
          <cell r="J21" t="str">
            <v>105.72</v>
          </cell>
          <cell r="K21">
            <v>1.0571999999999999</v>
          </cell>
        </row>
        <row r="22">
          <cell r="D22">
            <v>358810</v>
          </cell>
          <cell r="E22" t="str">
            <v>EURO</v>
          </cell>
          <cell r="F22">
            <v>25.63</v>
          </cell>
          <cell r="G22" t="str">
            <v>20000101</v>
          </cell>
          <cell r="H22" t="str">
            <v>20991231</v>
          </cell>
          <cell r="I22" t="str">
            <v>24.24</v>
          </cell>
          <cell r="J22" t="str">
            <v>105.73</v>
          </cell>
          <cell r="K22">
            <v>1.0573000000000001</v>
          </cell>
        </row>
        <row r="23">
          <cell r="D23">
            <v>352823</v>
          </cell>
          <cell r="E23" t="str">
            <v>EURO</v>
          </cell>
          <cell r="F23">
            <v>50.78</v>
          </cell>
          <cell r="G23" t="str">
            <v>20000101</v>
          </cell>
          <cell r="H23" t="str">
            <v>20991231</v>
          </cell>
          <cell r="I23" t="str">
            <v>48.03</v>
          </cell>
          <cell r="J23" t="str">
            <v>105.73</v>
          </cell>
          <cell r="K23">
            <v>1.0573000000000001</v>
          </cell>
        </row>
        <row r="24">
          <cell r="D24">
            <v>352822</v>
          </cell>
          <cell r="E24" t="str">
            <v>EURO</v>
          </cell>
          <cell r="F24">
            <v>56.38</v>
          </cell>
          <cell r="G24" t="str">
            <v>20000101</v>
          </cell>
          <cell r="H24" t="str">
            <v>20991231</v>
          </cell>
          <cell r="I24" t="str">
            <v>53.33</v>
          </cell>
          <cell r="J24" t="str">
            <v>105.72</v>
          </cell>
          <cell r="K24">
            <v>1.0571999999999999</v>
          </cell>
        </row>
        <row r="25">
          <cell r="D25">
            <v>392000</v>
          </cell>
          <cell r="E25" t="str">
            <v>EURO</v>
          </cell>
          <cell r="F25">
            <v>51.74</v>
          </cell>
          <cell r="G25" t="str">
            <v>20000101</v>
          </cell>
          <cell r="H25" t="str">
            <v>20991231</v>
          </cell>
          <cell r="I25" t="str">
            <v>48.94</v>
          </cell>
          <cell r="J25" t="str">
            <v>105.72</v>
          </cell>
          <cell r="K25">
            <v>1.0571999999999999</v>
          </cell>
        </row>
        <row r="26">
          <cell r="D26">
            <v>357140</v>
          </cell>
          <cell r="E26" t="str">
            <v>EURO</v>
          </cell>
          <cell r="F26">
            <v>73.91</v>
          </cell>
          <cell r="G26" t="str">
            <v>20000101</v>
          </cell>
          <cell r="H26" t="str">
            <v>20991231</v>
          </cell>
          <cell r="I26" t="str">
            <v>69.91</v>
          </cell>
          <cell r="J26" t="str">
            <v>105.72</v>
          </cell>
          <cell r="K26">
            <v>1.0571999999999999</v>
          </cell>
        </row>
        <row r="27">
          <cell r="D27">
            <v>352903</v>
          </cell>
          <cell r="E27" t="str">
            <v>EURO</v>
          </cell>
          <cell r="F27">
            <v>26.47</v>
          </cell>
          <cell r="G27" t="str">
            <v>20000101</v>
          </cell>
          <cell r="H27" t="str">
            <v>20991231</v>
          </cell>
          <cell r="I27" t="str">
            <v>25.04</v>
          </cell>
          <cell r="J27" t="str">
            <v>105.71</v>
          </cell>
          <cell r="K27">
            <v>1.0570999999999999</v>
          </cell>
        </row>
        <row r="28">
          <cell r="D28">
            <v>358601</v>
          </cell>
          <cell r="E28" t="str">
            <v>EURO</v>
          </cell>
          <cell r="F28">
            <v>68.89</v>
          </cell>
          <cell r="G28" t="str">
            <v>20000101</v>
          </cell>
          <cell r="H28" t="str">
            <v>20991231</v>
          </cell>
          <cell r="I28" t="str">
            <v>65.16</v>
          </cell>
          <cell r="J28" t="str">
            <v>105.72</v>
          </cell>
          <cell r="K28">
            <v>1.0571999999999999</v>
          </cell>
        </row>
        <row r="29">
          <cell r="D29">
            <v>394800</v>
          </cell>
          <cell r="E29" t="str">
            <v>EURO</v>
          </cell>
          <cell r="F29">
            <v>75.92</v>
          </cell>
          <cell r="G29" t="str">
            <v>20000101</v>
          </cell>
          <cell r="H29" t="str">
            <v>20991231</v>
          </cell>
          <cell r="I29" t="str">
            <v>71.81</v>
          </cell>
          <cell r="J29" t="str">
            <v>105.72</v>
          </cell>
          <cell r="K29">
            <v>1.0571999999999999</v>
          </cell>
        </row>
        <row r="30">
          <cell r="D30">
            <v>357270</v>
          </cell>
          <cell r="E30" t="str">
            <v>EURO</v>
          </cell>
          <cell r="F30">
            <v>69.19</v>
          </cell>
          <cell r="G30" t="str">
            <v>20000101</v>
          </cell>
          <cell r="H30" t="str">
            <v>20991231</v>
          </cell>
          <cell r="I30" t="str">
            <v>65.45</v>
          </cell>
          <cell r="J30" t="str">
            <v>105.71</v>
          </cell>
          <cell r="K30">
            <v>1.0570999999999999</v>
          </cell>
        </row>
        <row r="31">
          <cell r="D31">
            <v>357136</v>
          </cell>
          <cell r="E31" t="str">
            <v>EURO</v>
          </cell>
          <cell r="F31">
            <v>69.19</v>
          </cell>
          <cell r="G31" t="str">
            <v>20000101</v>
          </cell>
          <cell r="H31" t="str">
            <v>20991231</v>
          </cell>
          <cell r="I31" t="str">
            <v>65.45</v>
          </cell>
          <cell r="J31" t="str">
            <v>105.71</v>
          </cell>
          <cell r="K31">
            <v>1.0570999999999999</v>
          </cell>
        </row>
        <row r="32">
          <cell r="D32">
            <v>358652</v>
          </cell>
          <cell r="E32" t="str">
            <v>EURO</v>
          </cell>
          <cell r="F32">
            <v>69.19</v>
          </cell>
          <cell r="G32" t="str">
            <v>20000101</v>
          </cell>
          <cell r="H32" t="str">
            <v>20991231</v>
          </cell>
          <cell r="I32" t="str">
            <v>65.45</v>
          </cell>
          <cell r="J32" t="str">
            <v>105.71</v>
          </cell>
          <cell r="K32">
            <v>1.0570999999999999</v>
          </cell>
        </row>
        <row r="33">
          <cell r="D33">
            <v>352913</v>
          </cell>
          <cell r="E33" t="str">
            <v>EURO</v>
          </cell>
          <cell r="F33">
            <v>147.88</v>
          </cell>
          <cell r="G33" t="str">
            <v>20000101</v>
          </cell>
          <cell r="H33" t="str">
            <v>20991231</v>
          </cell>
          <cell r="I33" t="str">
            <v>139.88</v>
          </cell>
          <cell r="J33" t="str">
            <v>105.72</v>
          </cell>
          <cell r="K33">
            <v>1.0571999999999999</v>
          </cell>
        </row>
        <row r="34">
          <cell r="D34">
            <v>394600</v>
          </cell>
          <cell r="E34" t="str">
            <v>EURO</v>
          </cell>
          <cell r="F34">
            <v>83.02</v>
          </cell>
          <cell r="G34" t="str">
            <v>20000101</v>
          </cell>
          <cell r="H34" t="str">
            <v>20991231</v>
          </cell>
          <cell r="I34" t="str">
            <v>78.53</v>
          </cell>
          <cell r="J34" t="str">
            <v>105.72</v>
          </cell>
          <cell r="K34">
            <v>1.0571999999999999</v>
          </cell>
        </row>
        <row r="35">
          <cell r="D35">
            <v>352912</v>
          </cell>
          <cell r="E35" t="str">
            <v>EURO</v>
          </cell>
          <cell r="F35">
            <v>159.9</v>
          </cell>
          <cell r="G35" t="str">
            <v>20000101</v>
          </cell>
          <cell r="H35" t="str">
            <v>20991231</v>
          </cell>
          <cell r="I35" t="str">
            <v>151.25</v>
          </cell>
          <cell r="J35" t="str">
            <v>105.72</v>
          </cell>
          <cell r="K35">
            <v>1.0571999999999999</v>
          </cell>
        </row>
        <row r="36">
          <cell r="D36">
            <v>358800</v>
          </cell>
          <cell r="E36" t="str">
            <v>EURO</v>
          </cell>
          <cell r="F36">
            <v>56.91</v>
          </cell>
          <cell r="G36" t="str">
            <v>20000101</v>
          </cell>
          <cell r="H36" t="str">
            <v>20991231</v>
          </cell>
          <cell r="I36" t="str">
            <v>53.83</v>
          </cell>
          <cell r="J36" t="str">
            <v>105.72</v>
          </cell>
          <cell r="K36">
            <v>1.0571999999999999</v>
          </cell>
        </row>
        <row r="37">
          <cell r="D37">
            <v>357126</v>
          </cell>
          <cell r="E37" t="str">
            <v>EURO</v>
          </cell>
          <cell r="F37">
            <v>16.010000000000002</v>
          </cell>
          <cell r="G37" t="str">
            <v>20000101</v>
          </cell>
          <cell r="H37" t="str">
            <v>20991231</v>
          </cell>
          <cell r="I37" t="str">
            <v>15.14</v>
          </cell>
          <cell r="J37" t="str">
            <v>105.75</v>
          </cell>
          <cell r="K37">
            <v>1.0575000000000001</v>
          </cell>
        </row>
        <row r="38">
          <cell r="D38">
            <v>889873</v>
          </cell>
          <cell r="E38" t="str">
            <v>EURO</v>
          </cell>
          <cell r="F38">
            <v>134.1</v>
          </cell>
          <cell r="G38" t="str">
            <v>20000101</v>
          </cell>
          <cell r="H38" t="str">
            <v>20991231</v>
          </cell>
          <cell r="I38" t="str">
            <v>126.84</v>
          </cell>
          <cell r="J38" t="str">
            <v>105.72</v>
          </cell>
          <cell r="K38">
            <v>1.0571999999999999</v>
          </cell>
        </row>
        <row r="39">
          <cell r="D39">
            <v>352820</v>
          </cell>
          <cell r="E39" t="str">
            <v>EURO</v>
          </cell>
          <cell r="F39">
            <v>51.63</v>
          </cell>
          <cell r="G39" t="str">
            <v>20000101</v>
          </cell>
          <cell r="H39" t="str">
            <v>20991231</v>
          </cell>
          <cell r="I39" t="str">
            <v>48.84</v>
          </cell>
          <cell r="J39" t="str">
            <v>105.71</v>
          </cell>
          <cell r="K39">
            <v>1.0570999999999999</v>
          </cell>
        </row>
        <row r="40">
          <cell r="D40">
            <v>207946</v>
          </cell>
          <cell r="E40" t="str">
            <v>EURO</v>
          </cell>
          <cell r="F40">
            <v>20.11</v>
          </cell>
          <cell r="G40" t="str">
            <v>20000101</v>
          </cell>
          <cell r="H40" t="str">
            <v>20991231</v>
          </cell>
          <cell r="I40" t="str">
            <v>19.02</v>
          </cell>
          <cell r="J40" t="str">
            <v>105.73</v>
          </cell>
          <cell r="K40">
            <v>1.0573000000000001</v>
          </cell>
        </row>
        <row r="41">
          <cell r="D41">
            <v>619130</v>
          </cell>
          <cell r="E41" t="str">
            <v>EURO</v>
          </cell>
          <cell r="F41">
            <v>12.58</v>
          </cell>
          <cell r="G41" t="str">
            <v>20000101</v>
          </cell>
          <cell r="H41" t="str">
            <v>20991231</v>
          </cell>
          <cell r="I41" t="str">
            <v>11.90</v>
          </cell>
          <cell r="J41" t="str">
            <v>105.71</v>
          </cell>
          <cell r="K41">
            <v>1.0570999999999999</v>
          </cell>
        </row>
        <row r="42">
          <cell r="D42">
            <v>619132</v>
          </cell>
          <cell r="E42" t="str">
            <v>EURO</v>
          </cell>
          <cell r="F42">
            <v>10.06</v>
          </cell>
          <cell r="G42" t="str">
            <v>20000101</v>
          </cell>
          <cell r="H42" t="str">
            <v>20991231</v>
          </cell>
          <cell r="I42" t="str">
            <v>9.52</v>
          </cell>
          <cell r="J42" t="str">
            <v>105.67</v>
          </cell>
          <cell r="K42">
            <v>1.0567</v>
          </cell>
        </row>
        <row r="43">
          <cell r="D43">
            <v>814505</v>
          </cell>
          <cell r="E43" t="str">
            <v>EURO</v>
          </cell>
          <cell r="F43">
            <v>18.440000000000001</v>
          </cell>
          <cell r="G43" t="str">
            <v>20000101</v>
          </cell>
          <cell r="H43" t="str">
            <v>20991231</v>
          </cell>
          <cell r="I43" t="str">
            <v>17.44</v>
          </cell>
          <cell r="J43" t="str">
            <v>105.73</v>
          </cell>
          <cell r="K43">
            <v>1.0573000000000001</v>
          </cell>
        </row>
        <row r="44">
          <cell r="D44">
            <v>814514</v>
          </cell>
          <cell r="E44" t="str">
            <v>EURO</v>
          </cell>
          <cell r="F44">
            <v>117.63</v>
          </cell>
          <cell r="G44" t="str">
            <v>20000101</v>
          </cell>
          <cell r="H44" t="str">
            <v>20991231</v>
          </cell>
          <cell r="I44" t="str">
            <v>111.27</v>
          </cell>
          <cell r="J44" t="str">
            <v>105.72</v>
          </cell>
          <cell r="K44">
            <v>1.0571999999999999</v>
          </cell>
        </row>
        <row r="45">
          <cell r="D45">
            <v>612000</v>
          </cell>
          <cell r="E45" t="str">
            <v>EURO</v>
          </cell>
          <cell r="F45">
            <v>1.59</v>
          </cell>
          <cell r="G45" t="str">
            <v>20000101</v>
          </cell>
          <cell r="H45" t="str">
            <v>20991231</v>
          </cell>
          <cell r="I45" t="str">
            <v>1.50</v>
          </cell>
          <cell r="J45" t="str">
            <v>106.00</v>
          </cell>
          <cell r="K45">
            <v>1.06</v>
          </cell>
        </row>
        <row r="46">
          <cell r="D46">
            <v>893802</v>
          </cell>
          <cell r="E46" t="str">
            <v>EURO</v>
          </cell>
          <cell r="F46">
            <v>367.93</v>
          </cell>
          <cell r="G46" t="str">
            <v>20000101</v>
          </cell>
          <cell r="H46" t="str">
            <v>20991231</v>
          </cell>
          <cell r="I46" t="str">
            <v>348.02</v>
          </cell>
          <cell r="J46" t="str">
            <v>105.72</v>
          </cell>
          <cell r="K46">
            <v>1.0571999999999999</v>
          </cell>
        </row>
        <row r="47">
          <cell r="D47">
            <v>893801</v>
          </cell>
          <cell r="E47" t="str">
            <v>EURO</v>
          </cell>
          <cell r="F47">
            <v>43.35</v>
          </cell>
          <cell r="G47" t="str">
            <v>20000101</v>
          </cell>
          <cell r="H47" t="str">
            <v>20991231</v>
          </cell>
          <cell r="I47" t="str">
            <v>41.00</v>
          </cell>
          <cell r="J47" t="str">
            <v>105.73</v>
          </cell>
          <cell r="K47">
            <v>1.0573000000000001</v>
          </cell>
        </row>
        <row r="48">
          <cell r="D48">
            <v>614500</v>
          </cell>
          <cell r="E48" t="str">
            <v>EURO</v>
          </cell>
          <cell r="F48">
            <v>8.3000000000000007</v>
          </cell>
          <cell r="G48" t="str">
            <v>20000101</v>
          </cell>
          <cell r="H48" t="str">
            <v>20991231</v>
          </cell>
          <cell r="I48" t="str">
            <v>7.85</v>
          </cell>
          <cell r="J48" t="str">
            <v>105.73</v>
          </cell>
          <cell r="K48">
            <v>1.0573000000000001</v>
          </cell>
        </row>
        <row r="49">
          <cell r="D49">
            <v>613301</v>
          </cell>
          <cell r="E49" t="str">
            <v>EURO</v>
          </cell>
          <cell r="F49">
            <v>9.64</v>
          </cell>
          <cell r="G49" t="str">
            <v>20000101</v>
          </cell>
          <cell r="H49" t="str">
            <v>20991231</v>
          </cell>
          <cell r="I49" t="str">
            <v>9.12</v>
          </cell>
          <cell r="J49" t="str">
            <v>105.70</v>
          </cell>
          <cell r="K49">
            <v>1.0569999999999999</v>
          </cell>
        </row>
        <row r="50">
          <cell r="D50">
            <v>612101</v>
          </cell>
          <cell r="E50" t="str">
            <v>EURO</v>
          </cell>
          <cell r="F50">
            <v>6.79</v>
          </cell>
          <cell r="G50" t="str">
            <v>20000101</v>
          </cell>
          <cell r="H50" t="str">
            <v>20991231</v>
          </cell>
          <cell r="I50" t="str">
            <v>6.42</v>
          </cell>
          <cell r="J50" t="str">
            <v>105.76</v>
          </cell>
          <cell r="K50">
            <v>1.0576000000000001</v>
          </cell>
        </row>
        <row r="51">
          <cell r="D51">
            <v>880941</v>
          </cell>
          <cell r="E51" t="str">
            <v>EURO</v>
          </cell>
          <cell r="F51">
            <v>34.89</v>
          </cell>
          <cell r="G51" t="str">
            <v>20000101</v>
          </cell>
          <cell r="H51" t="str">
            <v>20991231</v>
          </cell>
          <cell r="I51" t="str">
            <v>33.00</v>
          </cell>
          <cell r="J51" t="str">
            <v>105.73</v>
          </cell>
          <cell r="K51">
            <v>1.0573000000000001</v>
          </cell>
        </row>
        <row r="52">
          <cell r="D52">
            <v>614502</v>
          </cell>
          <cell r="E52" t="str">
            <v>EURO</v>
          </cell>
          <cell r="F52">
            <v>4.8499999999999996</v>
          </cell>
          <cell r="G52" t="str">
            <v>20000101</v>
          </cell>
          <cell r="H52" t="str">
            <v>20991231</v>
          </cell>
          <cell r="I52" t="str">
            <v>4.59</v>
          </cell>
          <cell r="J52" t="str">
            <v>105.66</v>
          </cell>
          <cell r="K52">
            <v>1.0566</v>
          </cell>
        </row>
        <row r="53">
          <cell r="D53">
            <v>614501</v>
          </cell>
          <cell r="E53" t="str">
            <v>EURO</v>
          </cell>
          <cell r="F53">
            <v>7.04</v>
          </cell>
          <cell r="G53" t="str">
            <v>20000101</v>
          </cell>
          <cell r="H53" t="str">
            <v>20991231</v>
          </cell>
          <cell r="I53" t="str">
            <v>6.66</v>
          </cell>
          <cell r="J53" t="str">
            <v>105.71</v>
          </cell>
          <cell r="K53">
            <v>1.0570999999999999</v>
          </cell>
        </row>
        <row r="54">
          <cell r="D54">
            <v>810407</v>
          </cell>
          <cell r="E54" t="str">
            <v>EURO</v>
          </cell>
          <cell r="F54">
            <v>25.63</v>
          </cell>
          <cell r="G54" t="str">
            <v>20000101</v>
          </cell>
          <cell r="H54" t="str">
            <v>20991231</v>
          </cell>
          <cell r="I54" t="str">
            <v>24.24</v>
          </cell>
          <cell r="J54" t="str">
            <v>105.73</v>
          </cell>
          <cell r="K54">
            <v>1.0573000000000001</v>
          </cell>
        </row>
        <row r="55">
          <cell r="D55">
            <v>810403</v>
          </cell>
          <cell r="E55" t="str">
            <v>EURO</v>
          </cell>
          <cell r="F55">
            <v>25.63</v>
          </cell>
          <cell r="G55" t="str">
            <v>20000101</v>
          </cell>
          <cell r="H55" t="str">
            <v>20991231</v>
          </cell>
          <cell r="I55" t="str">
            <v>24.24</v>
          </cell>
          <cell r="J55" t="str">
            <v>105.73</v>
          </cell>
          <cell r="K55">
            <v>1.0573000000000001</v>
          </cell>
        </row>
        <row r="56">
          <cell r="D56">
            <v>810408</v>
          </cell>
          <cell r="E56" t="str">
            <v>EURO</v>
          </cell>
          <cell r="F56">
            <v>25.63</v>
          </cell>
          <cell r="G56" t="str">
            <v>20000101</v>
          </cell>
          <cell r="H56" t="str">
            <v>20991231</v>
          </cell>
          <cell r="I56" t="str">
            <v>24.24</v>
          </cell>
          <cell r="J56" t="str">
            <v>105.73</v>
          </cell>
          <cell r="K56">
            <v>1.0573000000000001</v>
          </cell>
        </row>
        <row r="57">
          <cell r="D57">
            <v>810404</v>
          </cell>
          <cell r="E57" t="str">
            <v>EURO</v>
          </cell>
          <cell r="F57">
            <v>25.63</v>
          </cell>
          <cell r="G57" t="str">
            <v>20000101</v>
          </cell>
          <cell r="H57" t="str">
            <v>20991231</v>
          </cell>
          <cell r="I57" t="str">
            <v>24.24</v>
          </cell>
          <cell r="J57" t="str">
            <v>105.73</v>
          </cell>
          <cell r="K57">
            <v>1.0573000000000001</v>
          </cell>
        </row>
        <row r="58">
          <cell r="D58">
            <v>893965</v>
          </cell>
          <cell r="E58" t="str">
            <v>EURO</v>
          </cell>
          <cell r="F58">
            <v>25.63</v>
          </cell>
          <cell r="G58" t="str">
            <v>20000101</v>
          </cell>
          <cell r="H58" t="str">
            <v>20991231</v>
          </cell>
          <cell r="I58" t="str">
            <v>24.24</v>
          </cell>
          <cell r="J58" t="str">
            <v>105.73</v>
          </cell>
          <cell r="K58">
            <v>1.0573000000000001</v>
          </cell>
        </row>
        <row r="59">
          <cell r="D59">
            <v>810401</v>
          </cell>
          <cell r="E59" t="str">
            <v>EURO</v>
          </cell>
          <cell r="F59">
            <v>25.63</v>
          </cell>
          <cell r="G59" t="str">
            <v>20000101</v>
          </cell>
          <cell r="H59" t="str">
            <v>20991231</v>
          </cell>
          <cell r="I59" t="str">
            <v>24.24</v>
          </cell>
          <cell r="J59" t="str">
            <v>105.73</v>
          </cell>
          <cell r="K59">
            <v>1.0573000000000001</v>
          </cell>
        </row>
        <row r="60">
          <cell r="D60">
            <v>893962</v>
          </cell>
          <cell r="E60" t="str">
            <v>EURO</v>
          </cell>
          <cell r="F60">
            <v>25.63</v>
          </cell>
          <cell r="G60" t="str">
            <v>20000101</v>
          </cell>
          <cell r="H60" t="str">
            <v>20991231</v>
          </cell>
          <cell r="I60" t="str">
            <v>24.24</v>
          </cell>
          <cell r="J60" t="str">
            <v>105.73</v>
          </cell>
          <cell r="K60">
            <v>1.0573000000000001</v>
          </cell>
        </row>
        <row r="61">
          <cell r="D61">
            <v>810402</v>
          </cell>
          <cell r="E61" t="str">
            <v>EURO</v>
          </cell>
          <cell r="F61">
            <v>25.63</v>
          </cell>
          <cell r="G61" t="str">
            <v>20000101</v>
          </cell>
          <cell r="H61" t="str">
            <v>20991231</v>
          </cell>
          <cell r="I61" t="str">
            <v>24.24</v>
          </cell>
          <cell r="J61" t="str">
            <v>105.73</v>
          </cell>
          <cell r="K61">
            <v>1.0573000000000001</v>
          </cell>
        </row>
        <row r="62">
          <cell r="D62">
            <v>893963</v>
          </cell>
          <cell r="E62" t="str">
            <v>EURO</v>
          </cell>
          <cell r="F62">
            <v>25.63</v>
          </cell>
          <cell r="G62" t="str">
            <v>20000101</v>
          </cell>
          <cell r="H62" t="str">
            <v>20991231</v>
          </cell>
          <cell r="I62" t="str">
            <v>24.24</v>
          </cell>
          <cell r="J62" t="str">
            <v>105.73</v>
          </cell>
          <cell r="K62">
            <v>1.0573000000000001</v>
          </cell>
        </row>
        <row r="63">
          <cell r="D63">
            <v>810406</v>
          </cell>
          <cell r="E63" t="str">
            <v>EURO</v>
          </cell>
          <cell r="F63">
            <v>25.63</v>
          </cell>
          <cell r="G63" t="str">
            <v>20000101</v>
          </cell>
          <cell r="H63" t="str">
            <v>20991231</v>
          </cell>
          <cell r="I63" t="str">
            <v>24.24</v>
          </cell>
          <cell r="J63" t="str">
            <v>105.73</v>
          </cell>
          <cell r="K63">
            <v>1.0573000000000001</v>
          </cell>
        </row>
        <row r="64">
          <cell r="D64">
            <v>810405</v>
          </cell>
          <cell r="E64" t="str">
            <v>EURO</v>
          </cell>
          <cell r="F64">
            <v>25.63</v>
          </cell>
          <cell r="G64" t="str">
            <v>20000101</v>
          </cell>
          <cell r="H64" t="str">
            <v>20991231</v>
          </cell>
          <cell r="I64" t="str">
            <v>24.24</v>
          </cell>
          <cell r="J64" t="str">
            <v>105.73</v>
          </cell>
          <cell r="K64">
            <v>1.0573000000000001</v>
          </cell>
        </row>
        <row r="65">
          <cell r="D65">
            <v>813093</v>
          </cell>
          <cell r="E65" t="str">
            <v>EURO</v>
          </cell>
          <cell r="F65">
            <v>20.100000000000001</v>
          </cell>
          <cell r="G65" t="str">
            <v>20000101</v>
          </cell>
          <cell r="H65" t="str">
            <v>20991231</v>
          </cell>
          <cell r="I65" t="str">
            <v>19.01</v>
          </cell>
          <cell r="J65" t="str">
            <v>105.73</v>
          </cell>
          <cell r="K65">
            <v>1.0573000000000001</v>
          </cell>
        </row>
        <row r="66">
          <cell r="D66">
            <v>813094</v>
          </cell>
          <cell r="E66" t="str">
            <v>EURO</v>
          </cell>
          <cell r="F66">
            <v>20.100000000000001</v>
          </cell>
          <cell r="G66" t="str">
            <v>20000101</v>
          </cell>
          <cell r="H66" t="str">
            <v>20991231</v>
          </cell>
          <cell r="I66" t="str">
            <v>19.01</v>
          </cell>
          <cell r="J66" t="str">
            <v>105.73</v>
          </cell>
          <cell r="K66">
            <v>1.0573000000000001</v>
          </cell>
        </row>
        <row r="67">
          <cell r="D67">
            <v>813091</v>
          </cell>
          <cell r="E67" t="str">
            <v>EURO</v>
          </cell>
          <cell r="F67">
            <v>20.100000000000001</v>
          </cell>
          <cell r="G67" t="str">
            <v>20000101</v>
          </cell>
          <cell r="H67" t="str">
            <v>20991231</v>
          </cell>
          <cell r="I67" t="str">
            <v>19.01</v>
          </cell>
          <cell r="J67" t="str">
            <v>105.73</v>
          </cell>
          <cell r="K67">
            <v>1.0573000000000001</v>
          </cell>
        </row>
        <row r="68">
          <cell r="D68">
            <v>893970</v>
          </cell>
          <cell r="E68" t="str">
            <v>EURO</v>
          </cell>
          <cell r="F68">
            <v>20.100000000000001</v>
          </cell>
          <cell r="G68" t="str">
            <v>20000101</v>
          </cell>
          <cell r="H68" t="str">
            <v>20991231</v>
          </cell>
          <cell r="I68" t="str">
            <v>19.01</v>
          </cell>
          <cell r="J68" t="str">
            <v>105.73</v>
          </cell>
          <cell r="K68">
            <v>1.0573000000000001</v>
          </cell>
        </row>
        <row r="69">
          <cell r="D69">
            <v>813092</v>
          </cell>
          <cell r="E69" t="str">
            <v>EURO</v>
          </cell>
          <cell r="F69">
            <v>20.100000000000001</v>
          </cell>
          <cell r="G69" t="str">
            <v>20000101</v>
          </cell>
          <cell r="H69" t="str">
            <v>20991231</v>
          </cell>
          <cell r="I69" t="str">
            <v>19.01</v>
          </cell>
          <cell r="J69" t="str">
            <v>105.73</v>
          </cell>
          <cell r="K69">
            <v>1.0573000000000001</v>
          </cell>
        </row>
        <row r="70">
          <cell r="D70">
            <v>813097</v>
          </cell>
          <cell r="E70" t="str">
            <v>EURO</v>
          </cell>
          <cell r="F70">
            <v>20.100000000000001</v>
          </cell>
          <cell r="G70" t="str">
            <v>20000101</v>
          </cell>
          <cell r="H70" t="str">
            <v>20991231</v>
          </cell>
          <cell r="I70" t="str">
            <v>19.01</v>
          </cell>
          <cell r="J70" t="str">
            <v>105.73</v>
          </cell>
          <cell r="K70">
            <v>1.0573000000000001</v>
          </cell>
        </row>
        <row r="71">
          <cell r="D71">
            <v>813096</v>
          </cell>
          <cell r="E71" t="str">
            <v>EURO</v>
          </cell>
          <cell r="F71">
            <v>20.100000000000001</v>
          </cell>
          <cell r="G71" t="str">
            <v>20000101</v>
          </cell>
          <cell r="H71" t="str">
            <v>20991231</v>
          </cell>
          <cell r="I71" t="str">
            <v>19.01</v>
          </cell>
          <cell r="J71" t="str">
            <v>105.73</v>
          </cell>
          <cell r="K71">
            <v>1.0573000000000001</v>
          </cell>
        </row>
        <row r="72">
          <cell r="D72">
            <v>813095</v>
          </cell>
          <cell r="E72" t="str">
            <v>EURO</v>
          </cell>
          <cell r="F72">
            <v>20.100000000000001</v>
          </cell>
          <cell r="G72" t="str">
            <v>20000101</v>
          </cell>
          <cell r="H72" t="str">
            <v>20991231</v>
          </cell>
          <cell r="I72" t="str">
            <v>19.01</v>
          </cell>
          <cell r="J72" t="str">
            <v>105.73</v>
          </cell>
          <cell r="K72">
            <v>1.0573000000000001</v>
          </cell>
        </row>
        <row r="73">
          <cell r="D73">
            <v>889541</v>
          </cell>
          <cell r="E73" t="str">
            <v>EURO</v>
          </cell>
          <cell r="F73">
            <v>147.11000000000001</v>
          </cell>
          <cell r="G73" t="str">
            <v>20000101</v>
          </cell>
          <cell r="H73" t="str">
            <v>20991231</v>
          </cell>
          <cell r="I73" t="str">
            <v>139.15</v>
          </cell>
          <cell r="J73" t="str">
            <v>105.72</v>
          </cell>
          <cell r="K73">
            <v>1.0571999999999999</v>
          </cell>
        </row>
        <row r="74">
          <cell r="D74">
            <v>887530</v>
          </cell>
          <cell r="E74" t="str">
            <v>EURO</v>
          </cell>
          <cell r="F74">
            <v>36.65</v>
          </cell>
          <cell r="G74" t="str">
            <v>20000101</v>
          </cell>
          <cell r="H74" t="str">
            <v>20991231</v>
          </cell>
          <cell r="I74" t="str">
            <v>34.67</v>
          </cell>
          <cell r="J74" t="str">
            <v>105.71</v>
          </cell>
          <cell r="K74">
            <v>1.0570999999999999</v>
          </cell>
        </row>
        <row r="75">
          <cell r="D75">
            <v>887704</v>
          </cell>
          <cell r="E75" t="str">
            <v>EURO</v>
          </cell>
          <cell r="F75">
            <v>36.65</v>
          </cell>
          <cell r="G75" t="str">
            <v>20000101</v>
          </cell>
          <cell r="H75" t="str">
            <v>20991231</v>
          </cell>
          <cell r="I75" t="str">
            <v>34.67</v>
          </cell>
          <cell r="J75" t="str">
            <v>105.71</v>
          </cell>
          <cell r="K75">
            <v>1.0570999999999999</v>
          </cell>
        </row>
        <row r="76">
          <cell r="D76">
            <v>887890</v>
          </cell>
          <cell r="E76" t="str">
            <v>EURO</v>
          </cell>
          <cell r="F76">
            <v>111.7</v>
          </cell>
          <cell r="G76" t="str">
            <v>20000101</v>
          </cell>
          <cell r="H76" t="str">
            <v>20991231</v>
          </cell>
          <cell r="I76" t="str">
            <v>105.66</v>
          </cell>
          <cell r="J76" t="str">
            <v>105.72</v>
          </cell>
          <cell r="K76">
            <v>1.0571999999999999</v>
          </cell>
        </row>
        <row r="77">
          <cell r="D77">
            <v>887908</v>
          </cell>
          <cell r="E77" t="str">
            <v>EURO</v>
          </cell>
          <cell r="F77">
            <v>126.95</v>
          </cell>
          <cell r="G77" t="str">
            <v>20000101</v>
          </cell>
          <cell r="H77" t="str">
            <v>20991231</v>
          </cell>
          <cell r="I77" t="str">
            <v>120.08</v>
          </cell>
          <cell r="J77" t="str">
            <v>105.72</v>
          </cell>
          <cell r="K77">
            <v>1.0571999999999999</v>
          </cell>
        </row>
        <row r="78">
          <cell r="D78">
            <v>887902</v>
          </cell>
          <cell r="E78" t="str">
            <v>EURO</v>
          </cell>
          <cell r="F78">
            <v>126.95</v>
          </cell>
          <cell r="G78" t="str">
            <v>20000101</v>
          </cell>
          <cell r="H78" t="str">
            <v>20991231</v>
          </cell>
          <cell r="I78" t="str">
            <v>120.08</v>
          </cell>
          <cell r="J78" t="str">
            <v>105.72</v>
          </cell>
          <cell r="K78">
            <v>1.0571999999999999</v>
          </cell>
        </row>
        <row r="79">
          <cell r="D79">
            <v>887896</v>
          </cell>
          <cell r="E79" t="str">
            <v>EURO</v>
          </cell>
          <cell r="F79">
            <v>126.95</v>
          </cell>
          <cell r="G79" t="str">
            <v>20000101</v>
          </cell>
          <cell r="H79" t="str">
            <v>20991231</v>
          </cell>
          <cell r="I79" t="str">
            <v>120.08</v>
          </cell>
          <cell r="J79" t="str">
            <v>105.72</v>
          </cell>
          <cell r="K79">
            <v>1.0571999999999999</v>
          </cell>
        </row>
        <row r="80">
          <cell r="D80">
            <v>889550</v>
          </cell>
          <cell r="E80" t="str">
            <v>EURO</v>
          </cell>
          <cell r="F80">
            <v>147.11000000000001</v>
          </cell>
          <cell r="G80" t="str">
            <v>20000101</v>
          </cell>
          <cell r="H80" t="str">
            <v>20991231</v>
          </cell>
          <cell r="I80" t="str">
            <v>139.15</v>
          </cell>
          <cell r="J80" t="str">
            <v>105.72</v>
          </cell>
          <cell r="K80">
            <v>1.0571999999999999</v>
          </cell>
        </row>
        <row r="81">
          <cell r="D81">
            <v>887079</v>
          </cell>
          <cell r="E81" t="str">
            <v>EURO</v>
          </cell>
          <cell r="F81">
            <v>91.99</v>
          </cell>
          <cell r="G81" t="str">
            <v>20000101</v>
          </cell>
          <cell r="H81" t="str">
            <v>20991231</v>
          </cell>
          <cell r="I81" t="str">
            <v>87.01</v>
          </cell>
          <cell r="J81" t="str">
            <v>105.72</v>
          </cell>
          <cell r="K81">
            <v>1.0571999999999999</v>
          </cell>
        </row>
        <row r="82">
          <cell r="D82">
            <v>887409</v>
          </cell>
          <cell r="E82" t="str">
            <v>EURO</v>
          </cell>
          <cell r="F82">
            <v>205.01</v>
          </cell>
          <cell r="G82" t="str">
            <v>20000101</v>
          </cell>
          <cell r="H82" t="str">
            <v>20991231</v>
          </cell>
          <cell r="I82" t="str">
            <v>193.92</v>
          </cell>
          <cell r="J82" t="str">
            <v>105.72</v>
          </cell>
          <cell r="K82">
            <v>1.0571999999999999</v>
          </cell>
        </row>
        <row r="83">
          <cell r="D83">
            <v>887413</v>
          </cell>
          <cell r="E83" t="str">
            <v>EURO</v>
          </cell>
          <cell r="F83">
            <v>205.01</v>
          </cell>
          <cell r="G83" t="str">
            <v>20000101</v>
          </cell>
          <cell r="H83" t="str">
            <v>20991231</v>
          </cell>
          <cell r="I83" t="str">
            <v>193.92</v>
          </cell>
          <cell r="J83" t="str">
            <v>105.72</v>
          </cell>
          <cell r="K83">
            <v>1.0571999999999999</v>
          </cell>
        </row>
        <row r="84">
          <cell r="D84">
            <v>887533</v>
          </cell>
          <cell r="E84" t="str">
            <v>EURO</v>
          </cell>
          <cell r="F84">
            <v>36.65</v>
          </cell>
          <cell r="G84" t="str">
            <v>20000101</v>
          </cell>
          <cell r="H84" t="str">
            <v>20991231</v>
          </cell>
          <cell r="I84" t="str">
            <v>34.67</v>
          </cell>
          <cell r="J84" t="str">
            <v>105.71</v>
          </cell>
          <cell r="K84">
            <v>1.0570999999999999</v>
          </cell>
        </row>
        <row r="85">
          <cell r="D85">
            <v>887914</v>
          </cell>
          <cell r="E85" t="str">
            <v>EURO</v>
          </cell>
          <cell r="F85">
            <v>41.75</v>
          </cell>
          <cell r="G85" t="str">
            <v>20000101</v>
          </cell>
          <cell r="H85" t="str">
            <v>20991231</v>
          </cell>
          <cell r="I85" t="str">
            <v>39.49</v>
          </cell>
          <cell r="J85" t="str">
            <v>105.72</v>
          </cell>
          <cell r="K85">
            <v>1.0571999999999999</v>
          </cell>
        </row>
        <row r="86">
          <cell r="D86">
            <v>887933</v>
          </cell>
          <cell r="E86" t="str">
            <v>EURO</v>
          </cell>
          <cell r="F86">
            <v>71.33</v>
          </cell>
          <cell r="G86" t="str">
            <v>20000101</v>
          </cell>
          <cell r="H86" t="str">
            <v>20991231</v>
          </cell>
          <cell r="I86" t="str">
            <v>67.47</v>
          </cell>
          <cell r="J86" t="str">
            <v>105.72</v>
          </cell>
          <cell r="K86">
            <v>1.0571999999999999</v>
          </cell>
        </row>
        <row r="87">
          <cell r="D87">
            <v>887927</v>
          </cell>
          <cell r="E87" t="str">
            <v>EURO</v>
          </cell>
          <cell r="F87">
            <v>71.33</v>
          </cell>
          <cell r="G87" t="str">
            <v>20000101</v>
          </cell>
          <cell r="H87" t="str">
            <v>20991231</v>
          </cell>
          <cell r="I87" t="str">
            <v>67.47</v>
          </cell>
          <cell r="J87" t="str">
            <v>105.72</v>
          </cell>
          <cell r="K87">
            <v>1.0571999999999999</v>
          </cell>
        </row>
        <row r="88">
          <cell r="D88">
            <v>887921</v>
          </cell>
          <cell r="E88" t="str">
            <v>EURO</v>
          </cell>
          <cell r="F88">
            <v>71.33</v>
          </cell>
          <cell r="G88" t="str">
            <v>20000101</v>
          </cell>
          <cell r="H88" t="str">
            <v>20991231</v>
          </cell>
          <cell r="I88" t="str">
            <v>67.47</v>
          </cell>
          <cell r="J88" t="str">
            <v>105.72</v>
          </cell>
          <cell r="K88">
            <v>1.0571999999999999</v>
          </cell>
        </row>
        <row r="89">
          <cell r="D89">
            <v>392063</v>
          </cell>
          <cell r="E89" t="str">
            <v>EURO</v>
          </cell>
          <cell r="F89">
            <v>77.89</v>
          </cell>
          <cell r="G89" t="str">
            <v>20000101</v>
          </cell>
          <cell r="H89" t="str">
            <v>20991231</v>
          </cell>
          <cell r="I89" t="str">
            <v>73.68</v>
          </cell>
          <cell r="J89" t="str">
            <v>105.71</v>
          </cell>
          <cell r="K89">
            <v>1.0570999999999999</v>
          </cell>
        </row>
        <row r="90">
          <cell r="D90">
            <v>889213</v>
          </cell>
          <cell r="E90" t="str">
            <v>EURO</v>
          </cell>
          <cell r="F90">
            <v>34.299999999999997</v>
          </cell>
          <cell r="G90" t="str">
            <v>20000101</v>
          </cell>
          <cell r="H90" t="str">
            <v>20991231</v>
          </cell>
          <cell r="I90" t="str">
            <v>32.44</v>
          </cell>
          <cell r="J90" t="str">
            <v>105.73</v>
          </cell>
          <cell r="K90">
            <v>1.0573000000000001</v>
          </cell>
        </row>
        <row r="91">
          <cell r="D91">
            <v>889219</v>
          </cell>
          <cell r="E91" t="str">
            <v>EURO</v>
          </cell>
          <cell r="F91">
            <v>34.299999999999997</v>
          </cell>
          <cell r="G91" t="str">
            <v>20000101</v>
          </cell>
          <cell r="H91" t="str">
            <v>20991231</v>
          </cell>
          <cell r="I91" t="str">
            <v>32.44</v>
          </cell>
          <cell r="J91" t="str">
            <v>105.73</v>
          </cell>
          <cell r="K91">
            <v>1.0573000000000001</v>
          </cell>
        </row>
        <row r="92">
          <cell r="D92">
            <v>889207</v>
          </cell>
          <cell r="E92" t="str">
            <v>EURO</v>
          </cell>
          <cell r="F92">
            <v>32.58</v>
          </cell>
          <cell r="G92" t="str">
            <v>20000101</v>
          </cell>
          <cell r="H92" t="str">
            <v>20991231</v>
          </cell>
          <cell r="I92" t="str">
            <v>30.82</v>
          </cell>
          <cell r="J92" t="str">
            <v>105.71</v>
          </cell>
          <cell r="K92">
            <v>1.0570999999999999</v>
          </cell>
        </row>
        <row r="93">
          <cell r="D93">
            <v>889547</v>
          </cell>
          <cell r="E93" t="str">
            <v>EURO</v>
          </cell>
          <cell r="F93">
            <v>147.11000000000001</v>
          </cell>
          <cell r="G93" t="str">
            <v>20000101</v>
          </cell>
          <cell r="H93" t="str">
            <v>20991231</v>
          </cell>
          <cell r="I93" t="str">
            <v>139.15</v>
          </cell>
          <cell r="J93" t="str">
            <v>105.72</v>
          </cell>
          <cell r="K93">
            <v>1.0571999999999999</v>
          </cell>
        </row>
        <row r="94">
          <cell r="D94">
            <v>593928</v>
          </cell>
          <cell r="E94" t="str">
            <v>EURO</v>
          </cell>
          <cell r="F94">
            <v>362.43</v>
          </cell>
          <cell r="G94" t="str">
            <v>20000101</v>
          </cell>
          <cell r="H94" t="str">
            <v>20991231</v>
          </cell>
          <cell r="I94" t="str">
            <v>342.82</v>
          </cell>
          <cell r="J94" t="str">
            <v>105.72</v>
          </cell>
          <cell r="K94">
            <v>1.0571999999999999</v>
          </cell>
        </row>
        <row r="95">
          <cell r="D95">
            <v>887527</v>
          </cell>
          <cell r="E95" t="str">
            <v>EURO</v>
          </cell>
          <cell r="F95">
            <v>36.65</v>
          </cell>
          <cell r="G95" t="str">
            <v>20000101</v>
          </cell>
          <cell r="H95" t="str">
            <v>20991231</v>
          </cell>
          <cell r="I95" t="str">
            <v>34.67</v>
          </cell>
          <cell r="J95" t="str">
            <v>105.71</v>
          </cell>
          <cell r="K95">
            <v>1.0570999999999999</v>
          </cell>
        </row>
        <row r="96">
          <cell r="D96">
            <v>887845</v>
          </cell>
          <cell r="E96" t="str">
            <v>EURO</v>
          </cell>
          <cell r="F96">
            <v>63.56</v>
          </cell>
          <cell r="G96" t="str">
            <v>20000101</v>
          </cell>
          <cell r="H96" t="str">
            <v>20991231</v>
          </cell>
          <cell r="I96" t="str">
            <v>60.12</v>
          </cell>
          <cell r="J96" t="str">
            <v>105.72</v>
          </cell>
          <cell r="K96">
            <v>1.0571999999999999</v>
          </cell>
        </row>
        <row r="97">
          <cell r="D97">
            <v>887849</v>
          </cell>
          <cell r="E97" t="str">
            <v>EURO</v>
          </cell>
          <cell r="F97">
            <v>60.34</v>
          </cell>
          <cell r="G97" t="str">
            <v>20000101</v>
          </cell>
          <cell r="H97" t="str">
            <v>20991231</v>
          </cell>
          <cell r="I97" t="str">
            <v>57.08</v>
          </cell>
          <cell r="J97" t="str">
            <v>105.71</v>
          </cell>
          <cell r="K97">
            <v>1.0570999999999999</v>
          </cell>
        </row>
        <row r="98">
          <cell r="D98">
            <v>887848</v>
          </cell>
          <cell r="E98" t="str">
            <v>EURO</v>
          </cell>
          <cell r="F98">
            <v>60.34</v>
          </cell>
          <cell r="G98" t="str">
            <v>20000101</v>
          </cell>
          <cell r="H98" t="str">
            <v>20991231</v>
          </cell>
          <cell r="I98" t="str">
            <v>57.08</v>
          </cell>
          <cell r="J98" t="str">
            <v>105.71</v>
          </cell>
          <cell r="K98">
            <v>1.0570999999999999</v>
          </cell>
        </row>
        <row r="99">
          <cell r="D99">
            <v>887847</v>
          </cell>
          <cell r="E99" t="str">
            <v>EURO</v>
          </cell>
          <cell r="F99">
            <v>60.34</v>
          </cell>
          <cell r="G99" t="str">
            <v>20000101</v>
          </cell>
          <cell r="H99" t="str">
            <v>20991231</v>
          </cell>
          <cell r="I99" t="str">
            <v>57.08</v>
          </cell>
          <cell r="J99" t="str">
            <v>105.71</v>
          </cell>
          <cell r="K99">
            <v>1.0570999999999999</v>
          </cell>
        </row>
        <row r="100">
          <cell r="D100">
            <v>887748</v>
          </cell>
          <cell r="E100" t="str">
            <v>EURO</v>
          </cell>
          <cell r="F100">
            <v>161.94999999999999</v>
          </cell>
          <cell r="G100" t="str">
            <v>20000101</v>
          </cell>
          <cell r="H100" t="str">
            <v>20991231</v>
          </cell>
          <cell r="I100" t="str">
            <v>153.19</v>
          </cell>
          <cell r="J100" t="str">
            <v>105.72</v>
          </cell>
          <cell r="K100">
            <v>1.0571999999999999</v>
          </cell>
        </row>
        <row r="101">
          <cell r="D101">
            <v>887813</v>
          </cell>
          <cell r="E101" t="str">
            <v>EURO</v>
          </cell>
          <cell r="F101">
            <v>69.87</v>
          </cell>
          <cell r="G101" t="str">
            <v>20000101</v>
          </cell>
          <cell r="H101" t="str">
            <v>20991231</v>
          </cell>
          <cell r="I101" t="str">
            <v>66.09</v>
          </cell>
          <cell r="J101" t="str">
            <v>105.72</v>
          </cell>
          <cell r="K101">
            <v>1.0571999999999999</v>
          </cell>
        </row>
        <row r="102">
          <cell r="D102">
            <v>887816</v>
          </cell>
          <cell r="E102" t="str">
            <v>EURO</v>
          </cell>
          <cell r="F102">
            <v>77.64</v>
          </cell>
          <cell r="G102" t="str">
            <v>20000101</v>
          </cell>
          <cell r="H102" t="str">
            <v>20991231</v>
          </cell>
          <cell r="I102" t="str">
            <v>73.44</v>
          </cell>
          <cell r="J102" t="str">
            <v>105.72</v>
          </cell>
          <cell r="K102">
            <v>1.0571999999999999</v>
          </cell>
        </row>
        <row r="103">
          <cell r="D103">
            <v>887815</v>
          </cell>
          <cell r="E103" t="str">
            <v>EURO</v>
          </cell>
          <cell r="F103">
            <v>77.64</v>
          </cell>
          <cell r="G103" t="str">
            <v>20000101</v>
          </cell>
          <cell r="H103" t="str">
            <v>20991231</v>
          </cell>
          <cell r="I103" t="str">
            <v>73.44</v>
          </cell>
          <cell r="J103" t="str">
            <v>105.72</v>
          </cell>
          <cell r="K103">
            <v>1.0571999999999999</v>
          </cell>
        </row>
        <row r="104">
          <cell r="D104">
            <v>887814</v>
          </cell>
          <cell r="E104" t="str">
            <v>EURO</v>
          </cell>
          <cell r="F104">
            <v>77.64</v>
          </cell>
          <cell r="G104" t="str">
            <v>20000101</v>
          </cell>
          <cell r="H104" t="str">
            <v>20991231</v>
          </cell>
          <cell r="I104" t="str">
            <v>73.44</v>
          </cell>
          <cell r="J104" t="str">
            <v>105.72</v>
          </cell>
          <cell r="K104">
            <v>1.0571999999999999</v>
          </cell>
        </row>
        <row r="105">
          <cell r="D105">
            <v>887977</v>
          </cell>
          <cell r="E105" t="str">
            <v>EURO</v>
          </cell>
          <cell r="F105">
            <v>59.63</v>
          </cell>
          <cell r="G105" t="str">
            <v>20000101</v>
          </cell>
          <cell r="H105" t="str">
            <v>20991231</v>
          </cell>
          <cell r="I105" t="str">
            <v>56.40</v>
          </cell>
          <cell r="J105" t="str">
            <v>105.73</v>
          </cell>
          <cell r="K105">
            <v>1.0573000000000001</v>
          </cell>
        </row>
        <row r="106">
          <cell r="D106">
            <v>889614</v>
          </cell>
          <cell r="E106" t="str">
            <v>EURO</v>
          </cell>
          <cell r="F106">
            <v>40.619999999999997</v>
          </cell>
          <cell r="G106" t="str">
            <v>20000101</v>
          </cell>
          <cell r="H106" t="str">
            <v>20991231</v>
          </cell>
          <cell r="I106" t="str">
            <v>38.42</v>
          </cell>
          <cell r="J106" t="str">
            <v>105.73</v>
          </cell>
          <cell r="K106">
            <v>1.0573000000000001</v>
          </cell>
        </row>
        <row r="107">
          <cell r="D107">
            <v>889283</v>
          </cell>
          <cell r="E107" t="str">
            <v>EURO</v>
          </cell>
          <cell r="F107">
            <v>35.71</v>
          </cell>
          <cell r="G107" t="str">
            <v>20000101</v>
          </cell>
          <cell r="H107" t="str">
            <v>20991231</v>
          </cell>
          <cell r="I107" t="str">
            <v>33.78</v>
          </cell>
          <cell r="J107" t="str">
            <v>105.71</v>
          </cell>
          <cell r="K107">
            <v>1.0570999999999999</v>
          </cell>
        </row>
        <row r="108">
          <cell r="D108">
            <v>889286</v>
          </cell>
          <cell r="E108" t="str">
            <v>EURO</v>
          </cell>
          <cell r="F108">
            <v>35.71</v>
          </cell>
          <cell r="G108" t="str">
            <v>20000101</v>
          </cell>
          <cell r="H108" t="str">
            <v>20991231</v>
          </cell>
          <cell r="I108" t="str">
            <v>33.78</v>
          </cell>
          <cell r="J108" t="str">
            <v>105.71</v>
          </cell>
          <cell r="K108">
            <v>1.0570999999999999</v>
          </cell>
        </row>
        <row r="109">
          <cell r="D109">
            <v>889280</v>
          </cell>
          <cell r="E109" t="str">
            <v>EURO</v>
          </cell>
          <cell r="F109">
            <v>35.71</v>
          </cell>
          <cell r="G109" t="str">
            <v>20000101</v>
          </cell>
          <cell r="H109" t="str">
            <v>20991231</v>
          </cell>
          <cell r="I109" t="str">
            <v>33.78</v>
          </cell>
          <cell r="J109" t="str">
            <v>105.71</v>
          </cell>
          <cell r="K109">
            <v>1.0570999999999999</v>
          </cell>
        </row>
        <row r="110">
          <cell r="D110">
            <v>889735</v>
          </cell>
          <cell r="E110" t="str">
            <v>EURO</v>
          </cell>
          <cell r="F110">
            <v>186.96</v>
          </cell>
          <cell r="G110" t="str">
            <v>20000101</v>
          </cell>
          <cell r="H110" t="str">
            <v>20991231</v>
          </cell>
          <cell r="I110" t="str">
            <v>176.84</v>
          </cell>
          <cell r="J110" t="str">
            <v>105.72</v>
          </cell>
          <cell r="K110">
            <v>1.0571999999999999</v>
          </cell>
        </row>
        <row r="111">
          <cell r="D111">
            <v>887453</v>
          </cell>
          <cell r="E111" t="str">
            <v>EURO</v>
          </cell>
          <cell r="F111">
            <v>31.53</v>
          </cell>
          <cell r="G111" t="str">
            <v>20000101</v>
          </cell>
          <cell r="H111" t="str">
            <v>20991231</v>
          </cell>
          <cell r="I111" t="str">
            <v>29.82</v>
          </cell>
          <cell r="J111" t="str">
            <v>105.73</v>
          </cell>
          <cell r="K111">
            <v>1.0573000000000001</v>
          </cell>
        </row>
        <row r="112">
          <cell r="D112">
            <v>887459</v>
          </cell>
          <cell r="E112" t="str">
            <v>EURO</v>
          </cell>
          <cell r="F112">
            <v>106.89</v>
          </cell>
          <cell r="G112" t="str">
            <v>20000101</v>
          </cell>
          <cell r="H112" t="str">
            <v>20991231</v>
          </cell>
          <cell r="I112" t="str">
            <v>101.11</v>
          </cell>
          <cell r="J112" t="str">
            <v>105.72</v>
          </cell>
          <cell r="K112">
            <v>1.0571999999999999</v>
          </cell>
        </row>
        <row r="113">
          <cell r="D113">
            <v>887454</v>
          </cell>
          <cell r="E113" t="str">
            <v>EURO</v>
          </cell>
          <cell r="F113">
            <v>31.53</v>
          </cell>
          <cell r="G113" t="str">
            <v>20000101</v>
          </cell>
          <cell r="H113" t="str">
            <v>20991231</v>
          </cell>
          <cell r="I113" t="str">
            <v>29.82</v>
          </cell>
          <cell r="J113" t="str">
            <v>105.73</v>
          </cell>
          <cell r="K113">
            <v>1.0573000000000001</v>
          </cell>
        </row>
        <row r="114">
          <cell r="D114">
            <v>887452</v>
          </cell>
          <cell r="E114" t="str">
            <v>EURO</v>
          </cell>
          <cell r="F114">
            <v>31.53</v>
          </cell>
          <cell r="G114" t="str">
            <v>20000101</v>
          </cell>
          <cell r="H114" t="str">
            <v>20991231</v>
          </cell>
          <cell r="I114" t="str">
            <v>29.82</v>
          </cell>
          <cell r="J114" t="str">
            <v>105.73</v>
          </cell>
          <cell r="K114">
            <v>1.0573000000000001</v>
          </cell>
        </row>
        <row r="115">
          <cell r="D115">
            <v>887405</v>
          </cell>
          <cell r="E115" t="str">
            <v>EURO</v>
          </cell>
          <cell r="F115">
            <v>205.01</v>
          </cell>
          <cell r="G115" t="str">
            <v>20000101</v>
          </cell>
          <cell r="H115" t="str">
            <v>20991231</v>
          </cell>
          <cell r="I115" t="str">
            <v>193.92</v>
          </cell>
          <cell r="J115" t="str">
            <v>105.72</v>
          </cell>
          <cell r="K115">
            <v>1.0571999999999999</v>
          </cell>
        </row>
        <row r="116">
          <cell r="D116">
            <v>887447</v>
          </cell>
          <cell r="E116" t="str">
            <v>EURO</v>
          </cell>
          <cell r="F116">
            <v>398.44</v>
          </cell>
          <cell r="G116" t="str">
            <v>20000101</v>
          </cell>
          <cell r="H116" t="str">
            <v>20991231</v>
          </cell>
          <cell r="I116" t="str">
            <v>376.88</v>
          </cell>
          <cell r="J116" t="str">
            <v>105.72</v>
          </cell>
          <cell r="K116">
            <v>1.0571999999999999</v>
          </cell>
        </row>
        <row r="117">
          <cell r="D117">
            <v>889341</v>
          </cell>
          <cell r="E117" t="str">
            <v>EURO</v>
          </cell>
          <cell r="F117">
            <v>56.44</v>
          </cell>
          <cell r="G117" t="str">
            <v>20000101</v>
          </cell>
          <cell r="H117" t="str">
            <v>20991231</v>
          </cell>
          <cell r="I117" t="str">
            <v>53.39</v>
          </cell>
          <cell r="J117" t="str">
            <v>105.71</v>
          </cell>
          <cell r="K117">
            <v>1.0570999999999999</v>
          </cell>
        </row>
        <row r="118">
          <cell r="D118">
            <v>889744</v>
          </cell>
          <cell r="E118" t="str">
            <v>EURO</v>
          </cell>
          <cell r="F118">
            <v>44.24</v>
          </cell>
          <cell r="G118" t="str">
            <v>20000101</v>
          </cell>
          <cell r="H118" t="str">
            <v>20991231</v>
          </cell>
          <cell r="I118" t="str">
            <v>41.85</v>
          </cell>
          <cell r="J118" t="str">
            <v>105.71</v>
          </cell>
          <cell r="K118">
            <v>1.0570999999999999</v>
          </cell>
        </row>
        <row r="119">
          <cell r="D119">
            <v>887487</v>
          </cell>
          <cell r="E119" t="str">
            <v>EURO</v>
          </cell>
          <cell r="F119">
            <v>60.68</v>
          </cell>
          <cell r="G119" t="str">
            <v>20000101</v>
          </cell>
          <cell r="H119" t="str">
            <v>20991231</v>
          </cell>
          <cell r="I119" t="str">
            <v>57.40</v>
          </cell>
          <cell r="J119" t="str">
            <v>105.71</v>
          </cell>
          <cell r="K119">
            <v>1.0570999999999999</v>
          </cell>
        </row>
        <row r="120">
          <cell r="D120">
            <v>887485</v>
          </cell>
          <cell r="E120" t="str">
            <v>EURO</v>
          </cell>
          <cell r="F120">
            <v>60.68</v>
          </cell>
          <cell r="G120" t="str">
            <v>20000101</v>
          </cell>
          <cell r="H120" t="str">
            <v>20991231</v>
          </cell>
          <cell r="I120" t="str">
            <v>57.40</v>
          </cell>
          <cell r="J120" t="str">
            <v>105.71</v>
          </cell>
          <cell r="K120">
            <v>1.0570999999999999</v>
          </cell>
        </row>
        <row r="121">
          <cell r="D121">
            <v>887483</v>
          </cell>
          <cell r="E121" t="str">
            <v>EURO</v>
          </cell>
          <cell r="F121">
            <v>60.68</v>
          </cell>
          <cell r="G121" t="str">
            <v>20000101</v>
          </cell>
          <cell r="H121" t="str">
            <v>20991231</v>
          </cell>
          <cell r="I121" t="str">
            <v>57.40</v>
          </cell>
          <cell r="J121" t="str">
            <v>105.71</v>
          </cell>
          <cell r="K121">
            <v>1.0570999999999999</v>
          </cell>
        </row>
        <row r="122">
          <cell r="D122">
            <v>889544</v>
          </cell>
          <cell r="E122" t="str">
            <v>EURO</v>
          </cell>
          <cell r="F122">
            <v>147.11000000000001</v>
          </cell>
          <cell r="G122" t="str">
            <v>20000101</v>
          </cell>
          <cell r="H122" t="str">
            <v>20991231</v>
          </cell>
          <cell r="I122" t="str">
            <v>139.15</v>
          </cell>
          <cell r="J122" t="str">
            <v>105.72</v>
          </cell>
          <cell r="K122">
            <v>1.0571999999999999</v>
          </cell>
        </row>
        <row r="123">
          <cell r="D123">
            <v>894718</v>
          </cell>
          <cell r="E123" t="str">
            <v>EURO</v>
          </cell>
          <cell r="F123">
            <v>192.47</v>
          </cell>
          <cell r="G123" t="str">
            <v>20000101</v>
          </cell>
          <cell r="H123" t="str">
            <v>20991231</v>
          </cell>
          <cell r="I123" t="str">
            <v>182.06</v>
          </cell>
          <cell r="J123" t="str">
            <v>105.72</v>
          </cell>
          <cell r="K123">
            <v>1.0571999999999999</v>
          </cell>
        </row>
        <row r="124">
          <cell r="D124">
            <v>894716</v>
          </cell>
          <cell r="E124" t="str">
            <v>EURO</v>
          </cell>
          <cell r="F124">
            <v>192.47</v>
          </cell>
          <cell r="G124" t="str">
            <v>20000101</v>
          </cell>
          <cell r="H124" t="str">
            <v>20991231</v>
          </cell>
          <cell r="I124" t="str">
            <v>182.06</v>
          </cell>
          <cell r="J124" t="str">
            <v>105.72</v>
          </cell>
          <cell r="K124">
            <v>1.0571999999999999</v>
          </cell>
        </row>
        <row r="125">
          <cell r="D125">
            <v>665619</v>
          </cell>
          <cell r="E125" t="str">
            <v>EURO</v>
          </cell>
          <cell r="F125">
            <v>19.86</v>
          </cell>
          <cell r="G125" t="str">
            <v>20000101</v>
          </cell>
          <cell r="H125" t="str">
            <v>20991231</v>
          </cell>
          <cell r="I125" t="str">
            <v>18.79</v>
          </cell>
          <cell r="J125" t="str">
            <v>105.69</v>
          </cell>
          <cell r="K125">
            <v>1.0569</v>
          </cell>
        </row>
        <row r="126">
          <cell r="D126">
            <v>587450</v>
          </cell>
          <cell r="E126" t="str">
            <v>EURO</v>
          </cell>
          <cell r="F126">
            <v>28.08</v>
          </cell>
          <cell r="G126" t="str">
            <v>20000101</v>
          </cell>
          <cell r="H126" t="str">
            <v>20991231</v>
          </cell>
          <cell r="I126" t="str">
            <v>26.56</v>
          </cell>
          <cell r="J126" t="str">
            <v>105.72</v>
          </cell>
          <cell r="K126">
            <v>1.0571999999999999</v>
          </cell>
        </row>
        <row r="127">
          <cell r="D127">
            <v>889553</v>
          </cell>
          <cell r="E127" t="str">
            <v>EURO</v>
          </cell>
          <cell r="F127">
            <v>25.73</v>
          </cell>
          <cell r="G127" t="str">
            <v>20000101</v>
          </cell>
          <cell r="H127" t="str">
            <v>20991231</v>
          </cell>
          <cell r="I127" t="str">
            <v>24.34</v>
          </cell>
          <cell r="J127" t="str">
            <v>105.71</v>
          </cell>
          <cell r="K127">
            <v>1.0570999999999999</v>
          </cell>
        </row>
        <row r="128">
          <cell r="D128">
            <v>887564</v>
          </cell>
          <cell r="E128" t="str">
            <v>EURO</v>
          </cell>
          <cell r="F128">
            <v>26.14</v>
          </cell>
          <cell r="G128" t="str">
            <v>20000101</v>
          </cell>
          <cell r="H128" t="str">
            <v>20991231</v>
          </cell>
          <cell r="I128" t="str">
            <v>24.73</v>
          </cell>
          <cell r="J128" t="str">
            <v>105.70</v>
          </cell>
          <cell r="K128">
            <v>1.0569999999999999</v>
          </cell>
        </row>
        <row r="129">
          <cell r="D129">
            <v>887566</v>
          </cell>
          <cell r="E129" t="str">
            <v>EURO</v>
          </cell>
          <cell r="F129">
            <v>54.24</v>
          </cell>
          <cell r="G129" t="str">
            <v>20000101</v>
          </cell>
          <cell r="H129" t="str">
            <v>20991231</v>
          </cell>
          <cell r="I129" t="str">
            <v>51.31</v>
          </cell>
          <cell r="J129" t="str">
            <v>105.71</v>
          </cell>
          <cell r="K129">
            <v>1.0570999999999999</v>
          </cell>
        </row>
        <row r="130">
          <cell r="D130">
            <v>886908</v>
          </cell>
          <cell r="E130" t="str">
            <v>EURO</v>
          </cell>
          <cell r="F130">
            <v>24.18</v>
          </cell>
          <cell r="G130" t="str">
            <v>20000101</v>
          </cell>
          <cell r="H130" t="str">
            <v>20991231</v>
          </cell>
          <cell r="I130" t="str">
            <v>22.87</v>
          </cell>
          <cell r="J130" t="str">
            <v>105.73</v>
          </cell>
          <cell r="K130">
            <v>1.0573000000000001</v>
          </cell>
        </row>
        <row r="131">
          <cell r="D131">
            <v>887951</v>
          </cell>
          <cell r="E131" t="str">
            <v>EURO</v>
          </cell>
          <cell r="F131">
            <v>67.03</v>
          </cell>
          <cell r="G131" t="str">
            <v>20000101</v>
          </cell>
          <cell r="H131" t="str">
            <v>20991231</v>
          </cell>
          <cell r="I131" t="str">
            <v>63.40</v>
          </cell>
          <cell r="J131" t="str">
            <v>105.73</v>
          </cell>
          <cell r="K131">
            <v>1.0573000000000001</v>
          </cell>
        </row>
        <row r="132">
          <cell r="D132">
            <v>887954</v>
          </cell>
          <cell r="E132" t="str">
            <v>EURO</v>
          </cell>
          <cell r="F132">
            <v>53.61</v>
          </cell>
          <cell r="G132" t="str">
            <v>20000101</v>
          </cell>
          <cell r="H132" t="str">
            <v>20991231</v>
          </cell>
          <cell r="I132" t="str">
            <v>50.71</v>
          </cell>
          <cell r="J132" t="str">
            <v>105.72</v>
          </cell>
          <cell r="K132">
            <v>1.0571999999999999</v>
          </cell>
        </row>
        <row r="133">
          <cell r="D133">
            <v>887953</v>
          </cell>
          <cell r="E133" t="str">
            <v>EURO</v>
          </cell>
          <cell r="F133">
            <v>53.61</v>
          </cell>
          <cell r="G133" t="str">
            <v>20000101</v>
          </cell>
          <cell r="H133" t="str">
            <v>20991231</v>
          </cell>
          <cell r="I133" t="str">
            <v>50.71</v>
          </cell>
          <cell r="J133" t="str">
            <v>105.72</v>
          </cell>
          <cell r="K133">
            <v>1.0571999999999999</v>
          </cell>
        </row>
        <row r="134">
          <cell r="D134">
            <v>887952</v>
          </cell>
          <cell r="E134" t="str">
            <v>EURO</v>
          </cell>
          <cell r="F134">
            <v>53.61</v>
          </cell>
          <cell r="G134" t="str">
            <v>20000101</v>
          </cell>
          <cell r="H134" t="str">
            <v>20991231</v>
          </cell>
          <cell r="I134" t="str">
            <v>50.71</v>
          </cell>
          <cell r="J134" t="str">
            <v>105.72</v>
          </cell>
          <cell r="K134">
            <v>1.0571999999999999</v>
          </cell>
        </row>
        <row r="135">
          <cell r="D135">
            <v>889409</v>
          </cell>
          <cell r="E135" t="str">
            <v>EURO</v>
          </cell>
          <cell r="F135">
            <v>23.24</v>
          </cell>
          <cell r="G135" t="str">
            <v>20000101</v>
          </cell>
          <cell r="H135" t="str">
            <v>20991231</v>
          </cell>
          <cell r="I135" t="str">
            <v>21.98</v>
          </cell>
          <cell r="J135" t="str">
            <v>105.73</v>
          </cell>
          <cell r="K135">
            <v>1.0573000000000001</v>
          </cell>
        </row>
        <row r="136">
          <cell r="D136">
            <v>889737</v>
          </cell>
          <cell r="E136" t="str">
            <v>EURO</v>
          </cell>
          <cell r="F136">
            <v>65.37</v>
          </cell>
          <cell r="G136" t="str">
            <v>20000101</v>
          </cell>
          <cell r="H136" t="str">
            <v>20991231</v>
          </cell>
          <cell r="I136" t="str">
            <v>61.83</v>
          </cell>
          <cell r="J136" t="str">
            <v>105.73</v>
          </cell>
          <cell r="K136">
            <v>1.0573000000000001</v>
          </cell>
        </row>
        <row r="137">
          <cell r="D137">
            <v>886905</v>
          </cell>
          <cell r="E137" t="str">
            <v>EURO</v>
          </cell>
          <cell r="F137">
            <v>24.18</v>
          </cell>
          <cell r="G137" t="str">
            <v>20000101</v>
          </cell>
          <cell r="H137" t="str">
            <v>20991231</v>
          </cell>
          <cell r="I137" t="str">
            <v>22.87</v>
          </cell>
          <cell r="J137" t="str">
            <v>105.73</v>
          </cell>
          <cell r="K137">
            <v>1.0573000000000001</v>
          </cell>
        </row>
        <row r="138">
          <cell r="D138">
            <v>886907</v>
          </cell>
          <cell r="E138" t="str">
            <v>EURO</v>
          </cell>
          <cell r="F138">
            <v>24.18</v>
          </cell>
          <cell r="G138" t="str">
            <v>20000101</v>
          </cell>
          <cell r="H138" t="str">
            <v>20991231</v>
          </cell>
          <cell r="I138" t="str">
            <v>22.87</v>
          </cell>
          <cell r="J138" t="str">
            <v>105.73</v>
          </cell>
          <cell r="K138">
            <v>1.0573000000000001</v>
          </cell>
        </row>
        <row r="139">
          <cell r="D139">
            <v>886906</v>
          </cell>
          <cell r="E139" t="str">
            <v>EURO</v>
          </cell>
          <cell r="F139">
            <v>24.18</v>
          </cell>
          <cell r="G139" t="str">
            <v>20000101</v>
          </cell>
          <cell r="H139" t="str">
            <v>20991231</v>
          </cell>
          <cell r="I139" t="str">
            <v>22.87</v>
          </cell>
          <cell r="J139" t="str">
            <v>105.73</v>
          </cell>
          <cell r="K139">
            <v>1.0573000000000001</v>
          </cell>
        </row>
        <row r="140">
          <cell r="D140">
            <v>889562</v>
          </cell>
          <cell r="E140" t="str">
            <v>EURO</v>
          </cell>
          <cell r="F140">
            <v>25.73</v>
          </cell>
          <cell r="G140" t="str">
            <v>20000101</v>
          </cell>
          <cell r="H140" t="str">
            <v>20991231</v>
          </cell>
          <cell r="I140" t="str">
            <v>24.34</v>
          </cell>
          <cell r="J140" t="str">
            <v>105.71</v>
          </cell>
          <cell r="K140">
            <v>1.0570999999999999</v>
          </cell>
        </row>
        <row r="141">
          <cell r="D141">
            <v>889268</v>
          </cell>
          <cell r="E141" t="str">
            <v>EURO</v>
          </cell>
          <cell r="F141">
            <v>27.67</v>
          </cell>
          <cell r="G141" t="str">
            <v>20000101</v>
          </cell>
          <cell r="H141" t="str">
            <v>20991231</v>
          </cell>
          <cell r="I141" t="str">
            <v>26.17</v>
          </cell>
          <cell r="J141" t="str">
            <v>105.73</v>
          </cell>
          <cell r="K141">
            <v>1.0573000000000001</v>
          </cell>
        </row>
        <row r="142">
          <cell r="D142">
            <v>889385</v>
          </cell>
          <cell r="E142" t="str">
            <v>EURO</v>
          </cell>
          <cell r="F142">
            <v>87.56</v>
          </cell>
          <cell r="G142" t="str">
            <v>20000101</v>
          </cell>
          <cell r="H142" t="str">
            <v>20991231</v>
          </cell>
          <cell r="I142" t="str">
            <v>82.82</v>
          </cell>
          <cell r="J142" t="str">
            <v>105.72</v>
          </cell>
          <cell r="K142">
            <v>1.0571999999999999</v>
          </cell>
        </row>
        <row r="143">
          <cell r="D143">
            <v>889292</v>
          </cell>
          <cell r="E143" t="str">
            <v>EURO</v>
          </cell>
          <cell r="F143">
            <v>20.02</v>
          </cell>
          <cell r="G143" t="str">
            <v>20000101</v>
          </cell>
          <cell r="H143" t="str">
            <v>20991231</v>
          </cell>
          <cell r="I143" t="str">
            <v>18.94</v>
          </cell>
          <cell r="J143" t="str">
            <v>105.70</v>
          </cell>
          <cell r="K143">
            <v>1.0569999999999999</v>
          </cell>
        </row>
        <row r="144">
          <cell r="D144">
            <v>889295</v>
          </cell>
          <cell r="E144" t="str">
            <v>EURO</v>
          </cell>
          <cell r="F144">
            <v>20.02</v>
          </cell>
          <cell r="G144" t="str">
            <v>20000101</v>
          </cell>
          <cell r="H144" t="str">
            <v>20991231</v>
          </cell>
          <cell r="I144" t="str">
            <v>18.94</v>
          </cell>
          <cell r="J144" t="str">
            <v>105.70</v>
          </cell>
          <cell r="K144">
            <v>1.0569999999999999</v>
          </cell>
        </row>
        <row r="145">
          <cell r="D145">
            <v>889289</v>
          </cell>
          <cell r="E145" t="str">
            <v>EURO</v>
          </cell>
          <cell r="F145">
            <v>20.02</v>
          </cell>
          <cell r="G145" t="str">
            <v>20000101</v>
          </cell>
          <cell r="H145" t="str">
            <v>20991231</v>
          </cell>
          <cell r="I145" t="str">
            <v>18.94</v>
          </cell>
          <cell r="J145" t="str">
            <v>105.70</v>
          </cell>
          <cell r="K145">
            <v>1.0569999999999999</v>
          </cell>
        </row>
        <row r="146">
          <cell r="D146">
            <v>889580</v>
          </cell>
          <cell r="E146" t="str">
            <v>EURO</v>
          </cell>
          <cell r="F146">
            <v>117.28</v>
          </cell>
          <cell r="G146" t="str">
            <v>20000101</v>
          </cell>
          <cell r="H146" t="str">
            <v>20991231</v>
          </cell>
          <cell r="I146" t="str">
            <v>110.93</v>
          </cell>
          <cell r="J146" t="str">
            <v>105.72</v>
          </cell>
          <cell r="K146">
            <v>1.0571999999999999</v>
          </cell>
        </row>
        <row r="147">
          <cell r="D147">
            <v>889526</v>
          </cell>
          <cell r="E147" t="str">
            <v>EURO</v>
          </cell>
          <cell r="F147">
            <v>79.41</v>
          </cell>
          <cell r="G147" t="str">
            <v>20000101</v>
          </cell>
          <cell r="H147" t="str">
            <v>20991231</v>
          </cell>
          <cell r="I147" t="str">
            <v>75.11</v>
          </cell>
          <cell r="J147" t="str">
            <v>105.72</v>
          </cell>
          <cell r="K147">
            <v>1.0571999999999999</v>
          </cell>
        </row>
        <row r="148">
          <cell r="D148">
            <v>889405</v>
          </cell>
          <cell r="E148" t="str">
            <v>EURO</v>
          </cell>
          <cell r="F148">
            <v>91.04</v>
          </cell>
          <cell r="G148" t="str">
            <v>20000101</v>
          </cell>
          <cell r="H148" t="str">
            <v>20991231</v>
          </cell>
          <cell r="I148" t="str">
            <v>86.11</v>
          </cell>
          <cell r="J148" t="str">
            <v>105.73</v>
          </cell>
          <cell r="K148">
            <v>1.0573000000000001</v>
          </cell>
        </row>
        <row r="149">
          <cell r="D149">
            <v>887449</v>
          </cell>
          <cell r="E149" t="str">
            <v>EURO</v>
          </cell>
          <cell r="F149">
            <v>66.87</v>
          </cell>
          <cell r="G149" t="str">
            <v>20000101</v>
          </cell>
          <cell r="H149" t="str">
            <v>20991231</v>
          </cell>
          <cell r="I149" t="str">
            <v>63.25</v>
          </cell>
          <cell r="J149" t="str">
            <v>105.72</v>
          </cell>
          <cell r="K149">
            <v>1.0571999999999999</v>
          </cell>
        </row>
        <row r="150">
          <cell r="D150">
            <v>889408</v>
          </cell>
          <cell r="E150" t="str">
            <v>EURO</v>
          </cell>
          <cell r="F150">
            <v>39.020000000000003</v>
          </cell>
          <cell r="G150" t="str">
            <v>20000101</v>
          </cell>
          <cell r="H150" t="str">
            <v>20991231</v>
          </cell>
          <cell r="I150" t="str">
            <v>36.91</v>
          </cell>
          <cell r="J150" t="str">
            <v>105.72</v>
          </cell>
          <cell r="K150">
            <v>1.0571999999999999</v>
          </cell>
        </row>
        <row r="151">
          <cell r="D151">
            <v>889407</v>
          </cell>
          <cell r="E151" t="str">
            <v>EURO</v>
          </cell>
          <cell r="F151">
            <v>39.020000000000003</v>
          </cell>
          <cell r="G151" t="str">
            <v>20000101</v>
          </cell>
          <cell r="H151" t="str">
            <v>20991231</v>
          </cell>
          <cell r="I151" t="str">
            <v>36.91</v>
          </cell>
          <cell r="J151" t="str">
            <v>105.72</v>
          </cell>
          <cell r="K151">
            <v>1.0571999999999999</v>
          </cell>
        </row>
        <row r="152">
          <cell r="D152">
            <v>887576</v>
          </cell>
          <cell r="E152" t="str">
            <v>EURO</v>
          </cell>
          <cell r="F152">
            <v>54.22</v>
          </cell>
          <cell r="G152" t="str">
            <v>20000101</v>
          </cell>
          <cell r="H152" t="str">
            <v>20991231</v>
          </cell>
          <cell r="I152" t="str">
            <v>51.29</v>
          </cell>
          <cell r="J152" t="str">
            <v>105.71</v>
          </cell>
          <cell r="K152">
            <v>1.0570999999999999</v>
          </cell>
        </row>
        <row r="153">
          <cell r="D153">
            <v>889736</v>
          </cell>
          <cell r="E153" t="str">
            <v>EURO</v>
          </cell>
          <cell r="F153">
            <v>61.18</v>
          </cell>
          <cell r="G153" t="str">
            <v>20000101</v>
          </cell>
          <cell r="H153" t="str">
            <v>20991231</v>
          </cell>
          <cell r="I153" t="str">
            <v>57.87</v>
          </cell>
          <cell r="J153" t="str">
            <v>105.72</v>
          </cell>
          <cell r="K153">
            <v>1.0571999999999999</v>
          </cell>
        </row>
        <row r="154">
          <cell r="D154">
            <v>889855</v>
          </cell>
          <cell r="E154" t="str">
            <v>EURO</v>
          </cell>
          <cell r="F154">
            <v>41.1</v>
          </cell>
          <cell r="G154" t="str">
            <v>20000101</v>
          </cell>
          <cell r="H154" t="str">
            <v>20991231</v>
          </cell>
          <cell r="I154" t="str">
            <v>38.88</v>
          </cell>
          <cell r="J154" t="str">
            <v>105.71</v>
          </cell>
          <cell r="K154">
            <v>1.0570999999999999</v>
          </cell>
        </row>
        <row r="155">
          <cell r="D155">
            <v>887637</v>
          </cell>
          <cell r="E155" t="str">
            <v>EURO</v>
          </cell>
          <cell r="F155">
            <v>198.73</v>
          </cell>
          <cell r="G155" t="str">
            <v>20000101</v>
          </cell>
          <cell r="H155" t="str">
            <v>20991231</v>
          </cell>
          <cell r="I155" t="str">
            <v>187.98</v>
          </cell>
          <cell r="J155" t="str">
            <v>105.72</v>
          </cell>
          <cell r="K155">
            <v>1.0571999999999999</v>
          </cell>
        </row>
        <row r="156">
          <cell r="D156">
            <v>889406</v>
          </cell>
          <cell r="E156" t="str">
            <v>EURO</v>
          </cell>
          <cell r="F156">
            <v>39.020000000000003</v>
          </cell>
          <cell r="G156" t="str">
            <v>20000101</v>
          </cell>
          <cell r="H156" t="str">
            <v>20991231</v>
          </cell>
          <cell r="I156" t="str">
            <v>36.91</v>
          </cell>
          <cell r="J156" t="str">
            <v>105.72</v>
          </cell>
          <cell r="K156">
            <v>1.0571999999999999</v>
          </cell>
        </row>
        <row r="157">
          <cell r="D157">
            <v>887188</v>
          </cell>
          <cell r="E157" t="str">
            <v>EURO</v>
          </cell>
          <cell r="F157">
            <v>130.44999999999999</v>
          </cell>
          <cell r="G157" t="str">
            <v>20000101</v>
          </cell>
          <cell r="H157" t="str">
            <v>20991231</v>
          </cell>
          <cell r="I157" t="str">
            <v>123.39</v>
          </cell>
          <cell r="J157" t="str">
            <v>105.72</v>
          </cell>
          <cell r="K157">
            <v>1.0571999999999999</v>
          </cell>
        </row>
        <row r="158">
          <cell r="D158">
            <v>889386</v>
          </cell>
          <cell r="E158" t="str">
            <v>EURO</v>
          </cell>
          <cell r="F158">
            <v>87.56</v>
          </cell>
          <cell r="G158" t="str">
            <v>20000101</v>
          </cell>
          <cell r="H158" t="str">
            <v>20991231</v>
          </cell>
          <cell r="I158" t="str">
            <v>82.82</v>
          </cell>
          <cell r="J158" t="str">
            <v>105.72</v>
          </cell>
          <cell r="K158">
            <v>1.0571999999999999</v>
          </cell>
        </row>
        <row r="159">
          <cell r="D159">
            <v>889387</v>
          </cell>
          <cell r="E159" t="str">
            <v>EURO</v>
          </cell>
          <cell r="F159">
            <v>87.56</v>
          </cell>
          <cell r="G159" t="str">
            <v>20000101</v>
          </cell>
          <cell r="H159" t="str">
            <v>20991231</v>
          </cell>
          <cell r="I159" t="str">
            <v>82.82</v>
          </cell>
          <cell r="J159" t="str">
            <v>105.72</v>
          </cell>
          <cell r="K159">
            <v>1.0571999999999999</v>
          </cell>
        </row>
        <row r="160">
          <cell r="D160">
            <v>887567</v>
          </cell>
          <cell r="E160" t="str">
            <v>EURO</v>
          </cell>
          <cell r="F160">
            <v>54.24</v>
          </cell>
          <cell r="G160" t="str">
            <v>20000101</v>
          </cell>
          <cell r="H160" t="str">
            <v>20991231</v>
          </cell>
          <cell r="I160" t="str">
            <v>51.31</v>
          </cell>
          <cell r="J160" t="str">
            <v>105.71</v>
          </cell>
          <cell r="K160">
            <v>1.0570999999999999</v>
          </cell>
        </row>
        <row r="161">
          <cell r="D161">
            <v>887880</v>
          </cell>
          <cell r="E161" t="str">
            <v>EURO</v>
          </cell>
          <cell r="F161">
            <v>19.38</v>
          </cell>
          <cell r="G161" t="str">
            <v>20000101</v>
          </cell>
          <cell r="H161" t="str">
            <v>20991231</v>
          </cell>
          <cell r="I161" t="str">
            <v>18.33</v>
          </cell>
          <cell r="J161" t="str">
            <v>105.73</v>
          </cell>
          <cell r="K161">
            <v>1.0573000000000001</v>
          </cell>
        </row>
        <row r="162">
          <cell r="D162">
            <v>887883</v>
          </cell>
          <cell r="E162" t="str">
            <v>EURO</v>
          </cell>
          <cell r="F162">
            <v>32.5</v>
          </cell>
          <cell r="G162" t="str">
            <v>20000101</v>
          </cell>
          <cell r="H162" t="str">
            <v>20991231</v>
          </cell>
          <cell r="I162" t="str">
            <v>30.74</v>
          </cell>
          <cell r="J162" t="str">
            <v>105.73</v>
          </cell>
          <cell r="K162">
            <v>1.0573000000000001</v>
          </cell>
        </row>
        <row r="163">
          <cell r="D163">
            <v>887882</v>
          </cell>
          <cell r="E163" t="str">
            <v>EURO</v>
          </cell>
          <cell r="F163">
            <v>32.5</v>
          </cell>
          <cell r="G163" t="str">
            <v>20000101</v>
          </cell>
          <cell r="H163" t="str">
            <v>20991231</v>
          </cell>
          <cell r="I163" t="str">
            <v>30.74</v>
          </cell>
          <cell r="J163" t="str">
            <v>105.73</v>
          </cell>
          <cell r="K163">
            <v>1.0573000000000001</v>
          </cell>
        </row>
        <row r="164">
          <cell r="D164">
            <v>887881</v>
          </cell>
          <cell r="E164" t="str">
            <v>EURO</v>
          </cell>
          <cell r="F164">
            <v>32.5</v>
          </cell>
          <cell r="G164" t="str">
            <v>20000101</v>
          </cell>
          <cell r="H164" t="str">
            <v>20991231</v>
          </cell>
          <cell r="I164" t="str">
            <v>30.74</v>
          </cell>
          <cell r="J164" t="str">
            <v>105.73</v>
          </cell>
          <cell r="K164">
            <v>1.0573000000000001</v>
          </cell>
        </row>
        <row r="165">
          <cell r="D165">
            <v>889559</v>
          </cell>
          <cell r="E165" t="str">
            <v>EURO</v>
          </cell>
          <cell r="F165">
            <v>25.73</v>
          </cell>
          <cell r="G165" t="str">
            <v>20000101</v>
          </cell>
          <cell r="H165" t="str">
            <v>20991231</v>
          </cell>
          <cell r="I165" t="str">
            <v>24.34</v>
          </cell>
          <cell r="J165" t="str">
            <v>105.71</v>
          </cell>
          <cell r="K165">
            <v>1.0570999999999999</v>
          </cell>
        </row>
        <row r="166">
          <cell r="D166">
            <v>887565</v>
          </cell>
          <cell r="E166" t="str">
            <v>EURO</v>
          </cell>
          <cell r="F166">
            <v>51.55</v>
          </cell>
          <cell r="G166" t="str">
            <v>20000101</v>
          </cell>
          <cell r="H166" t="str">
            <v>20991231</v>
          </cell>
          <cell r="I166" t="str">
            <v>48.76</v>
          </cell>
          <cell r="J166" t="str">
            <v>105.72</v>
          </cell>
          <cell r="K166">
            <v>1.0571999999999999</v>
          </cell>
        </row>
        <row r="167">
          <cell r="D167">
            <v>889881</v>
          </cell>
          <cell r="E167" t="str">
            <v>EURO</v>
          </cell>
          <cell r="F167">
            <v>22.44</v>
          </cell>
          <cell r="G167" t="str">
            <v>20000101</v>
          </cell>
          <cell r="H167" t="str">
            <v>20991231</v>
          </cell>
          <cell r="I167" t="str">
            <v>21.23</v>
          </cell>
          <cell r="J167" t="str">
            <v>105.70</v>
          </cell>
          <cell r="K167">
            <v>1.0569999999999999</v>
          </cell>
        </row>
        <row r="168">
          <cell r="D168">
            <v>889880</v>
          </cell>
          <cell r="E168" t="str">
            <v>EURO</v>
          </cell>
          <cell r="F168">
            <v>22.44</v>
          </cell>
          <cell r="G168" t="str">
            <v>20000101</v>
          </cell>
          <cell r="H168" t="str">
            <v>20991231</v>
          </cell>
          <cell r="I168" t="str">
            <v>21.23</v>
          </cell>
          <cell r="J168" t="str">
            <v>105.70</v>
          </cell>
          <cell r="K168">
            <v>1.0569999999999999</v>
          </cell>
        </row>
        <row r="169">
          <cell r="D169">
            <v>889759</v>
          </cell>
          <cell r="E169" t="str">
            <v>EURO</v>
          </cell>
          <cell r="F169">
            <v>22.44</v>
          </cell>
          <cell r="G169" t="str">
            <v>20000101</v>
          </cell>
          <cell r="H169" t="str">
            <v>20991231</v>
          </cell>
          <cell r="I169" t="str">
            <v>21.23</v>
          </cell>
          <cell r="J169" t="str">
            <v>105.70</v>
          </cell>
          <cell r="K169">
            <v>1.0569999999999999</v>
          </cell>
        </row>
        <row r="170">
          <cell r="D170">
            <v>889762</v>
          </cell>
          <cell r="E170" t="str">
            <v>EURO</v>
          </cell>
          <cell r="F170">
            <v>22.44</v>
          </cell>
          <cell r="G170" t="str">
            <v>20000101</v>
          </cell>
          <cell r="H170" t="str">
            <v>20991231</v>
          </cell>
          <cell r="I170" t="str">
            <v>21.23</v>
          </cell>
          <cell r="J170" t="str">
            <v>105.70</v>
          </cell>
          <cell r="K170">
            <v>1.0569999999999999</v>
          </cell>
        </row>
        <row r="171">
          <cell r="D171">
            <v>889761</v>
          </cell>
          <cell r="E171" t="str">
            <v>EURO</v>
          </cell>
          <cell r="F171">
            <v>22.44</v>
          </cell>
          <cell r="G171" t="str">
            <v>20000101</v>
          </cell>
          <cell r="H171" t="str">
            <v>20991231</v>
          </cell>
          <cell r="I171" t="str">
            <v>21.23</v>
          </cell>
          <cell r="J171" t="str">
            <v>105.70</v>
          </cell>
          <cell r="K171">
            <v>1.0569999999999999</v>
          </cell>
        </row>
        <row r="172">
          <cell r="D172">
            <v>889760</v>
          </cell>
          <cell r="E172" t="str">
            <v>EURO</v>
          </cell>
          <cell r="F172">
            <v>22.44</v>
          </cell>
          <cell r="G172" t="str">
            <v>20000101</v>
          </cell>
          <cell r="H172" t="str">
            <v>20991231</v>
          </cell>
          <cell r="I172" t="str">
            <v>21.23</v>
          </cell>
          <cell r="J172" t="str">
            <v>105.70</v>
          </cell>
          <cell r="K172">
            <v>1.0569999999999999</v>
          </cell>
        </row>
        <row r="173">
          <cell r="D173">
            <v>889882</v>
          </cell>
          <cell r="E173" t="str">
            <v>EURO</v>
          </cell>
          <cell r="F173">
            <v>22.44</v>
          </cell>
          <cell r="G173" t="str">
            <v>20000101</v>
          </cell>
          <cell r="H173" t="str">
            <v>20991231</v>
          </cell>
          <cell r="I173" t="str">
            <v>21.23</v>
          </cell>
          <cell r="J173" t="str">
            <v>105.70</v>
          </cell>
          <cell r="K173">
            <v>1.0569999999999999</v>
          </cell>
        </row>
        <row r="174">
          <cell r="D174">
            <v>887733</v>
          </cell>
          <cell r="E174" t="str">
            <v>EURO</v>
          </cell>
          <cell r="F174">
            <v>160.93</v>
          </cell>
          <cell r="G174" t="str">
            <v>20000101</v>
          </cell>
          <cell r="H174" t="str">
            <v>20991231</v>
          </cell>
          <cell r="I174" t="str">
            <v>152.22</v>
          </cell>
          <cell r="J174" t="str">
            <v>105.72</v>
          </cell>
          <cell r="K174">
            <v>1.0571999999999999</v>
          </cell>
        </row>
        <row r="175">
          <cell r="D175">
            <v>887797</v>
          </cell>
          <cell r="E175" t="str">
            <v>EURO</v>
          </cell>
          <cell r="F175">
            <v>168.44</v>
          </cell>
          <cell r="G175" t="str">
            <v>20000101</v>
          </cell>
          <cell r="H175" t="str">
            <v>20991231</v>
          </cell>
          <cell r="I175" t="str">
            <v>159.33</v>
          </cell>
          <cell r="J175" t="str">
            <v>105.72</v>
          </cell>
          <cell r="K175">
            <v>1.0571999999999999</v>
          </cell>
        </row>
        <row r="176">
          <cell r="D176">
            <v>889556</v>
          </cell>
          <cell r="E176" t="str">
            <v>EURO</v>
          </cell>
          <cell r="F176">
            <v>25.73</v>
          </cell>
          <cell r="G176" t="str">
            <v>20000101</v>
          </cell>
          <cell r="H176" t="str">
            <v>20991231</v>
          </cell>
          <cell r="I176" t="str">
            <v>24.34</v>
          </cell>
          <cell r="J176" t="str">
            <v>105.71</v>
          </cell>
          <cell r="K176">
            <v>1.0570999999999999</v>
          </cell>
        </row>
        <row r="177">
          <cell r="D177">
            <v>852103</v>
          </cell>
          <cell r="E177" t="str">
            <v>EURO</v>
          </cell>
          <cell r="F177">
            <v>15.37</v>
          </cell>
          <cell r="G177" t="str">
            <v>20000101</v>
          </cell>
          <cell r="H177" t="str">
            <v>20991231</v>
          </cell>
          <cell r="I177" t="str">
            <v>14.54</v>
          </cell>
          <cell r="J177" t="str">
            <v>105.71</v>
          </cell>
          <cell r="K177">
            <v>1.0570999999999999</v>
          </cell>
        </row>
        <row r="178">
          <cell r="D178">
            <v>652104</v>
          </cell>
          <cell r="E178" t="str">
            <v>EURO</v>
          </cell>
          <cell r="F178">
            <v>1.79</v>
          </cell>
          <cell r="G178" t="str">
            <v>20000101</v>
          </cell>
          <cell r="H178" t="str">
            <v>20991231</v>
          </cell>
          <cell r="I178" t="str">
            <v>1.69</v>
          </cell>
          <cell r="J178" t="str">
            <v>105.92</v>
          </cell>
          <cell r="K178">
            <v>1.0591999999999999</v>
          </cell>
        </row>
        <row r="179">
          <cell r="D179">
            <v>410303</v>
          </cell>
          <cell r="E179" t="str">
            <v>EURO</v>
          </cell>
          <cell r="F179">
            <v>61.33</v>
          </cell>
          <cell r="G179" t="str">
            <v>20000101</v>
          </cell>
          <cell r="H179" t="str">
            <v>20991231</v>
          </cell>
          <cell r="I179" t="str">
            <v>58.01</v>
          </cell>
          <cell r="J179" t="str">
            <v>105.72</v>
          </cell>
          <cell r="K179">
            <v>1.0571999999999999</v>
          </cell>
        </row>
        <row r="180">
          <cell r="D180">
            <v>889782</v>
          </cell>
          <cell r="E180" t="str">
            <v>EURO</v>
          </cell>
          <cell r="F180">
            <v>89.46</v>
          </cell>
          <cell r="G180" t="str">
            <v>20000101</v>
          </cell>
          <cell r="H180" t="str">
            <v>20991231</v>
          </cell>
          <cell r="I180">
            <v>83.4</v>
          </cell>
          <cell r="J180">
            <v>107.26618705036</v>
          </cell>
          <cell r="K180">
            <v>1.0726618705036</v>
          </cell>
        </row>
        <row r="181">
          <cell r="D181">
            <v>209911</v>
          </cell>
          <cell r="E181" t="str">
            <v>EURO</v>
          </cell>
          <cell r="F181">
            <v>83.13</v>
          </cell>
          <cell r="G181" t="str">
            <v>20000101</v>
          </cell>
          <cell r="H181" t="str">
            <v>20991231</v>
          </cell>
          <cell r="I181">
            <v>78.63</v>
          </cell>
          <cell r="J181">
            <v>105.72300648607403</v>
          </cell>
          <cell r="K181">
            <v>1.0572300648607402</v>
          </cell>
        </row>
        <row r="182">
          <cell r="D182">
            <v>209890</v>
          </cell>
          <cell r="E182" t="str">
            <v>EURO</v>
          </cell>
          <cell r="F182">
            <v>83.13</v>
          </cell>
          <cell r="G182" t="str">
            <v>20000101</v>
          </cell>
          <cell r="H182" t="str">
            <v>20991231</v>
          </cell>
          <cell r="I182">
            <v>78.63</v>
          </cell>
          <cell r="J182">
            <v>105.72300648607403</v>
          </cell>
          <cell r="K182">
            <v>1.0572300648607402</v>
          </cell>
        </row>
        <row r="183">
          <cell r="D183">
            <v>410423</v>
          </cell>
          <cell r="E183" t="str">
            <v>EURO</v>
          </cell>
          <cell r="F183">
            <v>99.77</v>
          </cell>
          <cell r="G183" t="str">
            <v>20000101</v>
          </cell>
          <cell r="H183" t="str">
            <v>20991231</v>
          </cell>
          <cell r="I183">
            <v>94.37</v>
          </cell>
          <cell r="J183">
            <v>105.72215746529616</v>
          </cell>
          <cell r="K183">
            <v>1.0572215746529616</v>
          </cell>
        </row>
        <row r="184">
          <cell r="D184">
            <v>366490</v>
          </cell>
          <cell r="E184" t="str">
            <v>EURO</v>
          </cell>
          <cell r="F184">
            <v>702.66</v>
          </cell>
          <cell r="G184" t="str">
            <v>20000101</v>
          </cell>
          <cell r="H184" t="str">
            <v>20991231</v>
          </cell>
          <cell r="I184">
            <v>664.64</v>
          </cell>
          <cell r="J184">
            <v>105.72038998555608</v>
          </cell>
          <cell r="K184">
            <v>1.0572038998555608</v>
          </cell>
        </row>
        <row r="185">
          <cell r="D185">
            <v>889878</v>
          </cell>
          <cell r="E185" t="str">
            <v>EURO</v>
          </cell>
          <cell r="F185">
            <v>120.51</v>
          </cell>
          <cell r="G185" t="str">
            <v>20000101</v>
          </cell>
          <cell r="H185" t="str">
            <v>20991231</v>
          </cell>
          <cell r="I185" t="str">
            <v>113.99</v>
          </cell>
          <cell r="J185" t="str">
            <v>105.72</v>
          </cell>
          <cell r="K185">
            <v>1.0571999999999999</v>
          </cell>
        </row>
        <row r="186">
          <cell r="D186">
            <v>430225</v>
          </cell>
          <cell r="E186" t="str">
            <v>EURO</v>
          </cell>
          <cell r="F186">
            <v>35.36</v>
          </cell>
          <cell r="G186" t="str">
            <v>20000101</v>
          </cell>
          <cell r="H186" t="str">
            <v>20991231</v>
          </cell>
          <cell r="I186" t="str">
            <v>33.45</v>
          </cell>
          <cell r="J186" t="str">
            <v>105.71</v>
          </cell>
          <cell r="K186">
            <v>1.0570999999999999</v>
          </cell>
        </row>
        <row r="187">
          <cell r="D187">
            <v>401126</v>
          </cell>
          <cell r="E187" t="str">
            <v>EURO</v>
          </cell>
          <cell r="F187">
            <v>43.27</v>
          </cell>
          <cell r="G187" t="str">
            <v>20000101</v>
          </cell>
          <cell r="H187" t="str">
            <v>20991231</v>
          </cell>
          <cell r="I187" t="str">
            <v>40.93</v>
          </cell>
          <cell r="J187" t="str">
            <v>105.72</v>
          </cell>
          <cell r="K187">
            <v>1.0571999999999999</v>
          </cell>
        </row>
      </sheetData>
      <sheetData sheetId="17" refreshError="1">
        <row r="6">
          <cell r="D6">
            <v>317927</v>
          </cell>
          <cell r="E6" t="str">
            <v>EURO</v>
          </cell>
          <cell r="F6">
            <v>1.0224</v>
          </cell>
        </row>
        <row r="7">
          <cell r="D7">
            <v>209307</v>
          </cell>
          <cell r="E7" t="str">
            <v>EURO</v>
          </cell>
          <cell r="F7">
            <v>1.0224</v>
          </cell>
        </row>
        <row r="8">
          <cell r="D8">
            <v>410133</v>
          </cell>
          <cell r="E8" t="str">
            <v>EURO</v>
          </cell>
          <cell r="F8">
            <v>1.0224</v>
          </cell>
        </row>
        <row r="9">
          <cell r="D9">
            <v>207866</v>
          </cell>
          <cell r="E9" t="str">
            <v>EURO</v>
          </cell>
          <cell r="F9">
            <v>1.0224</v>
          </cell>
        </row>
        <row r="10">
          <cell r="D10">
            <v>208171</v>
          </cell>
          <cell r="E10" t="str">
            <v>EURO</v>
          </cell>
          <cell r="F10">
            <v>1.0224</v>
          </cell>
        </row>
        <row r="11">
          <cell r="D11">
            <v>208532</v>
          </cell>
          <cell r="E11" t="str">
            <v>EURO</v>
          </cell>
          <cell r="F11">
            <v>1.0224</v>
          </cell>
        </row>
        <row r="12">
          <cell r="D12">
            <v>889015</v>
          </cell>
          <cell r="E12" t="str">
            <v>EURO</v>
          </cell>
          <cell r="F12">
            <v>1.0224</v>
          </cell>
        </row>
        <row r="13">
          <cell r="D13">
            <v>889260</v>
          </cell>
          <cell r="E13" t="str">
            <v>EURO</v>
          </cell>
          <cell r="F13">
            <v>1.0224</v>
          </cell>
        </row>
        <row r="14">
          <cell r="D14">
            <v>889351</v>
          </cell>
          <cell r="E14" t="str">
            <v>EURO</v>
          </cell>
          <cell r="F14">
            <v>1.0224</v>
          </cell>
        </row>
        <row r="15">
          <cell r="D15">
            <v>889776</v>
          </cell>
          <cell r="E15" t="str">
            <v>EURO</v>
          </cell>
          <cell r="F15">
            <v>1.0224</v>
          </cell>
        </row>
        <row r="16">
          <cell r="D16">
            <v>887754</v>
          </cell>
          <cell r="E16" t="str">
            <v>EURO</v>
          </cell>
          <cell r="F16">
            <v>1.0224</v>
          </cell>
        </row>
        <row r="17">
          <cell r="D17">
            <v>889347</v>
          </cell>
          <cell r="E17" t="str">
            <v>EURO</v>
          </cell>
          <cell r="F17">
            <v>1.0224</v>
          </cell>
        </row>
        <row r="18">
          <cell r="D18">
            <v>889606</v>
          </cell>
          <cell r="E18" t="str">
            <v>EURO</v>
          </cell>
          <cell r="F18">
            <v>1.0224</v>
          </cell>
        </row>
        <row r="19">
          <cell r="D19">
            <v>339588</v>
          </cell>
          <cell r="E19" t="str">
            <v>EURO</v>
          </cell>
          <cell r="F19">
            <v>1.0224</v>
          </cell>
        </row>
        <row r="20">
          <cell r="D20">
            <v>887675</v>
          </cell>
          <cell r="E20" t="str">
            <v>EURO</v>
          </cell>
          <cell r="F20">
            <v>1.0224</v>
          </cell>
        </row>
        <row r="21">
          <cell r="D21">
            <v>352900</v>
          </cell>
          <cell r="E21" t="str">
            <v>EURO</v>
          </cell>
          <cell r="F21">
            <v>1.0224</v>
          </cell>
        </row>
        <row r="22">
          <cell r="D22">
            <v>358810</v>
          </cell>
          <cell r="E22" t="str">
            <v>EURO</v>
          </cell>
          <cell r="F22">
            <v>1.0224</v>
          </cell>
        </row>
        <row r="23">
          <cell r="D23">
            <v>352823</v>
          </cell>
          <cell r="E23" t="str">
            <v>EURO</v>
          </cell>
          <cell r="F23">
            <v>1.0224</v>
          </cell>
        </row>
        <row r="24">
          <cell r="D24">
            <v>352822</v>
          </cell>
          <cell r="E24" t="str">
            <v>EURO</v>
          </cell>
          <cell r="F24">
            <v>1.0224</v>
          </cell>
        </row>
        <row r="25">
          <cell r="D25">
            <v>392000</v>
          </cell>
          <cell r="E25" t="str">
            <v>EURO</v>
          </cell>
          <cell r="F25">
            <v>1.0224</v>
          </cell>
        </row>
        <row r="26">
          <cell r="D26">
            <v>357140</v>
          </cell>
          <cell r="E26" t="str">
            <v>EURO</v>
          </cell>
          <cell r="F26">
            <v>1.0224</v>
          </cell>
        </row>
        <row r="27">
          <cell r="D27">
            <v>352903</v>
          </cell>
          <cell r="E27" t="str">
            <v>EURO</v>
          </cell>
          <cell r="F27">
            <v>1.0224</v>
          </cell>
        </row>
        <row r="28">
          <cell r="D28">
            <v>358601</v>
          </cell>
          <cell r="E28" t="str">
            <v>EURO</v>
          </cell>
          <cell r="F28">
            <v>1.0224</v>
          </cell>
        </row>
        <row r="29">
          <cell r="D29">
            <v>394800</v>
          </cell>
          <cell r="E29" t="str">
            <v>EURO</v>
          </cell>
          <cell r="F29">
            <v>1.0224</v>
          </cell>
        </row>
        <row r="30">
          <cell r="D30">
            <v>357270</v>
          </cell>
          <cell r="E30" t="str">
            <v>EURO</v>
          </cell>
          <cell r="F30">
            <v>1.0224</v>
          </cell>
        </row>
        <row r="31">
          <cell r="D31">
            <v>357136</v>
          </cell>
          <cell r="E31" t="str">
            <v>EURO</v>
          </cell>
          <cell r="F31">
            <v>1.0224</v>
          </cell>
        </row>
        <row r="32">
          <cell r="D32">
            <v>358652</v>
          </cell>
          <cell r="E32" t="str">
            <v>EURO</v>
          </cell>
          <cell r="F32">
            <v>1.0224</v>
          </cell>
        </row>
        <row r="33">
          <cell r="D33">
            <v>352913</v>
          </cell>
          <cell r="E33" t="str">
            <v>EURO</v>
          </cell>
          <cell r="F33">
            <v>1.0224</v>
          </cell>
        </row>
        <row r="34">
          <cell r="D34">
            <v>394600</v>
          </cell>
          <cell r="E34" t="str">
            <v>EURO</v>
          </cell>
          <cell r="F34">
            <v>1.0224</v>
          </cell>
        </row>
        <row r="35">
          <cell r="D35">
            <v>352912</v>
          </cell>
          <cell r="E35" t="str">
            <v>EURO</v>
          </cell>
          <cell r="F35">
            <v>1.0224</v>
          </cell>
        </row>
        <row r="36">
          <cell r="D36">
            <v>358800</v>
          </cell>
          <cell r="E36" t="str">
            <v>EURO</v>
          </cell>
          <cell r="F36">
            <v>1.0224</v>
          </cell>
        </row>
        <row r="37">
          <cell r="D37">
            <v>357126</v>
          </cell>
          <cell r="E37" t="str">
            <v>EURO</v>
          </cell>
          <cell r="F37">
            <v>1.0224</v>
          </cell>
        </row>
        <row r="38">
          <cell r="D38">
            <v>889873</v>
          </cell>
          <cell r="E38" t="str">
            <v>EURO</v>
          </cell>
          <cell r="F38">
            <v>1.0224</v>
          </cell>
        </row>
        <row r="39">
          <cell r="D39">
            <v>352820</v>
          </cell>
          <cell r="E39" t="str">
            <v>EURO</v>
          </cell>
          <cell r="F39">
            <v>1.0224</v>
          </cell>
        </row>
        <row r="40">
          <cell r="D40">
            <v>207946</v>
          </cell>
          <cell r="E40" t="str">
            <v>EURO</v>
          </cell>
          <cell r="F40">
            <v>1.0224</v>
          </cell>
        </row>
        <row r="41">
          <cell r="D41">
            <v>619130</v>
          </cell>
          <cell r="E41" t="str">
            <v>EURO</v>
          </cell>
          <cell r="F41">
            <v>1.0224</v>
          </cell>
        </row>
        <row r="42">
          <cell r="D42">
            <v>619132</v>
          </cell>
          <cell r="E42" t="str">
            <v>EURO</v>
          </cell>
          <cell r="F42">
            <v>1.0224</v>
          </cell>
        </row>
        <row r="43">
          <cell r="D43">
            <v>814505</v>
          </cell>
          <cell r="E43" t="str">
            <v>EURO</v>
          </cell>
          <cell r="F43">
            <v>1.0224</v>
          </cell>
        </row>
        <row r="44">
          <cell r="D44">
            <v>814514</v>
          </cell>
          <cell r="E44" t="str">
            <v>EURO</v>
          </cell>
          <cell r="F44">
            <v>1.0224</v>
          </cell>
        </row>
        <row r="45">
          <cell r="D45">
            <v>612000</v>
          </cell>
          <cell r="E45" t="str">
            <v>EURO</v>
          </cell>
          <cell r="F45">
            <v>1.0224</v>
          </cell>
        </row>
        <row r="46">
          <cell r="D46">
            <v>893802</v>
          </cell>
          <cell r="E46" t="str">
            <v>EURO</v>
          </cell>
          <cell r="F46">
            <v>1.0224</v>
          </cell>
        </row>
        <row r="47">
          <cell r="D47">
            <v>893801</v>
          </cell>
          <cell r="E47" t="str">
            <v>EURO</v>
          </cell>
          <cell r="F47">
            <v>1.0224</v>
          </cell>
        </row>
        <row r="48">
          <cell r="D48">
            <v>614500</v>
          </cell>
          <cell r="E48" t="str">
            <v>EURO</v>
          </cell>
          <cell r="F48">
            <v>1.0224</v>
          </cell>
        </row>
        <row r="49">
          <cell r="D49">
            <v>613301</v>
          </cell>
          <cell r="E49" t="str">
            <v>EURO</v>
          </cell>
          <cell r="F49">
            <v>1.0224</v>
          </cell>
        </row>
        <row r="50">
          <cell r="D50">
            <v>612101</v>
          </cell>
          <cell r="E50" t="str">
            <v>EURO</v>
          </cell>
          <cell r="F50">
            <v>1.0224</v>
          </cell>
        </row>
        <row r="51">
          <cell r="D51">
            <v>880941</v>
          </cell>
          <cell r="E51" t="str">
            <v>EURO</v>
          </cell>
          <cell r="F51">
            <v>1.0224</v>
          </cell>
        </row>
        <row r="52">
          <cell r="D52">
            <v>614502</v>
          </cell>
          <cell r="E52" t="str">
            <v>EURO</v>
          </cell>
          <cell r="F52">
            <v>1.0224</v>
          </cell>
        </row>
        <row r="53">
          <cell r="D53">
            <v>614501</v>
          </cell>
          <cell r="E53" t="str">
            <v>EURO</v>
          </cell>
          <cell r="F53">
            <v>1.0224</v>
          </cell>
        </row>
        <row r="54">
          <cell r="D54">
            <v>810407</v>
          </cell>
          <cell r="E54" t="str">
            <v>EURO</v>
          </cell>
          <cell r="F54">
            <v>1.0224</v>
          </cell>
        </row>
        <row r="55">
          <cell r="D55">
            <v>810403</v>
          </cell>
          <cell r="E55" t="str">
            <v>EURO</v>
          </cell>
          <cell r="F55">
            <v>1.0224</v>
          </cell>
        </row>
        <row r="56">
          <cell r="D56">
            <v>810408</v>
          </cell>
          <cell r="E56" t="str">
            <v>EURO</v>
          </cell>
          <cell r="F56">
            <v>1.0224</v>
          </cell>
        </row>
        <row r="57">
          <cell r="D57">
            <v>810404</v>
          </cell>
          <cell r="E57" t="str">
            <v>EURO</v>
          </cell>
          <cell r="F57">
            <v>1.0224</v>
          </cell>
        </row>
        <row r="58">
          <cell r="D58">
            <v>893965</v>
          </cell>
          <cell r="E58" t="str">
            <v>EURO</v>
          </cell>
          <cell r="F58">
            <v>1.0224</v>
          </cell>
        </row>
        <row r="59">
          <cell r="D59">
            <v>810401</v>
          </cell>
          <cell r="E59" t="str">
            <v>EURO</v>
          </cell>
          <cell r="F59">
            <v>1.0224</v>
          </cell>
        </row>
        <row r="60">
          <cell r="D60">
            <v>893962</v>
          </cell>
          <cell r="E60" t="str">
            <v>EURO</v>
          </cell>
          <cell r="F60">
            <v>1.0224</v>
          </cell>
        </row>
        <row r="61">
          <cell r="D61">
            <v>810402</v>
          </cell>
          <cell r="E61" t="str">
            <v>EURO</v>
          </cell>
          <cell r="F61">
            <v>1.0224</v>
          </cell>
        </row>
        <row r="62">
          <cell r="D62">
            <v>893963</v>
          </cell>
          <cell r="E62" t="str">
            <v>EURO</v>
          </cell>
          <cell r="F62">
            <v>1.0224</v>
          </cell>
        </row>
        <row r="63">
          <cell r="D63">
            <v>810406</v>
          </cell>
          <cell r="E63" t="str">
            <v>EURO</v>
          </cell>
          <cell r="F63">
            <v>1.0224</v>
          </cell>
        </row>
        <row r="64">
          <cell r="D64">
            <v>810405</v>
          </cell>
          <cell r="E64" t="str">
            <v>EURO</v>
          </cell>
          <cell r="F64">
            <v>1.0224</v>
          </cell>
        </row>
        <row r="65">
          <cell r="D65">
            <v>813093</v>
          </cell>
          <cell r="E65" t="str">
            <v>EURO</v>
          </cell>
          <cell r="F65">
            <v>1.0224</v>
          </cell>
        </row>
        <row r="66">
          <cell r="D66">
            <v>813094</v>
          </cell>
          <cell r="E66" t="str">
            <v>EURO</v>
          </cell>
          <cell r="F66">
            <v>1.0224</v>
          </cell>
        </row>
        <row r="67">
          <cell r="D67">
            <v>813091</v>
          </cell>
          <cell r="E67" t="str">
            <v>EURO</v>
          </cell>
          <cell r="F67">
            <v>1.0224</v>
          </cell>
        </row>
        <row r="68">
          <cell r="D68">
            <v>893970</v>
          </cell>
          <cell r="E68" t="str">
            <v>EURO</v>
          </cell>
          <cell r="F68">
            <v>1.0224</v>
          </cell>
        </row>
        <row r="69">
          <cell r="D69">
            <v>813092</v>
          </cell>
          <cell r="E69" t="str">
            <v>EURO</v>
          </cell>
          <cell r="F69">
            <v>1.0224</v>
          </cell>
        </row>
        <row r="70">
          <cell r="D70">
            <v>813097</v>
          </cell>
          <cell r="E70" t="str">
            <v>EURO</v>
          </cell>
          <cell r="F70">
            <v>1.0224</v>
          </cell>
        </row>
        <row r="71">
          <cell r="D71">
            <v>813096</v>
          </cell>
          <cell r="E71" t="str">
            <v>EURO</v>
          </cell>
          <cell r="F71">
            <v>1.0224</v>
          </cell>
        </row>
        <row r="72">
          <cell r="D72">
            <v>813095</v>
          </cell>
          <cell r="E72" t="str">
            <v>EURO</v>
          </cell>
          <cell r="F72">
            <v>1.0224</v>
          </cell>
        </row>
        <row r="73">
          <cell r="D73">
            <v>889541</v>
          </cell>
          <cell r="E73" t="str">
            <v>EURO</v>
          </cell>
          <cell r="F73">
            <v>1.0224</v>
          </cell>
        </row>
        <row r="74">
          <cell r="D74">
            <v>887530</v>
          </cell>
          <cell r="E74" t="str">
            <v>EURO</v>
          </cell>
          <cell r="F74">
            <v>1.0224</v>
          </cell>
        </row>
        <row r="75">
          <cell r="D75">
            <v>887704</v>
          </cell>
          <cell r="E75" t="str">
            <v>EURO</v>
          </cell>
          <cell r="F75">
            <v>1.0224</v>
          </cell>
        </row>
        <row r="76">
          <cell r="D76">
            <v>887890</v>
          </cell>
          <cell r="E76" t="str">
            <v>EURO</v>
          </cell>
          <cell r="F76">
            <v>1.0224</v>
          </cell>
        </row>
        <row r="77">
          <cell r="D77">
            <v>887908</v>
          </cell>
          <cell r="E77" t="str">
            <v>EURO</v>
          </cell>
          <cell r="F77">
            <v>1.0224</v>
          </cell>
        </row>
        <row r="78">
          <cell r="D78">
            <v>887902</v>
          </cell>
          <cell r="E78" t="str">
            <v>EURO</v>
          </cell>
          <cell r="F78">
            <v>1.0224</v>
          </cell>
        </row>
        <row r="79">
          <cell r="D79">
            <v>887896</v>
          </cell>
          <cell r="E79" t="str">
            <v>EURO</v>
          </cell>
          <cell r="F79">
            <v>1.0224</v>
          </cell>
        </row>
        <row r="80">
          <cell r="D80">
            <v>889550</v>
          </cell>
          <cell r="E80" t="str">
            <v>EURO</v>
          </cell>
          <cell r="F80">
            <v>1.0224</v>
          </cell>
        </row>
        <row r="81">
          <cell r="D81">
            <v>887079</v>
          </cell>
          <cell r="E81" t="str">
            <v>EURO</v>
          </cell>
          <cell r="F81">
            <v>1.0224</v>
          </cell>
        </row>
        <row r="82">
          <cell r="D82">
            <v>887409</v>
          </cell>
          <cell r="E82" t="str">
            <v>EURO</v>
          </cell>
          <cell r="F82">
            <v>1.0224</v>
          </cell>
        </row>
        <row r="83">
          <cell r="D83">
            <v>887413</v>
          </cell>
          <cell r="E83" t="str">
            <v>EURO</v>
          </cell>
          <cell r="F83">
            <v>1.0224</v>
          </cell>
        </row>
        <row r="84">
          <cell r="D84">
            <v>887533</v>
          </cell>
          <cell r="E84" t="str">
            <v>EURO</v>
          </cell>
          <cell r="F84">
            <v>1.0224</v>
          </cell>
        </row>
        <row r="85">
          <cell r="D85">
            <v>887914</v>
          </cell>
          <cell r="E85" t="str">
            <v>EURO</v>
          </cell>
          <cell r="F85">
            <v>1.0224</v>
          </cell>
        </row>
        <row r="86">
          <cell r="D86">
            <v>887933</v>
          </cell>
          <cell r="E86" t="str">
            <v>EURO</v>
          </cell>
          <cell r="F86">
            <v>1.0224</v>
          </cell>
        </row>
        <row r="87">
          <cell r="D87">
            <v>887927</v>
          </cell>
          <cell r="E87" t="str">
            <v>EURO</v>
          </cell>
          <cell r="F87">
            <v>1.0224</v>
          </cell>
        </row>
        <row r="88">
          <cell r="D88">
            <v>887921</v>
          </cell>
          <cell r="E88" t="str">
            <v>EURO</v>
          </cell>
          <cell r="F88">
            <v>1.0224</v>
          </cell>
        </row>
        <row r="89">
          <cell r="D89">
            <v>392063</v>
          </cell>
          <cell r="E89" t="str">
            <v>EURO</v>
          </cell>
          <cell r="F89">
            <v>1.0224</v>
          </cell>
        </row>
        <row r="90">
          <cell r="D90">
            <v>889213</v>
          </cell>
          <cell r="E90" t="str">
            <v>EURO</v>
          </cell>
          <cell r="F90">
            <v>1.0224</v>
          </cell>
        </row>
        <row r="91">
          <cell r="D91">
            <v>889219</v>
          </cell>
          <cell r="E91" t="str">
            <v>EURO</v>
          </cell>
          <cell r="F91">
            <v>1.0224</v>
          </cell>
        </row>
        <row r="92">
          <cell r="D92">
            <v>889207</v>
          </cell>
          <cell r="E92" t="str">
            <v>EURO</v>
          </cell>
          <cell r="F92">
            <v>1.0224</v>
          </cell>
        </row>
        <row r="93">
          <cell r="D93">
            <v>889547</v>
          </cell>
          <cell r="E93" t="str">
            <v>EURO</v>
          </cell>
          <cell r="F93">
            <v>1.0224</v>
          </cell>
        </row>
        <row r="94">
          <cell r="D94">
            <v>593928</v>
          </cell>
          <cell r="E94" t="str">
            <v>EURO</v>
          </cell>
          <cell r="F94">
            <v>1.0224</v>
          </cell>
        </row>
        <row r="95">
          <cell r="D95">
            <v>887527</v>
          </cell>
          <cell r="E95" t="str">
            <v>EURO</v>
          </cell>
          <cell r="F95">
            <v>1.0224</v>
          </cell>
        </row>
        <row r="96">
          <cell r="D96">
            <v>887845</v>
          </cell>
          <cell r="E96" t="str">
            <v>EURO</v>
          </cell>
          <cell r="F96">
            <v>1.0224</v>
          </cell>
        </row>
        <row r="97">
          <cell r="D97">
            <v>887849</v>
          </cell>
          <cell r="E97" t="str">
            <v>EURO</v>
          </cell>
          <cell r="F97">
            <v>1.0224</v>
          </cell>
        </row>
        <row r="98">
          <cell r="D98">
            <v>887848</v>
          </cell>
          <cell r="E98" t="str">
            <v>EURO</v>
          </cell>
          <cell r="F98">
            <v>1.0224</v>
          </cell>
        </row>
        <row r="99">
          <cell r="D99">
            <v>887847</v>
          </cell>
          <cell r="E99" t="str">
            <v>EURO</v>
          </cell>
          <cell r="F99">
            <v>1.0224</v>
          </cell>
        </row>
        <row r="100">
          <cell r="D100">
            <v>887748</v>
          </cell>
          <cell r="E100" t="str">
            <v>EURO</v>
          </cell>
          <cell r="F100">
            <v>1.0224</v>
          </cell>
        </row>
        <row r="101">
          <cell r="D101">
            <v>887813</v>
          </cell>
          <cell r="E101" t="str">
            <v>EURO</v>
          </cell>
          <cell r="F101">
            <v>1.0224</v>
          </cell>
        </row>
        <row r="102">
          <cell r="D102">
            <v>887816</v>
          </cell>
          <cell r="E102" t="str">
            <v>EURO</v>
          </cell>
          <cell r="F102">
            <v>1.0224</v>
          </cell>
        </row>
        <row r="103">
          <cell r="D103">
            <v>887815</v>
          </cell>
          <cell r="E103" t="str">
            <v>EURO</v>
          </cell>
          <cell r="F103">
            <v>1.0224</v>
          </cell>
        </row>
        <row r="104">
          <cell r="D104">
            <v>887814</v>
          </cell>
          <cell r="E104" t="str">
            <v>EURO</v>
          </cell>
          <cell r="F104">
            <v>1.0224</v>
          </cell>
        </row>
        <row r="105">
          <cell r="D105">
            <v>887977</v>
          </cell>
          <cell r="E105" t="str">
            <v>EURO</v>
          </cell>
          <cell r="F105">
            <v>1.0224</v>
          </cell>
        </row>
        <row r="106">
          <cell r="D106">
            <v>889614</v>
          </cell>
          <cell r="E106" t="str">
            <v>EURO</v>
          </cell>
          <cell r="F106">
            <v>1.0224</v>
          </cell>
        </row>
        <row r="107">
          <cell r="D107">
            <v>889283</v>
          </cell>
          <cell r="E107" t="str">
            <v>EURO</v>
          </cell>
          <cell r="F107">
            <v>1.0224</v>
          </cell>
        </row>
        <row r="108">
          <cell r="D108">
            <v>889286</v>
          </cell>
          <cell r="E108" t="str">
            <v>EURO</v>
          </cell>
          <cell r="F108">
            <v>1.0224</v>
          </cell>
        </row>
        <row r="109">
          <cell r="D109">
            <v>889280</v>
          </cell>
          <cell r="E109" t="str">
            <v>EURO</v>
          </cell>
          <cell r="F109">
            <v>1.0224</v>
          </cell>
        </row>
        <row r="110">
          <cell r="D110">
            <v>889735</v>
          </cell>
          <cell r="E110" t="str">
            <v>EURO</v>
          </cell>
          <cell r="F110">
            <v>1.0224</v>
          </cell>
        </row>
        <row r="111">
          <cell r="D111">
            <v>887453</v>
          </cell>
          <cell r="E111" t="str">
            <v>EURO</v>
          </cell>
          <cell r="F111">
            <v>1.0224</v>
          </cell>
        </row>
        <row r="112">
          <cell r="D112">
            <v>887459</v>
          </cell>
          <cell r="E112" t="str">
            <v>EURO</v>
          </cell>
          <cell r="F112">
            <v>1.0224</v>
          </cell>
        </row>
        <row r="113">
          <cell r="D113">
            <v>887454</v>
          </cell>
          <cell r="E113" t="str">
            <v>EURO</v>
          </cell>
          <cell r="F113">
            <v>1.0224</v>
          </cell>
        </row>
        <row r="114">
          <cell r="D114">
            <v>887452</v>
          </cell>
          <cell r="E114" t="str">
            <v>EURO</v>
          </cell>
          <cell r="F114">
            <v>1.0224</v>
          </cell>
        </row>
        <row r="115">
          <cell r="D115">
            <v>887405</v>
          </cell>
          <cell r="E115" t="str">
            <v>EURO</v>
          </cell>
          <cell r="F115">
            <v>1.0224</v>
          </cell>
        </row>
        <row r="116">
          <cell r="D116">
            <v>887447</v>
          </cell>
          <cell r="E116" t="str">
            <v>EURO</v>
          </cell>
          <cell r="F116">
            <v>1.0224</v>
          </cell>
        </row>
        <row r="117">
          <cell r="D117">
            <v>889341</v>
          </cell>
          <cell r="E117" t="str">
            <v>EURO</v>
          </cell>
          <cell r="F117">
            <v>1.0224</v>
          </cell>
        </row>
        <row r="118">
          <cell r="D118">
            <v>889744</v>
          </cell>
          <cell r="E118" t="str">
            <v>EURO</v>
          </cell>
          <cell r="F118">
            <v>1.0224</v>
          </cell>
        </row>
        <row r="119">
          <cell r="D119">
            <v>887487</v>
          </cell>
          <cell r="E119" t="str">
            <v>EURO</v>
          </cell>
          <cell r="F119">
            <v>1.0224</v>
          </cell>
        </row>
        <row r="120">
          <cell r="D120">
            <v>887485</v>
          </cell>
          <cell r="E120" t="str">
            <v>EURO</v>
          </cell>
          <cell r="F120">
            <v>1.0224</v>
          </cell>
        </row>
        <row r="121">
          <cell r="D121">
            <v>887483</v>
          </cell>
          <cell r="E121" t="str">
            <v>EURO</v>
          </cell>
          <cell r="F121">
            <v>1.0224</v>
          </cell>
        </row>
        <row r="122">
          <cell r="D122">
            <v>889544</v>
          </cell>
          <cell r="E122" t="str">
            <v>EURO</v>
          </cell>
          <cell r="F122">
            <v>1.0224</v>
          </cell>
        </row>
        <row r="123">
          <cell r="D123">
            <v>894718</v>
          </cell>
          <cell r="E123" t="str">
            <v>EURO</v>
          </cell>
          <cell r="F123">
            <v>1.0224</v>
          </cell>
        </row>
        <row r="124">
          <cell r="D124">
            <v>894716</v>
          </cell>
          <cell r="E124" t="str">
            <v>EURO</v>
          </cell>
          <cell r="F124">
            <v>1.0224</v>
          </cell>
        </row>
        <row r="125">
          <cell r="D125">
            <v>665619</v>
          </cell>
          <cell r="E125" t="str">
            <v>EURO</v>
          </cell>
          <cell r="F125">
            <v>1.0224</v>
          </cell>
        </row>
        <row r="126">
          <cell r="D126">
            <v>587450</v>
          </cell>
          <cell r="E126" t="str">
            <v>EURO</v>
          </cell>
          <cell r="F126">
            <v>1.0224</v>
          </cell>
        </row>
        <row r="127">
          <cell r="D127">
            <v>889553</v>
          </cell>
          <cell r="E127" t="str">
            <v>EURO</v>
          </cell>
          <cell r="F127">
            <v>1.0224</v>
          </cell>
        </row>
        <row r="128">
          <cell r="D128">
            <v>887564</v>
          </cell>
          <cell r="E128" t="str">
            <v>EURO</v>
          </cell>
          <cell r="F128">
            <v>1.0224</v>
          </cell>
        </row>
        <row r="129">
          <cell r="D129">
            <v>887566</v>
          </cell>
          <cell r="E129" t="str">
            <v>EURO</v>
          </cell>
          <cell r="F129">
            <v>1.0224</v>
          </cell>
        </row>
        <row r="130">
          <cell r="D130">
            <v>886908</v>
          </cell>
          <cell r="E130" t="str">
            <v>EURO</v>
          </cell>
          <cell r="F130">
            <v>1.0224</v>
          </cell>
        </row>
        <row r="131">
          <cell r="D131">
            <v>887951</v>
          </cell>
          <cell r="E131" t="str">
            <v>EURO</v>
          </cell>
          <cell r="F131">
            <v>1.0224</v>
          </cell>
        </row>
        <row r="132">
          <cell r="D132">
            <v>887954</v>
          </cell>
          <cell r="E132" t="str">
            <v>EURO</v>
          </cell>
          <cell r="F132">
            <v>1.0224</v>
          </cell>
        </row>
        <row r="133">
          <cell r="D133">
            <v>887953</v>
          </cell>
          <cell r="E133" t="str">
            <v>EURO</v>
          </cell>
          <cell r="F133">
            <v>1.0224</v>
          </cell>
        </row>
        <row r="134">
          <cell r="D134">
            <v>887952</v>
          </cell>
          <cell r="E134" t="str">
            <v>EURO</v>
          </cell>
          <cell r="F134">
            <v>1.0224</v>
          </cell>
        </row>
        <row r="135">
          <cell r="D135">
            <v>889409</v>
          </cell>
          <cell r="E135" t="str">
            <v>EURO</v>
          </cell>
          <cell r="F135">
            <v>1.0224</v>
          </cell>
        </row>
        <row r="136">
          <cell r="D136">
            <v>889737</v>
          </cell>
          <cell r="E136" t="str">
            <v>EURO</v>
          </cell>
          <cell r="F136">
            <v>1.0224</v>
          </cell>
        </row>
        <row r="137">
          <cell r="D137">
            <v>886905</v>
          </cell>
          <cell r="E137" t="str">
            <v>EURO</v>
          </cell>
          <cell r="F137">
            <v>1.0224</v>
          </cell>
        </row>
        <row r="138">
          <cell r="D138">
            <v>886907</v>
          </cell>
          <cell r="E138" t="str">
            <v>EURO</v>
          </cell>
          <cell r="F138">
            <v>1.0224</v>
          </cell>
        </row>
        <row r="139">
          <cell r="D139">
            <v>886906</v>
          </cell>
          <cell r="E139" t="str">
            <v>EURO</v>
          </cell>
          <cell r="F139">
            <v>1.0224</v>
          </cell>
        </row>
        <row r="140">
          <cell r="D140">
            <v>889562</v>
          </cell>
          <cell r="E140" t="str">
            <v>EURO</v>
          </cell>
          <cell r="F140">
            <v>1.0224</v>
          </cell>
        </row>
        <row r="141">
          <cell r="D141">
            <v>889268</v>
          </cell>
          <cell r="E141" t="str">
            <v>EURO</v>
          </cell>
          <cell r="F141">
            <v>1.0224</v>
          </cell>
        </row>
        <row r="142">
          <cell r="D142">
            <v>889385</v>
          </cell>
          <cell r="E142" t="str">
            <v>EURO</v>
          </cell>
          <cell r="F142">
            <v>1.0224</v>
          </cell>
        </row>
        <row r="143">
          <cell r="D143">
            <v>889292</v>
          </cell>
          <cell r="E143" t="str">
            <v>EURO</v>
          </cell>
          <cell r="F143">
            <v>1.0224</v>
          </cell>
        </row>
        <row r="144">
          <cell r="D144">
            <v>889295</v>
          </cell>
          <cell r="E144" t="str">
            <v>EURO</v>
          </cell>
          <cell r="F144">
            <v>1.0224</v>
          </cell>
        </row>
        <row r="145">
          <cell r="D145">
            <v>889289</v>
          </cell>
          <cell r="E145" t="str">
            <v>EURO</v>
          </cell>
          <cell r="F145">
            <v>1.0224</v>
          </cell>
        </row>
        <row r="146">
          <cell r="D146">
            <v>889580</v>
          </cell>
          <cell r="E146" t="str">
            <v>EURO</v>
          </cell>
          <cell r="F146">
            <v>1.0224</v>
          </cell>
        </row>
        <row r="147">
          <cell r="D147">
            <v>889526</v>
          </cell>
          <cell r="E147" t="str">
            <v>EURO</v>
          </cell>
          <cell r="F147">
            <v>1.0224</v>
          </cell>
        </row>
        <row r="148">
          <cell r="D148">
            <v>889405</v>
          </cell>
          <cell r="E148" t="str">
            <v>EURO</v>
          </cell>
          <cell r="F148">
            <v>1.0224</v>
          </cell>
        </row>
        <row r="149">
          <cell r="D149">
            <v>887449</v>
          </cell>
          <cell r="E149" t="str">
            <v>EURO</v>
          </cell>
          <cell r="F149">
            <v>1.0224</v>
          </cell>
        </row>
        <row r="150">
          <cell r="D150">
            <v>889408</v>
          </cell>
          <cell r="E150" t="str">
            <v>EURO</v>
          </cell>
          <cell r="F150">
            <v>1.0224</v>
          </cell>
        </row>
        <row r="151">
          <cell r="D151">
            <v>889407</v>
          </cell>
          <cell r="E151" t="str">
            <v>EURO</v>
          </cell>
          <cell r="F151">
            <v>1.0224</v>
          </cell>
        </row>
        <row r="152">
          <cell r="D152">
            <v>887576</v>
          </cell>
          <cell r="E152" t="str">
            <v>EURO</v>
          </cell>
          <cell r="F152">
            <v>1.0224</v>
          </cell>
        </row>
        <row r="153">
          <cell r="D153">
            <v>889736</v>
          </cell>
          <cell r="E153" t="str">
            <v>EURO</v>
          </cell>
          <cell r="F153">
            <v>1.0224</v>
          </cell>
        </row>
        <row r="154">
          <cell r="D154">
            <v>889855</v>
          </cell>
          <cell r="E154" t="str">
            <v>EURO</v>
          </cell>
          <cell r="F154">
            <v>1.0224</v>
          </cell>
        </row>
        <row r="155">
          <cell r="D155">
            <v>887637</v>
          </cell>
          <cell r="E155" t="str">
            <v>EURO</v>
          </cell>
          <cell r="F155">
            <v>1.0224</v>
          </cell>
        </row>
        <row r="156">
          <cell r="D156">
            <v>889406</v>
          </cell>
          <cell r="E156" t="str">
            <v>EURO</v>
          </cell>
          <cell r="F156">
            <v>1.0224</v>
          </cell>
        </row>
        <row r="157">
          <cell r="D157">
            <v>887188</v>
          </cell>
          <cell r="E157" t="str">
            <v>EURO</v>
          </cell>
          <cell r="F157">
            <v>1.0224</v>
          </cell>
        </row>
        <row r="158">
          <cell r="D158">
            <v>889386</v>
          </cell>
          <cell r="E158" t="str">
            <v>EURO</v>
          </cell>
          <cell r="F158">
            <v>1.0224</v>
          </cell>
        </row>
        <row r="159">
          <cell r="D159">
            <v>889387</v>
          </cell>
          <cell r="E159" t="str">
            <v>EURO</v>
          </cell>
          <cell r="F159">
            <v>1.0224</v>
          </cell>
        </row>
        <row r="160">
          <cell r="D160">
            <v>887567</v>
          </cell>
          <cell r="E160" t="str">
            <v>EURO</v>
          </cell>
          <cell r="F160">
            <v>1.0224</v>
          </cell>
        </row>
        <row r="161">
          <cell r="D161">
            <v>887880</v>
          </cell>
          <cell r="E161" t="str">
            <v>EURO</v>
          </cell>
          <cell r="F161">
            <v>1.0224</v>
          </cell>
        </row>
        <row r="162">
          <cell r="D162">
            <v>887883</v>
          </cell>
          <cell r="E162" t="str">
            <v>EURO</v>
          </cell>
          <cell r="F162">
            <v>1.0224</v>
          </cell>
        </row>
        <row r="163">
          <cell r="D163">
            <v>887882</v>
          </cell>
          <cell r="E163" t="str">
            <v>EURO</v>
          </cell>
          <cell r="F163">
            <v>1.0224</v>
          </cell>
        </row>
        <row r="164">
          <cell r="D164">
            <v>887881</v>
          </cell>
          <cell r="E164" t="str">
            <v>EURO</v>
          </cell>
          <cell r="F164">
            <v>1.0224</v>
          </cell>
        </row>
        <row r="165">
          <cell r="D165">
            <v>889559</v>
          </cell>
          <cell r="E165" t="str">
            <v>EURO</v>
          </cell>
          <cell r="F165">
            <v>1.0224</v>
          </cell>
        </row>
        <row r="166">
          <cell r="D166">
            <v>887565</v>
          </cell>
          <cell r="E166" t="str">
            <v>EURO</v>
          </cell>
          <cell r="F166">
            <v>1.0224</v>
          </cell>
        </row>
        <row r="167">
          <cell r="D167">
            <v>889881</v>
          </cell>
          <cell r="E167" t="str">
            <v>EURO</v>
          </cell>
          <cell r="F167">
            <v>1.0224</v>
          </cell>
        </row>
        <row r="168">
          <cell r="D168">
            <v>889880</v>
          </cell>
          <cell r="E168" t="str">
            <v>EURO</v>
          </cell>
          <cell r="F168">
            <v>1.0224</v>
          </cell>
        </row>
        <row r="169">
          <cell r="D169">
            <v>889759</v>
          </cell>
          <cell r="E169" t="str">
            <v>EURO</v>
          </cell>
          <cell r="F169">
            <v>1.0224</v>
          </cell>
        </row>
        <row r="170">
          <cell r="D170">
            <v>889762</v>
          </cell>
          <cell r="E170" t="str">
            <v>EURO</v>
          </cell>
          <cell r="F170">
            <v>1.0224</v>
          </cell>
        </row>
        <row r="171">
          <cell r="D171">
            <v>889761</v>
          </cell>
          <cell r="E171" t="str">
            <v>EURO</v>
          </cell>
          <cell r="F171">
            <v>1.0224</v>
          </cell>
        </row>
        <row r="172">
          <cell r="D172">
            <v>889760</v>
          </cell>
          <cell r="E172" t="str">
            <v>EURO</v>
          </cell>
          <cell r="F172">
            <v>1.0224</v>
          </cell>
        </row>
        <row r="173">
          <cell r="D173">
            <v>889882</v>
          </cell>
          <cell r="E173" t="str">
            <v>EURO</v>
          </cell>
          <cell r="F173">
            <v>1.0224</v>
          </cell>
        </row>
        <row r="174">
          <cell r="D174">
            <v>887733</v>
          </cell>
          <cell r="E174" t="str">
            <v>EURO</v>
          </cell>
          <cell r="F174">
            <v>1.0224</v>
          </cell>
        </row>
        <row r="175">
          <cell r="D175">
            <v>887797</v>
          </cell>
          <cell r="E175" t="str">
            <v>EURO</v>
          </cell>
          <cell r="F175">
            <v>1.0224</v>
          </cell>
        </row>
        <row r="176">
          <cell r="D176">
            <v>889556</v>
          </cell>
          <cell r="E176" t="str">
            <v>EURO</v>
          </cell>
          <cell r="F176">
            <v>1.0224</v>
          </cell>
        </row>
        <row r="177">
          <cell r="D177">
            <v>852103</v>
          </cell>
          <cell r="E177" t="str">
            <v>EURO</v>
          </cell>
          <cell r="F177">
            <v>1.0224</v>
          </cell>
        </row>
        <row r="178">
          <cell r="D178">
            <v>652104</v>
          </cell>
          <cell r="E178" t="str">
            <v>EURO</v>
          </cell>
          <cell r="F178">
            <v>1.0224</v>
          </cell>
        </row>
        <row r="179">
          <cell r="D179">
            <v>410303</v>
          </cell>
          <cell r="E179" t="str">
            <v>EURO</v>
          </cell>
          <cell r="F179">
            <v>1.0224</v>
          </cell>
        </row>
        <row r="180">
          <cell r="D180">
            <v>889782</v>
          </cell>
          <cell r="E180" t="str">
            <v>EURO</v>
          </cell>
          <cell r="F180">
            <v>1.0224</v>
          </cell>
        </row>
        <row r="181">
          <cell r="D181">
            <v>209911</v>
          </cell>
          <cell r="E181" t="str">
            <v>EURO</v>
          </cell>
          <cell r="F181">
            <v>1.0224</v>
          </cell>
        </row>
        <row r="182">
          <cell r="D182">
            <v>209890</v>
          </cell>
          <cell r="E182" t="str">
            <v>EURO</v>
          </cell>
          <cell r="F182">
            <v>1.0224</v>
          </cell>
        </row>
        <row r="183">
          <cell r="D183">
            <v>410423</v>
          </cell>
          <cell r="E183" t="str">
            <v>EURO</v>
          </cell>
          <cell r="F183">
            <v>1.0224</v>
          </cell>
        </row>
        <row r="184">
          <cell r="D184">
            <v>366490</v>
          </cell>
          <cell r="E184" t="str">
            <v>EURO</v>
          </cell>
          <cell r="F184">
            <v>1.0224</v>
          </cell>
        </row>
        <row r="185">
          <cell r="D185">
            <v>889878</v>
          </cell>
          <cell r="E185" t="str">
            <v>EURO</v>
          </cell>
          <cell r="F185">
            <v>1.0224</v>
          </cell>
        </row>
        <row r="186">
          <cell r="D186">
            <v>430225</v>
          </cell>
          <cell r="E186" t="str">
            <v>EURO</v>
          </cell>
          <cell r="F186">
            <v>1.0224</v>
          </cell>
        </row>
        <row r="187">
          <cell r="D187">
            <v>401126</v>
          </cell>
          <cell r="E187" t="str">
            <v>EURO</v>
          </cell>
          <cell r="F187">
            <v>1.0224</v>
          </cell>
        </row>
      </sheetData>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Instructions"/>
      <sheetName val="1. Deal Overview Template"/>
      <sheetName val="2. MIF Potentials"/>
      <sheetName val="3. Commercial &amp; Tech Assessment"/>
      <sheetName val="4. Legal Assessment "/>
      <sheetName val="5. Approval Form"/>
      <sheetName val="REF"/>
    </sheetNames>
    <sheetDataSet>
      <sheetData sheetId="0"/>
      <sheetData sheetId="1"/>
      <sheetData sheetId="2"/>
      <sheetData sheetId="3"/>
      <sheetData sheetId="4"/>
      <sheetData sheetId="5"/>
      <sheetData sheetId="6"/>
      <sheetData sheetId="7">
        <row r="9">
          <cell r="A9" t="str">
            <v>Yes</v>
          </cell>
          <cell r="B9" t="str">
            <v>Tom Bareato</v>
          </cell>
          <cell r="C9" t="str">
            <v>David Platt</v>
          </cell>
          <cell r="D9" t="str">
            <v>Automotive</v>
          </cell>
          <cell r="E9" t="str">
            <v>Existing Local Contract</v>
          </cell>
          <cell r="F9" t="str">
            <v>Request For Information?</v>
          </cell>
          <cell r="G9" t="str">
            <v>Focus Account</v>
          </cell>
          <cell r="H9">
            <v>39630</v>
          </cell>
          <cell r="I9" t="str">
            <v>Non-FG500</v>
          </cell>
          <cell r="J9" t="str">
            <v>No Relationship</v>
          </cell>
          <cell r="K9" t="str">
            <v>Nebojsa Joncic</v>
          </cell>
          <cell r="L9" t="str">
            <v>E.Pichereau</v>
          </cell>
          <cell r="M9" t="str">
            <v>NRG Benelux</v>
          </cell>
          <cell r="N9" t="str">
            <v>Ricoh</v>
          </cell>
          <cell r="O9" t="str">
            <v>General Procurement</v>
          </cell>
          <cell r="P9" t="str">
            <v>Price</v>
          </cell>
          <cell r="Q9" t="str">
            <v>No influence</v>
          </cell>
          <cell r="R9" t="str">
            <v>EMEA</v>
          </cell>
          <cell r="S9" t="str">
            <v>Hunting</v>
          </cell>
          <cell r="T9" t="str">
            <v>Single Supplier</v>
          </cell>
          <cell r="U9" t="str">
            <v>2 Years</v>
          </cell>
          <cell r="V9" t="str">
            <v>36 Months</v>
          </cell>
          <cell r="W9" t="str">
            <v>Strong</v>
          </cell>
          <cell r="AE9" t="str">
            <v>Lose existing MIF</v>
          </cell>
        </row>
        <row r="10">
          <cell r="A10" t="str">
            <v>No</v>
          </cell>
          <cell r="B10" t="str">
            <v>Loic Maurillon</v>
          </cell>
          <cell r="C10" t="str">
            <v>Local</v>
          </cell>
          <cell r="D10" t="str">
            <v>Aerospace</v>
          </cell>
          <cell r="E10" t="str">
            <v>Existing EMEA Contract</v>
          </cell>
          <cell r="F10" t="str">
            <v>Request For Proposal?</v>
          </cell>
          <cell r="G10" t="str">
            <v>Selected Account</v>
          </cell>
          <cell r="H10">
            <v>39631</v>
          </cell>
          <cell r="I10" t="str">
            <v>#1</v>
          </cell>
          <cell r="J10" t="str">
            <v>Poor Relationship</v>
          </cell>
          <cell r="K10" t="str">
            <v>Simon Wilson</v>
          </cell>
          <cell r="L10" t="str">
            <v>J.P.Trotin</v>
          </cell>
          <cell r="M10" t="str">
            <v>NRG Denmark</v>
          </cell>
          <cell r="N10" t="str">
            <v>NRG</v>
          </cell>
          <cell r="O10" t="str">
            <v>IT Procurement</v>
          </cell>
          <cell r="P10" t="str">
            <v>Cost Savings</v>
          </cell>
          <cell r="Q10" t="str">
            <v>Influenced Requirements</v>
          </cell>
          <cell r="R10" t="str">
            <v>EMEA / Americas</v>
          </cell>
          <cell r="S10" t="str">
            <v>Drop</v>
          </cell>
          <cell r="T10" t="str">
            <v>Multi-Supplier</v>
          </cell>
          <cell r="U10" t="str">
            <v>3 Years</v>
          </cell>
          <cell r="V10" t="str">
            <v>48 Months</v>
          </cell>
          <cell r="W10" t="str">
            <v>Medium</v>
          </cell>
          <cell r="AE10" t="str">
            <v>Affect existing relationship</v>
          </cell>
        </row>
        <row r="11">
          <cell r="D11" t="str">
            <v>Financial Services</v>
          </cell>
          <cell r="E11" t="str">
            <v>Existing Global Contract</v>
          </cell>
          <cell r="F11" t="str">
            <v>Request For Quotation?</v>
          </cell>
          <cell r="G11" t="str">
            <v>Non-Selected Account</v>
          </cell>
          <cell r="H11">
            <v>39632</v>
          </cell>
          <cell r="I11" t="str">
            <v>#2</v>
          </cell>
          <cell r="J11" t="str">
            <v>Good Relationship</v>
          </cell>
          <cell r="K11" t="str">
            <v>Mehdi Moslehi</v>
          </cell>
          <cell r="L11" t="str">
            <v>F. Bannon</v>
          </cell>
          <cell r="M11" t="str">
            <v>NRG S.Africa</v>
          </cell>
          <cell r="O11" t="str">
            <v>Finance</v>
          </cell>
          <cell r="P11" t="str">
            <v>Technical Solution</v>
          </cell>
          <cell r="R11" t="str">
            <v>EMEA / APAC</v>
          </cell>
          <cell r="U11" t="str">
            <v>4 Years</v>
          </cell>
          <cell r="V11" t="str">
            <v>60 Months</v>
          </cell>
          <cell r="W11" t="str">
            <v>Weak</v>
          </cell>
          <cell r="AE11" t="str">
            <v>No Impact</v>
          </cell>
        </row>
        <row r="12">
          <cell r="D12" t="str">
            <v>Manufacturing</v>
          </cell>
          <cell r="E12" t="str">
            <v>New</v>
          </cell>
          <cell r="F12" t="str">
            <v>Contract extension?</v>
          </cell>
          <cell r="G12" t="str">
            <v>International Account</v>
          </cell>
          <cell r="H12">
            <v>39633</v>
          </cell>
          <cell r="I12" t="str">
            <v>#3</v>
          </cell>
          <cell r="J12" t="str">
            <v>Strong Relationship</v>
          </cell>
          <cell r="K12" t="str">
            <v>Jonathan Nixon</v>
          </cell>
          <cell r="L12" t="str">
            <v>R.V.Laer</v>
          </cell>
          <cell r="M12" t="str">
            <v>NRG Spain</v>
          </cell>
          <cell r="O12" t="str">
            <v>Other?</v>
          </cell>
          <cell r="P12" t="str">
            <v>Service Delivery</v>
          </cell>
          <cell r="R12" t="str">
            <v>Global</v>
          </cell>
          <cell r="U12" t="str">
            <v>5 Years</v>
          </cell>
          <cell r="V12" t="str">
            <v>Multiple lease terms</v>
          </cell>
        </row>
        <row r="13">
          <cell r="D13" t="str">
            <v>Utilities</v>
          </cell>
          <cell r="F13" t="str">
            <v>Contract scope expansion?</v>
          </cell>
          <cell r="H13">
            <v>39634</v>
          </cell>
          <cell r="I13" t="str">
            <v>#4</v>
          </cell>
          <cell r="K13" t="str">
            <v>None</v>
          </cell>
          <cell r="L13" t="str">
            <v>M.Beelen</v>
          </cell>
          <cell r="M13" t="str">
            <v>NRG Sweden</v>
          </cell>
          <cell r="P13" t="str">
            <v>Price + Technical Solution</v>
          </cell>
          <cell r="U13" t="str">
            <v>Other?</v>
          </cell>
          <cell r="V13" t="str">
            <v>Other?</v>
          </cell>
        </row>
        <row r="14">
          <cell r="D14" t="str">
            <v>Technology</v>
          </cell>
          <cell r="H14">
            <v>39635</v>
          </cell>
          <cell r="I14" t="str">
            <v>#5</v>
          </cell>
          <cell r="L14" t="str">
            <v>G. Nilsson</v>
          </cell>
          <cell r="M14" t="str">
            <v>Ricoh Austria</v>
          </cell>
          <cell r="P14" t="str">
            <v>Price + Service Delivery</v>
          </cell>
        </row>
        <row r="15">
          <cell r="D15" t="str">
            <v>Logistics</v>
          </cell>
          <cell r="H15">
            <v>39636</v>
          </cell>
          <cell r="I15" t="str">
            <v>#6</v>
          </cell>
          <cell r="L15" t="str">
            <v>O.Meert</v>
          </cell>
          <cell r="M15" t="str">
            <v>Ricoh Belgium</v>
          </cell>
          <cell r="P15" t="str">
            <v>Cost Savings +Technical solution</v>
          </cell>
        </row>
        <row r="16">
          <cell r="D16" t="str">
            <v>Hotel and Leisure</v>
          </cell>
          <cell r="H16">
            <v>39637</v>
          </cell>
          <cell r="I16" t="str">
            <v>#7</v>
          </cell>
          <cell r="L16" t="str">
            <v>J.Sas</v>
          </cell>
          <cell r="M16" t="str">
            <v>Ricoh Finland</v>
          </cell>
          <cell r="P16" t="str">
            <v>Cost Savings +Service Delivery</v>
          </cell>
        </row>
        <row r="17">
          <cell r="D17" t="str">
            <v>Pharmceutical</v>
          </cell>
          <cell r="H17">
            <v>39638</v>
          </cell>
          <cell r="I17" t="str">
            <v>#8</v>
          </cell>
          <cell r="L17" t="str">
            <v>T.Kuehnert</v>
          </cell>
          <cell r="M17" t="str">
            <v>Ricoh France</v>
          </cell>
          <cell r="P17" t="str">
            <v>Global Capabilities</v>
          </cell>
        </row>
        <row r="18">
          <cell r="D18" t="str">
            <v>Oil and Chemicals</v>
          </cell>
          <cell r="H18">
            <v>39639</v>
          </cell>
          <cell r="I18" t="str">
            <v>#9</v>
          </cell>
          <cell r="L18" t="str">
            <v>E.Koelmel</v>
          </cell>
          <cell r="M18" t="str">
            <v>Ricoh Germany</v>
          </cell>
          <cell r="P18" t="str">
            <v>All above</v>
          </cell>
        </row>
        <row r="19">
          <cell r="D19" t="str">
            <v>Telecommunications</v>
          </cell>
          <cell r="H19">
            <v>39640</v>
          </cell>
          <cell r="I19" t="str">
            <v>#10</v>
          </cell>
          <cell r="L19" t="str">
            <v>Other-LAM</v>
          </cell>
          <cell r="M19" t="str">
            <v>Ricoh Hungary</v>
          </cell>
          <cell r="P19" t="str">
            <v>Other</v>
          </cell>
        </row>
        <row r="20">
          <cell r="D20" t="str">
            <v>Other</v>
          </cell>
          <cell r="H20">
            <v>39641</v>
          </cell>
          <cell r="I20" t="str">
            <v>#11</v>
          </cell>
          <cell r="M20" t="str">
            <v>Ricoh Italy</v>
          </cell>
        </row>
        <row r="21">
          <cell r="D21" t="str">
            <v>Professional Services</v>
          </cell>
          <cell r="H21">
            <v>39642</v>
          </cell>
          <cell r="I21" t="str">
            <v>#12</v>
          </cell>
          <cell r="M21" t="str">
            <v>Ricoh Netherlands</v>
          </cell>
        </row>
        <row r="22">
          <cell r="H22">
            <v>39644</v>
          </cell>
          <cell r="I22" t="str">
            <v>#14</v>
          </cell>
          <cell r="M22" t="str">
            <v>Ricoh Norway</v>
          </cell>
        </row>
        <row r="23">
          <cell r="H23">
            <v>39645</v>
          </cell>
          <cell r="I23" t="str">
            <v>#15</v>
          </cell>
          <cell r="M23" t="str">
            <v>Ricoh Norway</v>
          </cell>
        </row>
        <row r="24">
          <cell r="H24">
            <v>39646</v>
          </cell>
          <cell r="I24" t="str">
            <v>#16</v>
          </cell>
          <cell r="M24" t="str">
            <v>Ricoh Poland</v>
          </cell>
        </row>
        <row r="25">
          <cell r="H25">
            <v>39647</v>
          </cell>
          <cell r="I25" t="str">
            <v>#17</v>
          </cell>
          <cell r="M25" t="str">
            <v>Ricoh Portugal</v>
          </cell>
        </row>
        <row r="26">
          <cell r="H26">
            <v>39648</v>
          </cell>
          <cell r="I26" t="str">
            <v>#18</v>
          </cell>
          <cell r="M26" t="str">
            <v>Ricoh Scandanavia</v>
          </cell>
        </row>
        <row r="27">
          <cell r="H27">
            <v>39649</v>
          </cell>
          <cell r="I27" t="str">
            <v>#19</v>
          </cell>
          <cell r="M27" t="str">
            <v>Ricoh Spain</v>
          </cell>
        </row>
        <row r="28">
          <cell r="H28">
            <v>39650</v>
          </cell>
          <cell r="I28" t="str">
            <v>#20</v>
          </cell>
          <cell r="M28" t="str">
            <v>Ricoh Sweden (Carl Lamm)</v>
          </cell>
        </row>
        <row r="29">
          <cell r="H29">
            <v>39651</v>
          </cell>
          <cell r="I29" t="str">
            <v>#21</v>
          </cell>
          <cell r="M29" t="str">
            <v>Ricoh UK</v>
          </cell>
        </row>
        <row r="30">
          <cell r="H30">
            <v>39652</v>
          </cell>
          <cell r="I30" t="str">
            <v>#22</v>
          </cell>
          <cell r="M30" t="str">
            <v>Ricoh USA</v>
          </cell>
        </row>
        <row r="31">
          <cell r="H31">
            <v>39653</v>
          </cell>
          <cell r="I31" t="str">
            <v>#23</v>
          </cell>
        </row>
        <row r="32">
          <cell r="H32">
            <v>39654</v>
          </cell>
          <cell r="I32" t="str">
            <v>#24</v>
          </cell>
        </row>
        <row r="33">
          <cell r="H33">
            <v>39655</v>
          </cell>
          <cell r="I33" t="str">
            <v>#25</v>
          </cell>
        </row>
        <row r="34">
          <cell r="H34">
            <v>39656</v>
          </cell>
          <cell r="I34" t="str">
            <v>#26</v>
          </cell>
        </row>
        <row r="35">
          <cell r="H35">
            <v>39657</v>
          </cell>
          <cell r="I35" t="str">
            <v>#27</v>
          </cell>
        </row>
        <row r="36">
          <cell r="H36">
            <v>39658</v>
          </cell>
          <cell r="I36" t="str">
            <v>#28</v>
          </cell>
        </row>
        <row r="37">
          <cell r="H37">
            <v>39659</v>
          </cell>
          <cell r="I37" t="str">
            <v>#29</v>
          </cell>
        </row>
        <row r="38">
          <cell r="H38">
            <v>39660</v>
          </cell>
          <cell r="I38" t="str">
            <v>#30</v>
          </cell>
        </row>
        <row r="39">
          <cell r="H39">
            <v>39661</v>
          </cell>
          <cell r="I39" t="str">
            <v>#31</v>
          </cell>
        </row>
        <row r="40">
          <cell r="H40">
            <v>39662</v>
          </cell>
          <cell r="I40" t="str">
            <v>#32</v>
          </cell>
        </row>
        <row r="41">
          <cell r="H41">
            <v>39663</v>
          </cell>
          <cell r="I41" t="str">
            <v>#33</v>
          </cell>
        </row>
        <row r="42">
          <cell r="H42">
            <v>39664</v>
          </cell>
          <cell r="I42" t="str">
            <v>#34</v>
          </cell>
        </row>
        <row r="43">
          <cell r="H43">
            <v>39665</v>
          </cell>
          <cell r="I43" t="str">
            <v>#35</v>
          </cell>
        </row>
        <row r="44">
          <cell r="H44">
            <v>39666</v>
          </cell>
          <cell r="I44" t="str">
            <v>#36</v>
          </cell>
        </row>
        <row r="45">
          <cell r="H45">
            <v>39667</v>
          </cell>
          <cell r="I45" t="str">
            <v>#37</v>
          </cell>
        </row>
        <row r="46">
          <cell r="H46">
            <v>39668</v>
          </cell>
          <cell r="I46" t="str">
            <v>#38</v>
          </cell>
        </row>
        <row r="47">
          <cell r="H47">
            <v>39669</v>
          </cell>
          <cell r="I47" t="str">
            <v>#39</v>
          </cell>
        </row>
        <row r="48">
          <cell r="H48">
            <v>39670</v>
          </cell>
          <cell r="I48" t="str">
            <v>#40</v>
          </cell>
        </row>
        <row r="49">
          <cell r="H49">
            <v>39671</v>
          </cell>
          <cell r="I49" t="str">
            <v>#41</v>
          </cell>
        </row>
        <row r="50">
          <cell r="H50">
            <v>39672</v>
          </cell>
          <cell r="I50" t="str">
            <v>#42</v>
          </cell>
        </row>
        <row r="51">
          <cell r="H51">
            <v>39673</v>
          </cell>
          <cell r="I51" t="str">
            <v>#43</v>
          </cell>
        </row>
        <row r="52">
          <cell r="H52">
            <v>39674</v>
          </cell>
          <cell r="I52" t="str">
            <v>#44</v>
          </cell>
        </row>
        <row r="53">
          <cell r="H53">
            <v>39675</v>
          </cell>
          <cell r="I53" t="str">
            <v>#45</v>
          </cell>
        </row>
        <row r="54">
          <cell r="H54">
            <v>39676</v>
          </cell>
          <cell r="I54" t="str">
            <v>#46</v>
          </cell>
        </row>
        <row r="55">
          <cell r="H55">
            <v>39677</v>
          </cell>
          <cell r="I55" t="str">
            <v>#47</v>
          </cell>
        </row>
        <row r="56">
          <cell r="H56">
            <v>39678</v>
          </cell>
          <cell r="I56" t="str">
            <v>#48</v>
          </cell>
        </row>
        <row r="57">
          <cell r="H57">
            <v>39679</v>
          </cell>
          <cell r="I57" t="str">
            <v>#49</v>
          </cell>
        </row>
        <row r="58">
          <cell r="H58">
            <v>39680</v>
          </cell>
          <cell r="I58" t="str">
            <v>#50</v>
          </cell>
        </row>
        <row r="59">
          <cell r="H59">
            <v>39681</v>
          </cell>
          <cell r="I59" t="str">
            <v>#51</v>
          </cell>
        </row>
        <row r="60">
          <cell r="H60">
            <v>39682</v>
          </cell>
          <cell r="I60" t="str">
            <v>#52</v>
          </cell>
        </row>
        <row r="61">
          <cell r="H61">
            <v>39683</v>
          </cell>
          <cell r="I61" t="str">
            <v>#53</v>
          </cell>
        </row>
        <row r="62">
          <cell r="H62">
            <v>39684</v>
          </cell>
          <cell r="I62" t="str">
            <v>#54</v>
          </cell>
        </row>
        <row r="63">
          <cell r="H63">
            <v>39685</v>
          </cell>
          <cell r="I63" t="str">
            <v>#55</v>
          </cell>
        </row>
        <row r="64">
          <cell r="H64">
            <v>39686</v>
          </cell>
          <cell r="I64" t="str">
            <v>#56</v>
          </cell>
        </row>
        <row r="65">
          <cell r="H65">
            <v>39687</v>
          </cell>
          <cell r="I65" t="str">
            <v>#57</v>
          </cell>
        </row>
        <row r="66">
          <cell r="H66">
            <v>39688</v>
          </cell>
          <cell r="I66" t="str">
            <v>#58</v>
          </cell>
        </row>
        <row r="67">
          <cell r="H67">
            <v>39689</v>
          </cell>
          <cell r="I67" t="str">
            <v>#59</v>
          </cell>
        </row>
        <row r="68">
          <cell r="H68">
            <v>39690</v>
          </cell>
          <cell r="I68" t="str">
            <v>#60</v>
          </cell>
        </row>
        <row r="69">
          <cell r="H69">
            <v>39691</v>
          </cell>
          <cell r="I69" t="str">
            <v>#61</v>
          </cell>
        </row>
        <row r="70">
          <cell r="H70">
            <v>39692</v>
          </cell>
          <cell r="I70" t="str">
            <v>#62</v>
          </cell>
        </row>
        <row r="71">
          <cell r="H71">
            <v>39693</v>
          </cell>
          <cell r="I71" t="str">
            <v>#63</v>
          </cell>
        </row>
        <row r="72">
          <cell r="H72">
            <v>39694</v>
          </cell>
          <cell r="I72" t="str">
            <v>#64</v>
          </cell>
        </row>
        <row r="73">
          <cell r="H73">
            <v>39695</v>
          </cell>
          <cell r="I73" t="str">
            <v>#65</v>
          </cell>
        </row>
        <row r="74">
          <cell r="H74">
            <v>39696</v>
          </cell>
          <cell r="I74" t="str">
            <v>#66</v>
          </cell>
        </row>
        <row r="75">
          <cell r="H75">
            <v>39697</v>
          </cell>
          <cell r="I75" t="str">
            <v>#67</v>
          </cell>
        </row>
        <row r="76">
          <cell r="H76">
            <v>39698</v>
          </cell>
          <cell r="I76" t="str">
            <v>#68</v>
          </cell>
        </row>
        <row r="77">
          <cell r="H77">
            <v>39699</v>
          </cell>
          <cell r="I77" t="str">
            <v>#69</v>
          </cell>
        </row>
        <row r="78">
          <cell r="H78">
            <v>39700</v>
          </cell>
          <cell r="I78" t="str">
            <v>#70</v>
          </cell>
        </row>
        <row r="79">
          <cell r="H79">
            <v>39701</v>
          </cell>
          <cell r="I79" t="str">
            <v>#71</v>
          </cell>
        </row>
        <row r="80">
          <cell r="H80">
            <v>39702</v>
          </cell>
          <cell r="I80" t="str">
            <v>#72</v>
          </cell>
        </row>
        <row r="81">
          <cell r="H81">
            <v>39703</v>
          </cell>
          <cell r="I81" t="str">
            <v>#73</v>
          </cell>
        </row>
        <row r="82">
          <cell r="H82">
            <v>39704</v>
          </cell>
          <cell r="I82" t="str">
            <v>#74</v>
          </cell>
        </row>
        <row r="83">
          <cell r="H83">
            <v>39705</v>
          </cell>
          <cell r="I83" t="str">
            <v>#75</v>
          </cell>
        </row>
        <row r="84">
          <cell r="H84">
            <v>39706</v>
          </cell>
          <cell r="I84" t="str">
            <v>#76</v>
          </cell>
        </row>
        <row r="85">
          <cell r="H85">
            <v>39707</v>
          </cell>
          <cell r="I85" t="str">
            <v>#77</v>
          </cell>
        </row>
        <row r="86">
          <cell r="H86">
            <v>39708</v>
          </cell>
          <cell r="I86" t="str">
            <v>#78</v>
          </cell>
        </row>
        <row r="87">
          <cell r="H87">
            <v>39709</v>
          </cell>
          <cell r="I87" t="str">
            <v>#79</v>
          </cell>
        </row>
        <row r="88">
          <cell r="H88">
            <v>39710</v>
          </cell>
          <cell r="I88" t="str">
            <v>#80</v>
          </cell>
        </row>
        <row r="89">
          <cell r="H89">
            <v>39711</v>
          </cell>
          <cell r="I89" t="str">
            <v>#81</v>
          </cell>
        </row>
        <row r="90">
          <cell r="H90">
            <v>39712</v>
          </cell>
          <cell r="I90" t="str">
            <v>#82</v>
          </cell>
        </row>
        <row r="91">
          <cell r="H91">
            <v>39713</v>
          </cell>
          <cell r="I91" t="str">
            <v>#83</v>
          </cell>
        </row>
        <row r="92">
          <cell r="H92">
            <v>39714</v>
          </cell>
          <cell r="I92" t="str">
            <v>#84</v>
          </cell>
        </row>
        <row r="93">
          <cell r="H93">
            <v>39715</v>
          </cell>
          <cell r="I93" t="str">
            <v>#85</v>
          </cell>
        </row>
        <row r="94">
          <cell r="H94">
            <v>39716</v>
          </cell>
          <cell r="I94" t="str">
            <v>#86</v>
          </cell>
        </row>
        <row r="95">
          <cell r="H95">
            <v>39717</v>
          </cell>
          <cell r="I95" t="str">
            <v>#87</v>
          </cell>
        </row>
        <row r="96">
          <cell r="H96">
            <v>39718</v>
          </cell>
          <cell r="I96" t="str">
            <v>#88</v>
          </cell>
        </row>
        <row r="97">
          <cell r="H97">
            <v>39719</v>
          </cell>
          <cell r="I97" t="str">
            <v>#89</v>
          </cell>
        </row>
        <row r="98">
          <cell r="H98">
            <v>39720</v>
          </cell>
          <cell r="I98" t="str">
            <v>#90</v>
          </cell>
        </row>
        <row r="99">
          <cell r="H99">
            <v>39721</v>
          </cell>
          <cell r="I99" t="str">
            <v>#91</v>
          </cell>
        </row>
        <row r="100">
          <cell r="H100">
            <v>39722</v>
          </cell>
          <cell r="I100" t="str">
            <v>#92</v>
          </cell>
        </row>
        <row r="101">
          <cell r="H101">
            <v>39724</v>
          </cell>
          <cell r="I101" t="str">
            <v>#93</v>
          </cell>
        </row>
        <row r="102">
          <cell r="H102">
            <v>39725</v>
          </cell>
          <cell r="I102" t="str">
            <v>#94</v>
          </cell>
        </row>
        <row r="103">
          <cell r="H103">
            <v>39726</v>
          </cell>
          <cell r="I103" t="str">
            <v>#95</v>
          </cell>
        </row>
        <row r="104">
          <cell r="H104">
            <v>39727</v>
          </cell>
          <cell r="I104" t="str">
            <v>#96</v>
          </cell>
        </row>
        <row r="105">
          <cell r="H105">
            <v>39728</v>
          </cell>
          <cell r="I105" t="str">
            <v>#97</v>
          </cell>
        </row>
        <row r="106">
          <cell r="H106">
            <v>39729</v>
          </cell>
          <cell r="I106" t="str">
            <v>#98</v>
          </cell>
        </row>
        <row r="107">
          <cell r="H107">
            <v>39730</v>
          </cell>
          <cell r="I107" t="str">
            <v>#99</v>
          </cell>
        </row>
        <row r="108">
          <cell r="H108">
            <v>39731</v>
          </cell>
          <cell r="I108" t="str">
            <v>#100</v>
          </cell>
        </row>
        <row r="109">
          <cell r="H109">
            <v>39732</v>
          </cell>
          <cell r="I109" t="str">
            <v>#101</v>
          </cell>
        </row>
        <row r="110">
          <cell r="H110">
            <v>39733</v>
          </cell>
          <cell r="I110" t="str">
            <v>#102</v>
          </cell>
        </row>
        <row r="111">
          <cell r="H111">
            <v>39734</v>
          </cell>
          <cell r="I111" t="str">
            <v>#103</v>
          </cell>
        </row>
        <row r="112">
          <cell r="H112">
            <v>39735</v>
          </cell>
          <cell r="I112" t="str">
            <v>#104</v>
          </cell>
        </row>
        <row r="113">
          <cell r="H113">
            <v>39736</v>
          </cell>
          <cell r="I113" t="str">
            <v>#105</v>
          </cell>
        </row>
        <row r="114">
          <cell r="H114">
            <v>39737</v>
          </cell>
          <cell r="I114" t="str">
            <v>#106</v>
          </cell>
        </row>
        <row r="115">
          <cell r="H115">
            <v>39738</v>
          </cell>
          <cell r="I115" t="str">
            <v>#107</v>
          </cell>
        </row>
        <row r="116">
          <cell r="H116">
            <v>39739</v>
          </cell>
          <cell r="I116" t="str">
            <v>#108</v>
          </cell>
        </row>
        <row r="117">
          <cell r="H117">
            <v>39740</v>
          </cell>
          <cell r="I117" t="str">
            <v>#109</v>
          </cell>
        </row>
        <row r="118">
          <cell r="H118">
            <v>39741</v>
          </cell>
          <cell r="I118" t="str">
            <v>#110</v>
          </cell>
        </row>
        <row r="119">
          <cell r="H119">
            <v>39742</v>
          </cell>
          <cell r="I119" t="str">
            <v>#111</v>
          </cell>
        </row>
        <row r="120">
          <cell r="H120">
            <v>39743</v>
          </cell>
          <cell r="I120" t="str">
            <v>#112</v>
          </cell>
        </row>
        <row r="121">
          <cell r="H121">
            <v>39744</v>
          </cell>
          <cell r="I121" t="str">
            <v>#113</v>
          </cell>
        </row>
        <row r="122">
          <cell r="H122">
            <v>39745</v>
          </cell>
          <cell r="I122" t="str">
            <v>#114</v>
          </cell>
        </row>
        <row r="123">
          <cell r="H123">
            <v>39746</v>
          </cell>
          <cell r="I123" t="str">
            <v>#115</v>
          </cell>
        </row>
        <row r="124">
          <cell r="H124">
            <v>39747</v>
          </cell>
          <cell r="I124" t="str">
            <v>#116</v>
          </cell>
        </row>
        <row r="125">
          <cell r="H125">
            <v>39748</v>
          </cell>
          <cell r="I125" t="str">
            <v>#117</v>
          </cell>
        </row>
        <row r="126">
          <cell r="H126">
            <v>39749</v>
          </cell>
          <cell r="I126" t="str">
            <v>#118</v>
          </cell>
        </row>
        <row r="127">
          <cell r="H127">
            <v>39750</v>
          </cell>
          <cell r="I127" t="str">
            <v>#119</v>
          </cell>
        </row>
        <row r="128">
          <cell r="H128">
            <v>39751</v>
          </cell>
          <cell r="I128" t="str">
            <v>#120</v>
          </cell>
        </row>
        <row r="129">
          <cell r="H129">
            <v>39752</v>
          </cell>
          <cell r="I129" t="str">
            <v>#121</v>
          </cell>
        </row>
        <row r="130">
          <cell r="H130">
            <v>39753</v>
          </cell>
          <cell r="I130" t="str">
            <v>#122</v>
          </cell>
        </row>
        <row r="131">
          <cell r="H131">
            <v>39754</v>
          </cell>
          <cell r="I131" t="str">
            <v>#123</v>
          </cell>
        </row>
        <row r="132">
          <cell r="H132">
            <v>39755</v>
          </cell>
          <cell r="I132" t="str">
            <v>#124</v>
          </cell>
        </row>
        <row r="133">
          <cell r="H133">
            <v>39756</v>
          </cell>
          <cell r="I133" t="str">
            <v>#125</v>
          </cell>
        </row>
        <row r="134">
          <cell r="H134">
            <v>39757</v>
          </cell>
          <cell r="I134" t="str">
            <v>#126</v>
          </cell>
        </row>
        <row r="135">
          <cell r="H135">
            <v>39758</v>
          </cell>
          <cell r="I135" t="str">
            <v>#127</v>
          </cell>
        </row>
        <row r="136">
          <cell r="H136">
            <v>39759</v>
          </cell>
          <cell r="I136" t="str">
            <v>#128</v>
          </cell>
        </row>
        <row r="137">
          <cell r="H137">
            <v>39760</v>
          </cell>
          <cell r="I137" t="str">
            <v>#129</v>
          </cell>
        </row>
        <row r="138">
          <cell r="H138">
            <v>39761</v>
          </cell>
          <cell r="I138" t="str">
            <v>#130</v>
          </cell>
        </row>
        <row r="139">
          <cell r="H139">
            <v>39762</v>
          </cell>
          <cell r="I139" t="str">
            <v>#131</v>
          </cell>
        </row>
        <row r="140">
          <cell r="H140">
            <v>39763</v>
          </cell>
          <cell r="I140" t="str">
            <v>#132</v>
          </cell>
        </row>
        <row r="141">
          <cell r="H141">
            <v>39764</v>
          </cell>
          <cell r="I141" t="str">
            <v>#133</v>
          </cell>
        </row>
        <row r="142">
          <cell r="H142">
            <v>39765</v>
          </cell>
          <cell r="I142" t="str">
            <v>#134</v>
          </cell>
        </row>
        <row r="143">
          <cell r="H143">
            <v>39766</v>
          </cell>
          <cell r="I143" t="str">
            <v>#135</v>
          </cell>
        </row>
        <row r="144">
          <cell r="H144">
            <v>39767</v>
          </cell>
          <cell r="I144" t="str">
            <v>#136</v>
          </cell>
        </row>
        <row r="145">
          <cell r="H145">
            <v>39768</v>
          </cell>
          <cell r="I145" t="str">
            <v>#137</v>
          </cell>
        </row>
        <row r="146">
          <cell r="H146">
            <v>39769</v>
          </cell>
          <cell r="I146" t="str">
            <v>#138</v>
          </cell>
        </row>
        <row r="147">
          <cell r="H147">
            <v>39770</v>
          </cell>
          <cell r="I147" t="str">
            <v>#139</v>
          </cell>
        </row>
        <row r="148">
          <cell r="H148">
            <v>39771</v>
          </cell>
          <cell r="I148" t="str">
            <v>#140</v>
          </cell>
        </row>
        <row r="149">
          <cell r="H149">
            <v>39772</v>
          </cell>
          <cell r="I149" t="str">
            <v>#141</v>
          </cell>
        </row>
        <row r="150">
          <cell r="H150">
            <v>39773</v>
          </cell>
          <cell r="I150" t="str">
            <v>#142</v>
          </cell>
        </row>
        <row r="151">
          <cell r="H151">
            <v>39774</v>
          </cell>
          <cell r="I151" t="str">
            <v>#143</v>
          </cell>
        </row>
        <row r="152">
          <cell r="H152">
            <v>39775</v>
          </cell>
          <cell r="I152" t="str">
            <v>#144</v>
          </cell>
        </row>
        <row r="153">
          <cell r="H153">
            <v>39776</v>
          </cell>
          <cell r="I153" t="str">
            <v>#145</v>
          </cell>
        </row>
        <row r="154">
          <cell r="H154">
            <v>39777</v>
          </cell>
          <cell r="I154" t="str">
            <v>#146</v>
          </cell>
        </row>
        <row r="155">
          <cell r="H155">
            <v>39778</v>
          </cell>
          <cell r="I155" t="str">
            <v>#147</v>
          </cell>
        </row>
        <row r="156">
          <cell r="H156">
            <v>39779</v>
          </cell>
          <cell r="I156" t="str">
            <v>#148</v>
          </cell>
        </row>
        <row r="157">
          <cell r="H157">
            <v>39780</v>
          </cell>
          <cell r="I157" t="str">
            <v>#149</v>
          </cell>
        </row>
        <row r="158">
          <cell r="H158">
            <v>39781</v>
          </cell>
          <cell r="I158" t="str">
            <v>#150</v>
          </cell>
        </row>
        <row r="159">
          <cell r="H159">
            <v>39782</v>
          </cell>
          <cell r="I159" t="str">
            <v>#151</v>
          </cell>
        </row>
        <row r="160">
          <cell r="H160">
            <v>39783</v>
          </cell>
          <cell r="I160" t="str">
            <v>#152</v>
          </cell>
        </row>
        <row r="161">
          <cell r="H161">
            <v>39784</v>
          </cell>
          <cell r="I161" t="str">
            <v>#153</v>
          </cell>
        </row>
        <row r="162">
          <cell r="H162">
            <v>39785</v>
          </cell>
          <cell r="I162" t="str">
            <v>#154</v>
          </cell>
        </row>
        <row r="163">
          <cell r="H163">
            <v>39786</v>
          </cell>
          <cell r="I163" t="str">
            <v>#156</v>
          </cell>
        </row>
        <row r="164">
          <cell r="H164">
            <v>39787</v>
          </cell>
          <cell r="I164" t="str">
            <v>#157</v>
          </cell>
        </row>
        <row r="165">
          <cell r="H165">
            <v>39788</v>
          </cell>
          <cell r="I165" t="str">
            <v>#158</v>
          </cell>
        </row>
        <row r="166">
          <cell r="H166">
            <v>39789</v>
          </cell>
          <cell r="I166" t="str">
            <v>#159</v>
          </cell>
        </row>
        <row r="167">
          <cell r="H167">
            <v>39790</v>
          </cell>
          <cell r="I167" t="str">
            <v>#160</v>
          </cell>
        </row>
        <row r="168">
          <cell r="H168">
            <v>39791</v>
          </cell>
          <cell r="I168" t="str">
            <v>#161</v>
          </cell>
        </row>
        <row r="169">
          <cell r="H169">
            <v>39792</v>
          </cell>
          <cell r="I169" t="str">
            <v>#162</v>
          </cell>
        </row>
        <row r="170">
          <cell r="H170">
            <v>39793</v>
          </cell>
          <cell r="I170" t="str">
            <v>#163</v>
          </cell>
        </row>
        <row r="171">
          <cell r="H171">
            <v>39794</v>
          </cell>
          <cell r="I171" t="str">
            <v>#164</v>
          </cell>
        </row>
        <row r="172">
          <cell r="H172">
            <v>39795</v>
          </cell>
          <cell r="I172" t="str">
            <v>#165</v>
          </cell>
        </row>
        <row r="173">
          <cell r="H173">
            <v>39796</v>
          </cell>
          <cell r="I173" t="str">
            <v>#166</v>
          </cell>
        </row>
        <row r="174">
          <cell r="H174">
            <v>39797</v>
          </cell>
          <cell r="I174" t="str">
            <v>#167</v>
          </cell>
        </row>
        <row r="175">
          <cell r="H175">
            <v>39798</v>
          </cell>
          <cell r="I175" t="str">
            <v>#168</v>
          </cell>
        </row>
        <row r="176">
          <cell r="H176">
            <v>39799</v>
          </cell>
          <cell r="I176" t="str">
            <v>#169</v>
          </cell>
        </row>
        <row r="177">
          <cell r="H177">
            <v>39800</v>
          </cell>
          <cell r="I177" t="str">
            <v>#170</v>
          </cell>
        </row>
        <row r="178">
          <cell r="H178">
            <v>39801</v>
          </cell>
          <cell r="I178" t="str">
            <v>#171</v>
          </cell>
        </row>
        <row r="179">
          <cell r="H179">
            <v>39802</v>
          </cell>
          <cell r="I179" t="str">
            <v>#172</v>
          </cell>
        </row>
        <row r="180">
          <cell r="H180">
            <v>39803</v>
          </cell>
          <cell r="I180" t="str">
            <v>#173</v>
          </cell>
        </row>
        <row r="181">
          <cell r="H181">
            <v>39804</v>
          </cell>
          <cell r="I181" t="str">
            <v>#174</v>
          </cell>
        </row>
        <row r="182">
          <cell r="H182">
            <v>39805</v>
          </cell>
          <cell r="I182" t="str">
            <v>#175</v>
          </cell>
        </row>
        <row r="183">
          <cell r="H183">
            <v>39806</v>
          </cell>
          <cell r="I183" t="str">
            <v>#176</v>
          </cell>
        </row>
        <row r="184">
          <cell r="H184">
            <v>39807</v>
          </cell>
          <cell r="I184" t="str">
            <v>#177</v>
          </cell>
        </row>
        <row r="185">
          <cell r="H185">
            <v>39808</v>
          </cell>
          <cell r="I185" t="str">
            <v>#178</v>
          </cell>
        </row>
        <row r="186">
          <cell r="H186">
            <v>39809</v>
          </cell>
          <cell r="I186" t="str">
            <v>#179</v>
          </cell>
        </row>
        <row r="187">
          <cell r="H187">
            <v>39810</v>
          </cell>
          <cell r="I187" t="str">
            <v>#180</v>
          </cell>
        </row>
        <row r="188">
          <cell r="H188">
            <v>39811</v>
          </cell>
          <cell r="I188" t="str">
            <v>#181</v>
          </cell>
        </row>
        <row r="189">
          <cell r="H189">
            <v>39812</v>
          </cell>
          <cell r="I189" t="str">
            <v>#182</v>
          </cell>
        </row>
        <row r="190">
          <cell r="H190">
            <v>39813</v>
          </cell>
          <cell r="I190" t="str">
            <v>#183</v>
          </cell>
        </row>
        <row r="191">
          <cell r="H191">
            <v>39814</v>
          </cell>
          <cell r="I191" t="str">
            <v>#184</v>
          </cell>
        </row>
        <row r="192">
          <cell r="H192">
            <v>39815</v>
          </cell>
          <cell r="I192" t="str">
            <v>#185</v>
          </cell>
        </row>
        <row r="193">
          <cell r="H193">
            <v>39816</v>
          </cell>
          <cell r="I193" t="str">
            <v>#186</v>
          </cell>
        </row>
        <row r="194">
          <cell r="H194">
            <v>39817</v>
          </cell>
          <cell r="I194" t="str">
            <v>#187</v>
          </cell>
        </row>
        <row r="195">
          <cell r="H195">
            <v>39818</v>
          </cell>
          <cell r="I195" t="str">
            <v>#188</v>
          </cell>
        </row>
        <row r="196">
          <cell r="H196">
            <v>39819</v>
          </cell>
          <cell r="I196" t="str">
            <v>#189</v>
          </cell>
        </row>
        <row r="197">
          <cell r="H197">
            <v>39820</v>
          </cell>
          <cell r="I197" t="str">
            <v>#190</v>
          </cell>
        </row>
        <row r="198">
          <cell r="H198">
            <v>39821</v>
          </cell>
          <cell r="I198" t="str">
            <v>#191</v>
          </cell>
        </row>
        <row r="199">
          <cell r="H199">
            <v>39822</v>
          </cell>
          <cell r="I199" t="str">
            <v>#192</v>
          </cell>
        </row>
        <row r="200">
          <cell r="H200">
            <v>39823</v>
          </cell>
          <cell r="I200" t="str">
            <v>#193</v>
          </cell>
        </row>
        <row r="201">
          <cell r="H201">
            <v>39824</v>
          </cell>
          <cell r="I201" t="str">
            <v>#194</v>
          </cell>
        </row>
        <row r="202">
          <cell r="H202">
            <v>39825</v>
          </cell>
          <cell r="I202" t="str">
            <v>#195</v>
          </cell>
        </row>
        <row r="203">
          <cell r="H203">
            <v>39826</v>
          </cell>
          <cell r="I203" t="str">
            <v>#196</v>
          </cell>
        </row>
        <row r="204">
          <cell r="H204">
            <v>39827</v>
          </cell>
          <cell r="I204" t="str">
            <v>#197</v>
          </cell>
        </row>
        <row r="205">
          <cell r="H205">
            <v>39828</v>
          </cell>
          <cell r="I205" t="str">
            <v>#198</v>
          </cell>
        </row>
        <row r="206">
          <cell r="H206">
            <v>39829</v>
          </cell>
          <cell r="I206" t="str">
            <v>#199</v>
          </cell>
        </row>
        <row r="207">
          <cell r="H207">
            <v>39830</v>
          </cell>
          <cell r="I207" t="str">
            <v>#200</v>
          </cell>
        </row>
        <row r="208">
          <cell r="H208">
            <v>39831</v>
          </cell>
          <cell r="I208" t="str">
            <v>#201</v>
          </cell>
        </row>
        <row r="209">
          <cell r="H209">
            <v>39832</v>
          </cell>
          <cell r="I209" t="str">
            <v>#202</v>
          </cell>
        </row>
        <row r="210">
          <cell r="H210">
            <v>39833</v>
          </cell>
          <cell r="I210" t="str">
            <v>#203</v>
          </cell>
        </row>
        <row r="211">
          <cell r="H211">
            <v>39834</v>
          </cell>
          <cell r="I211" t="str">
            <v>#204</v>
          </cell>
        </row>
        <row r="212">
          <cell r="H212">
            <v>39835</v>
          </cell>
          <cell r="I212" t="str">
            <v>#205</v>
          </cell>
        </row>
        <row r="213">
          <cell r="H213">
            <v>39836</v>
          </cell>
          <cell r="I213" t="str">
            <v>#206</v>
          </cell>
        </row>
        <row r="214">
          <cell r="H214">
            <v>39837</v>
          </cell>
          <cell r="I214" t="str">
            <v>#207</v>
          </cell>
        </row>
        <row r="215">
          <cell r="H215">
            <v>39838</v>
          </cell>
          <cell r="I215" t="str">
            <v>#208</v>
          </cell>
        </row>
        <row r="216">
          <cell r="H216">
            <v>39839</v>
          </cell>
          <cell r="I216" t="str">
            <v>#209</v>
          </cell>
        </row>
        <row r="217">
          <cell r="H217">
            <v>39840</v>
          </cell>
          <cell r="I217" t="str">
            <v>#210</v>
          </cell>
        </row>
        <row r="218">
          <cell r="H218">
            <v>39841</v>
          </cell>
          <cell r="I218" t="str">
            <v>#211</v>
          </cell>
        </row>
        <row r="219">
          <cell r="H219">
            <v>39842</v>
          </cell>
          <cell r="I219" t="str">
            <v>#212</v>
          </cell>
        </row>
        <row r="220">
          <cell r="H220">
            <v>39843</v>
          </cell>
          <cell r="I220" t="str">
            <v>#213</v>
          </cell>
        </row>
        <row r="221">
          <cell r="H221">
            <v>39844</v>
          </cell>
          <cell r="I221" t="str">
            <v>#214</v>
          </cell>
        </row>
        <row r="222">
          <cell r="H222">
            <v>39845</v>
          </cell>
          <cell r="I222" t="str">
            <v>#215</v>
          </cell>
        </row>
        <row r="223">
          <cell r="H223">
            <v>39846</v>
          </cell>
          <cell r="I223" t="str">
            <v>#216</v>
          </cell>
        </row>
        <row r="224">
          <cell r="H224">
            <v>39847</v>
          </cell>
          <cell r="I224" t="str">
            <v>#217</v>
          </cell>
        </row>
        <row r="225">
          <cell r="H225">
            <v>39848</v>
          </cell>
          <cell r="I225" t="str">
            <v>#218</v>
          </cell>
        </row>
        <row r="226">
          <cell r="H226">
            <v>39849</v>
          </cell>
          <cell r="I226" t="str">
            <v>#219</v>
          </cell>
        </row>
        <row r="227">
          <cell r="H227">
            <v>39850</v>
          </cell>
          <cell r="I227" t="str">
            <v>#220</v>
          </cell>
        </row>
        <row r="228">
          <cell r="H228">
            <v>39851</v>
          </cell>
          <cell r="I228" t="str">
            <v>#221</v>
          </cell>
        </row>
        <row r="229">
          <cell r="H229">
            <v>39852</v>
          </cell>
          <cell r="I229" t="str">
            <v>#222</v>
          </cell>
        </row>
        <row r="230">
          <cell r="H230">
            <v>39853</v>
          </cell>
          <cell r="I230" t="str">
            <v>#223</v>
          </cell>
        </row>
        <row r="231">
          <cell r="H231">
            <v>39854</v>
          </cell>
          <cell r="I231" t="str">
            <v>#224</v>
          </cell>
        </row>
        <row r="232">
          <cell r="H232">
            <v>39855</v>
          </cell>
          <cell r="I232" t="str">
            <v>#225</v>
          </cell>
        </row>
        <row r="233">
          <cell r="H233">
            <v>39856</v>
          </cell>
          <cell r="I233" t="str">
            <v>#226</v>
          </cell>
        </row>
        <row r="234">
          <cell r="H234">
            <v>39857</v>
          </cell>
          <cell r="I234" t="str">
            <v>#227</v>
          </cell>
        </row>
        <row r="235">
          <cell r="H235">
            <v>39858</v>
          </cell>
          <cell r="I235" t="str">
            <v>#228</v>
          </cell>
        </row>
        <row r="236">
          <cell r="H236">
            <v>39859</v>
          </cell>
          <cell r="I236" t="str">
            <v>#229</v>
          </cell>
        </row>
        <row r="237">
          <cell r="H237">
            <v>39860</v>
          </cell>
          <cell r="I237" t="str">
            <v>#230</v>
          </cell>
        </row>
        <row r="238">
          <cell r="H238">
            <v>39861</v>
          </cell>
          <cell r="I238" t="str">
            <v>#231</v>
          </cell>
        </row>
        <row r="239">
          <cell r="H239">
            <v>39862</v>
          </cell>
          <cell r="I239" t="str">
            <v>#232</v>
          </cell>
        </row>
        <row r="240">
          <cell r="H240">
            <v>39863</v>
          </cell>
          <cell r="I240" t="str">
            <v>#233</v>
          </cell>
        </row>
        <row r="241">
          <cell r="H241">
            <v>39864</v>
          </cell>
          <cell r="I241" t="str">
            <v>#234</v>
          </cell>
        </row>
        <row r="242">
          <cell r="H242">
            <v>39865</v>
          </cell>
          <cell r="I242" t="str">
            <v>#235</v>
          </cell>
        </row>
        <row r="243">
          <cell r="H243">
            <v>39866</v>
          </cell>
          <cell r="I243" t="str">
            <v>#236</v>
          </cell>
        </row>
        <row r="244">
          <cell r="H244">
            <v>39867</v>
          </cell>
          <cell r="I244" t="str">
            <v>#237</v>
          </cell>
        </row>
        <row r="245">
          <cell r="H245">
            <v>39868</v>
          </cell>
          <cell r="I245" t="str">
            <v>#238</v>
          </cell>
        </row>
        <row r="246">
          <cell r="H246">
            <v>39869</v>
          </cell>
          <cell r="I246" t="str">
            <v>#239</v>
          </cell>
        </row>
        <row r="247">
          <cell r="H247">
            <v>39870</v>
          </cell>
          <cell r="I247" t="str">
            <v>#240</v>
          </cell>
        </row>
        <row r="248">
          <cell r="H248">
            <v>39871</v>
          </cell>
          <cell r="I248" t="str">
            <v>#241</v>
          </cell>
        </row>
        <row r="249">
          <cell r="H249">
            <v>39872</v>
          </cell>
          <cell r="I249" t="str">
            <v>#242</v>
          </cell>
        </row>
        <row r="250">
          <cell r="H250">
            <v>39873</v>
          </cell>
          <cell r="I250" t="str">
            <v>#243</v>
          </cell>
        </row>
        <row r="251">
          <cell r="H251">
            <v>39874</v>
          </cell>
          <cell r="I251" t="str">
            <v>#244</v>
          </cell>
        </row>
        <row r="252">
          <cell r="H252">
            <v>39875</v>
          </cell>
          <cell r="I252" t="str">
            <v>#245</v>
          </cell>
        </row>
        <row r="253">
          <cell r="H253">
            <v>39876</v>
          </cell>
          <cell r="I253" t="str">
            <v>#246</v>
          </cell>
        </row>
        <row r="254">
          <cell r="H254">
            <v>39877</v>
          </cell>
          <cell r="I254" t="str">
            <v>#247</v>
          </cell>
        </row>
        <row r="255">
          <cell r="H255">
            <v>39878</v>
          </cell>
          <cell r="I255" t="str">
            <v>#248</v>
          </cell>
        </row>
        <row r="256">
          <cell r="H256">
            <v>39879</v>
          </cell>
          <cell r="I256" t="str">
            <v>#249</v>
          </cell>
        </row>
        <row r="257">
          <cell r="H257">
            <v>39880</v>
          </cell>
          <cell r="I257" t="str">
            <v>#250</v>
          </cell>
        </row>
        <row r="258">
          <cell r="H258">
            <v>39881</v>
          </cell>
          <cell r="I258" t="str">
            <v>#251</v>
          </cell>
        </row>
        <row r="259">
          <cell r="H259">
            <v>39882</v>
          </cell>
          <cell r="I259" t="str">
            <v>#252</v>
          </cell>
        </row>
        <row r="260">
          <cell r="H260">
            <v>39883</v>
          </cell>
          <cell r="I260" t="str">
            <v>#253</v>
          </cell>
        </row>
        <row r="261">
          <cell r="H261">
            <v>39884</v>
          </cell>
          <cell r="I261" t="str">
            <v>#254</v>
          </cell>
        </row>
        <row r="262">
          <cell r="H262">
            <v>39885</v>
          </cell>
          <cell r="I262" t="str">
            <v>#255</v>
          </cell>
        </row>
        <row r="263">
          <cell r="H263">
            <v>39886</v>
          </cell>
          <cell r="I263" t="str">
            <v>#256</v>
          </cell>
        </row>
        <row r="264">
          <cell r="H264">
            <v>39887</v>
          </cell>
          <cell r="I264" t="str">
            <v>#257</v>
          </cell>
        </row>
        <row r="265">
          <cell r="H265">
            <v>39888</v>
          </cell>
          <cell r="I265" t="str">
            <v>#258</v>
          </cell>
        </row>
        <row r="266">
          <cell r="H266">
            <v>39889</v>
          </cell>
          <cell r="I266" t="str">
            <v>#259</v>
          </cell>
        </row>
        <row r="267">
          <cell r="H267">
            <v>39890</v>
          </cell>
          <cell r="I267" t="str">
            <v>#260</v>
          </cell>
        </row>
        <row r="268">
          <cell r="H268">
            <v>39891</v>
          </cell>
          <cell r="I268" t="str">
            <v>#261</v>
          </cell>
        </row>
        <row r="269">
          <cell r="H269">
            <v>39892</v>
          </cell>
          <cell r="I269" t="str">
            <v>#262</v>
          </cell>
        </row>
        <row r="270">
          <cell r="H270">
            <v>39893</v>
          </cell>
          <cell r="I270" t="str">
            <v>#263</v>
          </cell>
        </row>
        <row r="271">
          <cell r="H271">
            <v>39894</v>
          </cell>
          <cell r="I271" t="str">
            <v>#264</v>
          </cell>
        </row>
        <row r="272">
          <cell r="H272">
            <v>39895</v>
          </cell>
          <cell r="I272" t="str">
            <v>#265</v>
          </cell>
        </row>
        <row r="273">
          <cell r="H273">
            <v>39896</v>
          </cell>
          <cell r="I273" t="str">
            <v>#266</v>
          </cell>
        </row>
        <row r="274">
          <cell r="H274">
            <v>39897</v>
          </cell>
          <cell r="I274" t="str">
            <v>#267</v>
          </cell>
        </row>
        <row r="275">
          <cell r="H275">
            <v>39898</v>
          </cell>
          <cell r="I275" t="str">
            <v>#268</v>
          </cell>
        </row>
        <row r="276">
          <cell r="H276">
            <v>39899</v>
          </cell>
          <cell r="I276" t="str">
            <v>#269</v>
          </cell>
        </row>
        <row r="277">
          <cell r="H277">
            <v>39900</v>
          </cell>
          <cell r="I277" t="str">
            <v>#270</v>
          </cell>
        </row>
        <row r="278">
          <cell r="H278">
            <v>39901</v>
          </cell>
          <cell r="I278" t="str">
            <v>#271</v>
          </cell>
        </row>
        <row r="279">
          <cell r="H279">
            <v>39902</v>
          </cell>
          <cell r="I279" t="str">
            <v>#272</v>
          </cell>
        </row>
        <row r="280">
          <cell r="H280">
            <v>39903</v>
          </cell>
          <cell r="I280" t="str">
            <v>#273</v>
          </cell>
        </row>
        <row r="281">
          <cell r="H281">
            <v>39904</v>
          </cell>
          <cell r="I281" t="str">
            <v>#274</v>
          </cell>
        </row>
        <row r="282">
          <cell r="H282">
            <v>39905</v>
          </cell>
          <cell r="I282" t="str">
            <v>#275</v>
          </cell>
        </row>
        <row r="283">
          <cell r="H283">
            <v>39906</v>
          </cell>
          <cell r="I283" t="str">
            <v>#276</v>
          </cell>
        </row>
        <row r="284">
          <cell r="H284">
            <v>39907</v>
          </cell>
          <cell r="I284" t="str">
            <v>#277</v>
          </cell>
        </row>
        <row r="285">
          <cell r="H285">
            <v>39908</v>
          </cell>
          <cell r="I285" t="str">
            <v>#278</v>
          </cell>
        </row>
        <row r="286">
          <cell r="H286">
            <v>39909</v>
          </cell>
          <cell r="I286" t="str">
            <v>#279</v>
          </cell>
        </row>
        <row r="287">
          <cell r="H287">
            <v>39910</v>
          </cell>
          <cell r="I287" t="str">
            <v>#280</v>
          </cell>
        </row>
        <row r="288">
          <cell r="H288">
            <v>39911</v>
          </cell>
          <cell r="I288" t="str">
            <v>#281</v>
          </cell>
        </row>
        <row r="289">
          <cell r="H289">
            <v>39912</v>
          </cell>
          <cell r="I289" t="str">
            <v>#282</v>
          </cell>
        </row>
        <row r="290">
          <cell r="H290">
            <v>39913</v>
          </cell>
          <cell r="I290" t="str">
            <v>#283</v>
          </cell>
        </row>
        <row r="291">
          <cell r="H291">
            <v>39914</v>
          </cell>
          <cell r="I291" t="str">
            <v>#284</v>
          </cell>
        </row>
        <row r="292">
          <cell r="H292">
            <v>39915</v>
          </cell>
          <cell r="I292" t="str">
            <v>#285</v>
          </cell>
        </row>
        <row r="293">
          <cell r="H293">
            <v>39916</v>
          </cell>
          <cell r="I293" t="str">
            <v>#286</v>
          </cell>
        </row>
        <row r="294">
          <cell r="H294">
            <v>39917</v>
          </cell>
          <cell r="I294" t="str">
            <v>#287</v>
          </cell>
        </row>
        <row r="295">
          <cell r="H295">
            <v>39918</v>
          </cell>
          <cell r="I295" t="str">
            <v>#288</v>
          </cell>
        </row>
        <row r="296">
          <cell r="H296">
            <v>39919</v>
          </cell>
          <cell r="I296" t="str">
            <v>#289</v>
          </cell>
        </row>
        <row r="297">
          <cell r="H297">
            <v>39920</v>
          </cell>
          <cell r="I297" t="str">
            <v>#290</v>
          </cell>
        </row>
        <row r="298">
          <cell r="H298">
            <v>39921</v>
          </cell>
          <cell r="I298" t="str">
            <v>#291</v>
          </cell>
        </row>
        <row r="299">
          <cell r="H299">
            <v>39922</v>
          </cell>
          <cell r="I299" t="str">
            <v>#292</v>
          </cell>
        </row>
        <row r="300">
          <cell r="H300">
            <v>39923</v>
          </cell>
          <cell r="I300" t="str">
            <v>#293</v>
          </cell>
        </row>
        <row r="301">
          <cell r="H301">
            <v>39924</v>
          </cell>
          <cell r="I301" t="str">
            <v>#294</v>
          </cell>
        </row>
        <row r="302">
          <cell r="H302">
            <v>39925</v>
          </cell>
          <cell r="I302" t="str">
            <v>#295</v>
          </cell>
        </row>
        <row r="303">
          <cell r="H303">
            <v>39926</v>
          </cell>
          <cell r="I303" t="str">
            <v>#296</v>
          </cell>
        </row>
        <row r="304">
          <cell r="H304">
            <v>39927</v>
          </cell>
          <cell r="I304" t="str">
            <v>#297</v>
          </cell>
        </row>
        <row r="305">
          <cell r="H305">
            <v>39928</v>
          </cell>
          <cell r="I305" t="str">
            <v>#298</v>
          </cell>
        </row>
        <row r="306">
          <cell r="H306">
            <v>39929</v>
          </cell>
          <cell r="I306" t="str">
            <v>#299</v>
          </cell>
        </row>
        <row r="307">
          <cell r="H307">
            <v>39930</v>
          </cell>
          <cell r="I307" t="str">
            <v>#300</v>
          </cell>
        </row>
        <row r="308">
          <cell r="H308">
            <v>39931</v>
          </cell>
          <cell r="I308" t="str">
            <v>#301</v>
          </cell>
        </row>
        <row r="309">
          <cell r="H309">
            <v>39932</v>
          </cell>
          <cell r="I309" t="str">
            <v>#302</v>
          </cell>
        </row>
        <row r="310">
          <cell r="H310">
            <v>39933</v>
          </cell>
          <cell r="I310" t="str">
            <v>#303</v>
          </cell>
        </row>
        <row r="311">
          <cell r="H311">
            <v>39934</v>
          </cell>
          <cell r="I311" t="str">
            <v>#304</v>
          </cell>
        </row>
        <row r="312">
          <cell r="H312">
            <v>39935</v>
          </cell>
          <cell r="I312" t="str">
            <v>#305</v>
          </cell>
        </row>
        <row r="313">
          <cell r="H313">
            <v>39936</v>
          </cell>
          <cell r="I313" t="str">
            <v>#306</v>
          </cell>
        </row>
        <row r="314">
          <cell r="H314">
            <v>39937</v>
          </cell>
          <cell r="I314" t="str">
            <v>#307</v>
          </cell>
        </row>
        <row r="315">
          <cell r="H315">
            <v>39938</v>
          </cell>
          <cell r="I315" t="str">
            <v>#308</v>
          </cell>
        </row>
        <row r="316">
          <cell r="H316">
            <v>39939</v>
          </cell>
          <cell r="I316" t="str">
            <v>#309</v>
          </cell>
        </row>
        <row r="317">
          <cell r="H317">
            <v>39940</v>
          </cell>
          <cell r="I317" t="str">
            <v>#310</v>
          </cell>
        </row>
        <row r="318">
          <cell r="H318">
            <v>39941</v>
          </cell>
          <cell r="I318" t="str">
            <v>#311</v>
          </cell>
        </row>
        <row r="319">
          <cell r="H319">
            <v>39942</v>
          </cell>
          <cell r="I319" t="str">
            <v>#312</v>
          </cell>
        </row>
        <row r="320">
          <cell r="H320">
            <v>39943</v>
          </cell>
          <cell r="I320" t="str">
            <v>#313</v>
          </cell>
        </row>
        <row r="321">
          <cell r="H321">
            <v>39944</v>
          </cell>
          <cell r="I321" t="str">
            <v>#314</v>
          </cell>
        </row>
        <row r="322">
          <cell r="H322">
            <v>39945</v>
          </cell>
          <cell r="I322" t="str">
            <v>#315</v>
          </cell>
        </row>
        <row r="323">
          <cell r="H323">
            <v>39946</v>
          </cell>
          <cell r="I323" t="str">
            <v>#316</v>
          </cell>
        </row>
        <row r="324">
          <cell r="H324">
            <v>39947</v>
          </cell>
          <cell r="I324" t="str">
            <v>#317</v>
          </cell>
        </row>
        <row r="325">
          <cell r="H325">
            <v>39948</v>
          </cell>
          <cell r="I325" t="str">
            <v>#318</v>
          </cell>
        </row>
        <row r="326">
          <cell r="H326">
            <v>39949</v>
          </cell>
          <cell r="I326" t="str">
            <v>#319</v>
          </cell>
        </row>
        <row r="327">
          <cell r="H327">
            <v>39950</v>
          </cell>
          <cell r="I327" t="str">
            <v>#320</v>
          </cell>
        </row>
        <row r="328">
          <cell r="H328">
            <v>39951</v>
          </cell>
          <cell r="I328" t="str">
            <v>#321</v>
          </cell>
        </row>
        <row r="329">
          <cell r="H329">
            <v>39952</v>
          </cell>
          <cell r="I329" t="str">
            <v>#322</v>
          </cell>
        </row>
        <row r="330">
          <cell r="H330">
            <v>39953</v>
          </cell>
          <cell r="I330" t="str">
            <v>#323</v>
          </cell>
        </row>
        <row r="331">
          <cell r="H331">
            <v>39954</v>
          </cell>
          <cell r="I331" t="str">
            <v>#324</v>
          </cell>
        </row>
        <row r="332">
          <cell r="H332">
            <v>39955</v>
          </cell>
          <cell r="I332" t="str">
            <v>#325</v>
          </cell>
        </row>
        <row r="333">
          <cell r="H333">
            <v>39956</v>
          </cell>
          <cell r="I333" t="str">
            <v>#326</v>
          </cell>
        </row>
        <row r="334">
          <cell r="H334">
            <v>39957</v>
          </cell>
          <cell r="I334" t="str">
            <v>#327</v>
          </cell>
        </row>
        <row r="335">
          <cell r="H335">
            <v>39958</v>
          </cell>
          <cell r="I335" t="str">
            <v>#328</v>
          </cell>
        </row>
        <row r="336">
          <cell r="H336">
            <v>39959</v>
          </cell>
          <cell r="I336" t="str">
            <v>#329</v>
          </cell>
        </row>
        <row r="337">
          <cell r="H337">
            <v>39960</v>
          </cell>
          <cell r="I337" t="str">
            <v>#330</v>
          </cell>
        </row>
        <row r="338">
          <cell r="H338">
            <v>39961</v>
          </cell>
          <cell r="I338" t="str">
            <v>#331</v>
          </cell>
        </row>
        <row r="339">
          <cell r="H339">
            <v>39962</v>
          </cell>
          <cell r="I339" t="str">
            <v>#332</v>
          </cell>
        </row>
        <row r="340">
          <cell r="H340">
            <v>39963</v>
          </cell>
          <cell r="I340" t="str">
            <v>#333</v>
          </cell>
        </row>
        <row r="341">
          <cell r="H341">
            <v>39964</v>
          </cell>
          <cell r="I341" t="str">
            <v>#334</v>
          </cell>
        </row>
        <row r="342">
          <cell r="H342">
            <v>39965</v>
          </cell>
          <cell r="I342" t="str">
            <v>#335</v>
          </cell>
        </row>
        <row r="343">
          <cell r="H343">
            <v>39966</v>
          </cell>
          <cell r="I343" t="str">
            <v>#336</v>
          </cell>
        </row>
        <row r="344">
          <cell r="H344">
            <v>39967</v>
          </cell>
          <cell r="I344" t="str">
            <v>#337</v>
          </cell>
        </row>
        <row r="345">
          <cell r="H345">
            <v>39968</v>
          </cell>
          <cell r="I345" t="str">
            <v>#338</v>
          </cell>
        </row>
        <row r="346">
          <cell r="H346">
            <v>39969</v>
          </cell>
          <cell r="I346" t="str">
            <v>#339</v>
          </cell>
        </row>
        <row r="347">
          <cell r="H347">
            <v>39970</v>
          </cell>
          <cell r="I347" t="str">
            <v>#340</v>
          </cell>
        </row>
        <row r="348">
          <cell r="H348">
            <v>39971</v>
          </cell>
          <cell r="I348" t="str">
            <v>#341</v>
          </cell>
        </row>
        <row r="349">
          <cell r="H349">
            <v>39972</v>
          </cell>
          <cell r="I349" t="str">
            <v>#342</v>
          </cell>
        </row>
        <row r="350">
          <cell r="H350">
            <v>39973</v>
          </cell>
          <cell r="I350" t="str">
            <v>#343</v>
          </cell>
        </row>
        <row r="351">
          <cell r="H351">
            <v>39974</v>
          </cell>
          <cell r="I351" t="str">
            <v>#344</v>
          </cell>
        </row>
        <row r="352">
          <cell r="H352">
            <v>39975</v>
          </cell>
          <cell r="I352" t="str">
            <v>#345</v>
          </cell>
        </row>
        <row r="353">
          <cell r="H353">
            <v>39976</v>
          </cell>
          <cell r="I353" t="str">
            <v>#346</v>
          </cell>
        </row>
        <row r="354">
          <cell r="H354">
            <v>39977</v>
          </cell>
          <cell r="I354" t="str">
            <v>#347</v>
          </cell>
        </row>
        <row r="355">
          <cell r="H355">
            <v>39978</v>
          </cell>
          <cell r="I355" t="str">
            <v>#348</v>
          </cell>
        </row>
        <row r="356">
          <cell r="H356">
            <v>39979</v>
          </cell>
          <cell r="I356" t="str">
            <v>#349</v>
          </cell>
        </row>
        <row r="357">
          <cell r="H357">
            <v>39980</v>
          </cell>
          <cell r="I357" t="str">
            <v>#350</v>
          </cell>
        </row>
        <row r="358">
          <cell r="H358">
            <v>39981</v>
          </cell>
          <cell r="I358" t="str">
            <v>#351</v>
          </cell>
        </row>
        <row r="359">
          <cell r="H359">
            <v>39982</v>
          </cell>
          <cell r="I359" t="str">
            <v>#352</v>
          </cell>
        </row>
        <row r="360">
          <cell r="H360">
            <v>39983</v>
          </cell>
          <cell r="I360" t="str">
            <v>#353</v>
          </cell>
        </row>
        <row r="361">
          <cell r="H361">
            <v>39984</v>
          </cell>
          <cell r="I361" t="str">
            <v>#354</v>
          </cell>
        </row>
        <row r="362">
          <cell r="H362">
            <v>39985</v>
          </cell>
          <cell r="I362" t="str">
            <v>#355</v>
          </cell>
        </row>
        <row r="363">
          <cell r="H363">
            <v>39986</v>
          </cell>
          <cell r="I363" t="str">
            <v>#356</v>
          </cell>
        </row>
        <row r="364">
          <cell r="H364">
            <v>39987</v>
          </cell>
          <cell r="I364" t="str">
            <v>#357</v>
          </cell>
        </row>
        <row r="365">
          <cell r="H365">
            <v>39988</v>
          </cell>
          <cell r="I365" t="str">
            <v>#358</v>
          </cell>
        </row>
        <row r="366">
          <cell r="H366">
            <v>39989</v>
          </cell>
          <cell r="I366" t="str">
            <v>#359</v>
          </cell>
        </row>
        <row r="367">
          <cell r="H367">
            <v>39990</v>
          </cell>
          <cell r="I367" t="str">
            <v>#360</v>
          </cell>
        </row>
        <row r="368">
          <cell r="H368">
            <v>39991</v>
          </cell>
          <cell r="I368" t="str">
            <v>#361</v>
          </cell>
        </row>
        <row r="369">
          <cell r="H369">
            <v>39992</v>
          </cell>
          <cell r="I369" t="str">
            <v>#362</v>
          </cell>
        </row>
        <row r="370">
          <cell r="H370">
            <v>39993</v>
          </cell>
          <cell r="I370" t="str">
            <v>#363</v>
          </cell>
        </row>
        <row r="371">
          <cell r="H371">
            <v>39994</v>
          </cell>
          <cell r="I371" t="str">
            <v>#364</v>
          </cell>
        </row>
        <row r="372">
          <cell r="H372">
            <v>39995</v>
          </cell>
          <cell r="I372" t="str">
            <v>#365</v>
          </cell>
        </row>
        <row r="373">
          <cell r="H373">
            <v>39996</v>
          </cell>
          <cell r="I373" t="str">
            <v>#366</v>
          </cell>
        </row>
        <row r="374">
          <cell r="H374">
            <v>39997</v>
          </cell>
          <cell r="I374" t="str">
            <v>#367</v>
          </cell>
        </row>
        <row r="375">
          <cell r="H375">
            <v>39998</v>
          </cell>
          <cell r="I375" t="str">
            <v>#368</v>
          </cell>
        </row>
        <row r="376">
          <cell r="H376">
            <v>39999</v>
          </cell>
          <cell r="I376" t="str">
            <v>#369</v>
          </cell>
        </row>
        <row r="377">
          <cell r="H377">
            <v>40000</v>
          </cell>
          <cell r="I377" t="str">
            <v>#370</v>
          </cell>
        </row>
        <row r="378">
          <cell r="H378">
            <v>40001</v>
          </cell>
          <cell r="I378" t="str">
            <v>#371</v>
          </cell>
        </row>
        <row r="379">
          <cell r="H379">
            <v>40002</v>
          </cell>
          <cell r="I379" t="str">
            <v>#372</v>
          </cell>
        </row>
        <row r="380">
          <cell r="H380">
            <v>40003</v>
          </cell>
          <cell r="I380" t="str">
            <v>#373</v>
          </cell>
        </row>
        <row r="381">
          <cell r="H381">
            <v>40004</v>
          </cell>
          <cell r="I381" t="str">
            <v>#374</v>
          </cell>
        </row>
        <row r="382">
          <cell r="H382">
            <v>40005</v>
          </cell>
          <cell r="I382" t="str">
            <v>#375</v>
          </cell>
        </row>
        <row r="383">
          <cell r="H383">
            <v>40006</v>
          </cell>
          <cell r="I383" t="str">
            <v>#376</v>
          </cell>
        </row>
        <row r="384">
          <cell r="H384">
            <v>40007</v>
          </cell>
          <cell r="I384" t="str">
            <v>#377</v>
          </cell>
        </row>
        <row r="385">
          <cell r="H385">
            <v>40008</v>
          </cell>
          <cell r="I385" t="str">
            <v>#378</v>
          </cell>
        </row>
        <row r="386">
          <cell r="H386">
            <v>40009</v>
          </cell>
          <cell r="I386" t="str">
            <v>#379</v>
          </cell>
        </row>
        <row r="387">
          <cell r="H387">
            <v>40010</v>
          </cell>
          <cell r="I387" t="str">
            <v>#380</v>
          </cell>
        </row>
        <row r="388">
          <cell r="H388">
            <v>40011</v>
          </cell>
          <cell r="I388" t="str">
            <v>#381</v>
          </cell>
        </row>
        <row r="389">
          <cell r="H389">
            <v>40012</v>
          </cell>
          <cell r="I389" t="str">
            <v>#382</v>
          </cell>
        </row>
        <row r="390">
          <cell r="H390">
            <v>40013</v>
          </cell>
          <cell r="I390" t="str">
            <v>#383</v>
          </cell>
        </row>
        <row r="391">
          <cell r="H391">
            <v>40014</v>
          </cell>
          <cell r="I391" t="str">
            <v>#384</v>
          </cell>
        </row>
        <row r="392">
          <cell r="H392">
            <v>40015</v>
          </cell>
          <cell r="I392" t="str">
            <v>#385</v>
          </cell>
        </row>
        <row r="393">
          <cell r="H393">
            <v>40016</v>
          </cell>
          <cell r="I393" t="str">
            <v>#386</v>
          </cell>
        </row>
        <row r="394">
          <cell r="H394">
            <v>40017</v>
          </cell>
          <cell r="I394" t="str">
            <v>#387</v>
          </cell>
        </row>
        <row r="395">
          <cell r="H395">
            <v>40018</v>
          </cell>
          <cell r="I395" t="str">
            <v>#388</v>
          </cell>
        </row>
        <row r="396">
          <cell r="H396">
            <v>40019</v>
          </cell>
          <cell r="I396" t="str">
            <v>#389</v>
          </cell>
        </row>
        <row r="397">
          <cell r="H397">
            <v>40020</v>
          </cell>
          <cell r="I397" t="str">
            <v>#390</v>
          </cell>
        </row>
        <row r="398">
          <cell r="H398">
            <v>40021</v>
          </cell>
          <cell r="I398" t="str">
            <v>#391</v>
          </cell>
        </row>
        <row r="399">
          <cell r="H399">
            <v>40022</v>
          </cell>
          <cell r="I399" t="str">
            <v>#392</v>
          </cell>
        </row>
        <row r="400">
          <cell r="H400">
            <v>40023</v>
          </cell>
          <cell r="I400" t="str">
            <v>#393</v>
          </cell>
        </row>
        <row r="401">
          <cell r="H401">
            <v>40024</v>
          </cell>
          <cell r="I401" t="str">
            <v>#394</v>
          </cell>
        </row>
        <row r="402">
          <cell r="H402">
            <v>40025</v>
          </cell>
          <cell r="I402" t="str">
            <v>#395</v>
          </cell>
        </row>
        <row r="403">
          <cell r="H403">
            <v>40026</v>
          </cell>
          <cell r="I403" t="str">
            <v>#396</v>
          </cell>
        </row>
        <row r="404">
          <cell r="H404">
            <v>40027</v>
          </cell>
          <cell r="I404" t="str">
            <v>#397</v>
          </cell>
        </row>
        <row r="405">
          <cell r="H405">
            <v>40028</v>
          </cell>
          <cell r="I405" t="str">
            <v>#398</v>
          </cell>
        </row>
        <row r="406">
          <cell r="H406">
            <v>40029</v>
          </cell>
          <cell r="I406" t="str">
            <v>#399</v>
          </cell>
        </row>
        <row r="407">
          <cell r="H407">
            <v>40030</v>
          </cell>
          <cell r="I407" t="str">
            <v>#400</v>
          </cell>
        </row>
        <row r="408">
          <cell r="H408">
            <v>40031</v>
          </cell>
          <cell r="I408" t="str">
            <v>#401</v>
          </cell>
        </row>
        <row r="409">
          <cell r="H409">
            <v>40032</v>
          </cell>
          <cell r="I409" t="str">
            <v>#402</v>
          </cell>
        </row>
        <row r="410">
          <cell r="H410">
            <v>40033</v>
          </cell>
          <cell r="I410" t="str">
            <v>#403</v>
          </cell>
        </row>
        <row r="411">
          <cell r="H411">
            <v>40034</v>
          </cell>
          <cell r="I411" t="str">
            <v>#404</v>
          </cell>
        </row>
        <row r="412">
          <cell r="H412">
            <v>40035</v>
          </cell>
          <cell r="I412" t="str">
            <v>#405</v>
          </cell>
        </row>
        <row r="413">
          <cell r="H413">
            <v>40036</v>
          </cell>
          <cell r="I413" t="str">
            <v>#406</v>
          </cell>
        </row>
        <row r="414">
          <cell r="H414">
            <v>40037</v>
          </cell>
          <cell r="I414" t="str">
            <v>#407</v>
          </cell>
        </row>
        <row r="415">
          <cell r="H415">
            <v>40038</v>
          </cell>
          <cell r="I415" t="str">
            <v>#408</v>
          </cell>
        </row>
        <row r="416">
          <cell r="H416">
            <v>40039</v>
          </cell>
          <cell r="I416" t="str">
            <v>#409</v>
          </cell>
        </row>
        <row r="417">
          <cell r="H417">
            <v>40040</v>
          </cell>
          <cell r="I417" t="str">
            <v>#410</v>
          </cell>
        </row>
        <row r="418">
          <cell r="H418">
            <v>40041</v>
          </cell>
          <cell r="I418" t="str">
            <v>#411</v>
          </cell>
        </row>
        <row r="419">
          <cell r="H419">
            <v>40042</v>
          </cell>
          <cell r="I419" t="str">
            <v>#412</v>
          </cell>
        </row>
        <row r="420">
          <cell r="H420">
            <v>40043</v>
          </cell>
          <cell r="I420" t="str">
            <v>#413</v>
          </cell>
        </row>
        <row r="421">
          <cell r="H421">
            <v>40044</v>
          </cell>
          <cell r="I421" t="str">
            <v>#414</v>
          </cell>
        </row>
        <row r="422">
          <cell r="H422">
            <v>40045</v>
          </cell>
          <cell r="I422" t="str">
            <v>#415</v>
          </cell>
        </row>
        <row r="423">
          <cell r="H423">
            <v>40046</v>
          </cell>
          <cell r="I423" t="str">
            <v>#416</v>
          </cell>
        </row>
        <row r="424">
          <cell r="H424">
            <v>40047</v>
          </cell>
          <cell r="I424" t="str">
            <v>#417</v>
          </cell>
        </row>
        <row r="425">
          <cell r="H425">
            <v>40048</v>
          </cell>
          <cell r="I425" t="str">
            <v>#418</v>
          </cell>
        </row>
        <row r="426">
          <cell r="H426">
            <v>40049</v>
          </cell>
          <cell r="I426" t="str">
            <v>#419</v>
          </cell>
        </row>
        <row r="427">
          <cell r="H427">
            <v>40050</v>
          </cell>
          <cell r="I427" t="str">
            <v>#420</v>
          </cell>
        </row>
        <row r="428">
          <cell r="H428">
            <v>40051</v>
          </cell>
          <cell r="I428" t="str">
            <v>#421</v>
          </cell>
        </row>
        <row r="429">
          <cell r="H429">
            <v>40052</v>
          </cell>
          <cell r="I429" t="str">
            <v>#422</v>
          </cell>
        </row>
        <row r="430">
          <cell r="H430">
            <v>40053</v>
          </cell>
          <cell r="I430" t="str">
            <v>#423</v>
          </cell>
        </row>
        <row r="431">
          <cell r="H431">
            <v>40054</v>
          </cell>
          <cell r="I431" t="str">
            <v>#424</v>
          </cell>
        </row>
        <row r="432">
          <cell r="H432">
            <v>40055</v>
          </cell>
          <cell r="I432" t="str">
            <v>#425</v>
          </cell>
        </row>
        <row r="433">
          <cell r="H433">
            <v>40056</v>
          </cell>
          <cell r="I433" t="str">
            <v>#426</v>
          </cell>
        </row>
        <row r="434">
          <cell r="H434">
            <v>40057</v>
          </cell>
          <cell r="I434" t="str">
            <v>#427</v>
          </cell>
        </row>
        <row r="435">
          <cell r="H435">
            <v>40058</v>
          </cell>
          <cell r="I435" t="str">
            <v>#428</v>
          </cell>
        </row>
        <row r="436">
          <cell r="H436">
            <v>40059</v>
          </cell>
          <cell r="I436" t="str">
            <v>#429</v>
          </cell>
        </row>
        <row r="437">
          <cell r="H437">
            <v>40060</v>
          </cell>
          <cell r="I437" t="str">
            <v>#430</v>
          </cell>
        </row>
        <row r="438">
          <cell r="H438">
            <v>40061</v>
          </cell>
          <cell r="I438" t="str">
            <v>#431</v>
          </cell>
        </row>
        <row r="439">
          <cell r="H439">
            <v>40062</v>
          </cell>
          <cell r="I439" t="str">
            <v>#432</v>
          </cell>
        </row>
        <row r="440">
          <cell r="H440">
            <v>40063</v>
          </cell>
          <cell r="I440" t="str">
            <v>#433</v>
          </cell>
        </row>
        <row r="441">
          <cell r="H441">
            <v>40064</v>
          </cell>
          <cell r="I441" t="str">
            <v>#434</v>
          </cell>
        </row>
        <row r="442">
          <cell r="H442">
            <v>40065</v>
          </cell>
          <cell r="I442" t="str">
            <v>#435</v>
          </cell>
        </row>
        <row r="443">
          <cell r="H443">
            <v>40066</v>
          </cell>
          <cell r="I443" t="str">
            <v>#436</v>
          </cell>
        </row>
        <row r="444">
          <cell r="H444">
            <v>40067</v>
          </cell>
          <cell r="I444" t="str">
            <v>#437</v>
          </cell>
        </row>
        <row r="445">
          <cell r="H445">
            <v>40068</v>
          </cell>
          <cell r="I445" t="str">
            <v>#438</v>
          </cell>
        </row>
        <row r="446">
          <cell r="H446">
            <v>40069</v>
          </cell>
          <cell r="I446" t="str">
            <v>#439</v>
          </cell>
        </row>
        <row r="447">
          <cell r="H447">
            <v>40070</v>
          </cell>
          <cell r="I447" t="str">
            <v>#440</v>
          </cell>
        </row>
        <row r="448">
          <cell r="H448">
            <v>40071</v>
          </cell>
          <cell r="I448" t="str">
            <v>#441</v>
          </cell>
        </row>
        <row r="449">
          <cell r="H449">
            <v>40072</v>
          </cell>
          <cell r="I449" t="str">
            <v>#442</v>
          </cell>
        </row>
        <row r="450">
          <cell r="H450">
            <v>40073</v>
          </cell>
          <cell r="I450" t="str">
            <v>#443</v>
          </cell>
        </row>
        <row r="451">
          <cell r="H451">
            <v>40074</v>
          </cell>
          <cell r="I451" t="str">
            <v>#444</v>
          </cell>
        </row>
        <row r="452">
          <cell r="H452">
            <v>40075</v>
          </cell>
          <cell r="I452" t="str">
            <v>#445</v>
          </cell>
        </row>
        <row r="453">
          <cell r="H453">
            <v>40076</v>
          </cell>
          <cell r="I453" t="str">
            <v>#446</v>
          </cell>
        </row>
        <row r="454">
          <cell r="H454">
            <v>40077</v>
          </cell>
          <cell r="I454" t="str">
            <v>#447</v>
          </cell>
        </row>
        <row r="455">
          <cell r="H455">
            <v>40078</v>
          </cell>
          <cell r="I455" t="str">
            <v>#448</v>
          </cell>
        </row>
        <row r="456">
          <cell r="H456">
            <v>40079</v>
          </cell>
          <cell r="I456" t="str">
            <v>#449</v>
          </cell>
        </row>
        <row r="457">
          <cell r="H457">
            <v>40080</v>
          </cell>
          <cell r="I457" t="str">
            <v>#450</v>
          </cell>
        </row>
        <row r="458">
          <cell r="H458">
            <v>40081</v>
          </cell>
          <cell r="I458" t="str">
            <v>#451</v>
          </cell>
        </row>
        <row r="459">
          <cell r="H459">
            <v>40082</v>
          </cell>
          <cell r="I459" t="str">
            <v>#452</v>
          </cell>
        </row>
        <row r="460">
          <cell r="H460">
            <v>40083</v>
          </cell>
          <cell r="I460" t="str">
            <v>#453</v>
          </cell>
        </row>
        <row r="461">
          <cell r="H461">
            <v>40084</v>
          </cell>
          <cell r="I461" t="str">
            <v>#454</v>
          </cell>
        </row>
        <row r="462">
          <cell r="H462">
            <v>40085</v>
          </cell>
          <cell r="I462" t="str">
            <v>#455</v>
          </cell>
        </row>
        <row r="463">
          <cell r="H463">
            <v>40086</v>
          </cell>
          <cell r="I463" t="str">
            <v>#456</v>
          </cell>
        </row>
        <row r="464">
          <cell r="H464">
            <v>40087</v>
          </cell>
          <cell r="I464" t="str">
            <v>#457</v>
          </cell>
        </row>
        <row r="465">
          <cell r="H465">
            <v>40088</v>
          </cell>
          <cell r="I465" t="str">
            <v>#458</v>
          </cell>
        </row>
        <row r="466">
          <cell r="H466">
            <v>40089</v>
          </cell>
          <cell r="I466" t="str">
            <v>#459</v>
          </cell>
        </row>
        <row r="467">
          <cell r="H467">
            <v>40090</v>
          </cell>
          <cell r="I467" t="str">
            <v>#460</v>
          </cell>
        </row>
        <row r="468">
          <cell r="H468">
            <v>40091</v>
          </cell>
          <cell r="I468" t="str">
            <v>#461</v>
          </cell>
        </row>
        <row r="469">
          <cell r="H469">
            <v>40092</v>
          </cell>
          <cell r="I469" t="str">
            <v>#462</v>
          </cell>
        </row>
        <row r="470">
          <cell r="H470">
            <v>40093</v>
          </cell>
          <cell r="I470" t="str">
            <v>#463</v>
          </cell>
        </row>
        <row r="471">
          <cell r="H471">
            <v>40094</v>
          </cell>
          <cell r="I471" t="str">
            <v>#464</v>
          </cell>
        </row>
        <row r="472">
          <cell r="H472">
            <v>40095</v>
          </cell>
          <cell r="I472" t="str">
            <v>#465</v>
          </cell>
        </row>
        <row r="473">
          <cell r="H473">
            <v>40096</v>
          </cell>
          <cell r="I473" t="str">
            <v>#466</v>
          </cell>
        </row>
        <row r="474">
          <cell r="H474">
            <v>40097</v>
          </cell>
          <cell r="I474" t="str">
            <v>#467</v>
          </cell>
        </row>
        <row r="475">
          <cell r="H475">
            <v>40098</v>
          </cell>
          <cell r="I475" t="str">
            <v>#468</v>
          </cell>
        </row>
        <row r="476">
          <cell r="H476">
            <v>40099</v>
          </cell>
          <cell r="I476" t="str">
            <v>#469</v>
          </cell>
        </row>
        <row r="477">
          <cell r="H477">
            <v>40100</v>
          </cell>
          <cell r="I477" t="str">
            <v>#470</v>
          </cell>
        </row>
        <row r="478">
          <cell r="H478">
            <v>40101</v>
          </cell>
          <cell r="I478" t="str">
            <v>#471</v>
          </cell>
        </row>
        <row r="479">
          <cell r="H479">
            <v>40102</v>
          </cell>
          <cell r="I479" t="str">
            <v>#472</v>
          </cell>
        </row>
        <row r="480">
          <cell r="H480">
            <v>40103</v>
          </cell>
          <cell r="I480" t="str">
            <v>#473</v>
          </cell>
        </row>
        <row r="481">
          <cell r="H481">
            <v>40104</v>
          </cell>
          <cell r="I481" t="str">
            <v>#474</v>
          </cell>
        </row>
        <row r="482">
          <cell r="H482">
            <v>40105</v>
          </cell>
          <cell r="I482" t="str">
            <v>#475</v>
          </cell>
        </row>
        <row r="483">
          <cell r="H483">
            <v>40106</v>
          </cell>
          <cell r="I483" t="str">
            <v>#476</v>
          </cell>
        </row>
        <row r="484">
          <cell r="H484">
            <v>40107</v>
          </cell>
          <cell r="I484" t="str">
            <v>#477</v>
          </cell>
        </row>
        <row r="485">
          <cell r="H485">
            <v>40108</v>
          </cell>
          <cell r="I485" t="str">
            <v>#478</v>
          </cell>
        </row>
        <row r="486">
          <cell r="H486">
            <v>40109</v>
          </cell>
          <cell r="I486" t="str">
            <v>#479</v>
          </cell>
        </row>
        <row r="487">
          <cell r="H487">
            <v>40110</v>
          </cell>
          <cell r="I487" t="str">
            <v>#480</v>
          </cell>
        </row>
        <row r="488">
          <cell r="H488">
            <v>40111</v>
          </cell>
          <cell r="I488" t="str">
            <v>#481</v>
          </cell>
        </row>
        <row r="489">
          <cell r="H489">
            <v>40112</v>
          </cell>
          <cell r="I489" t="str">
            <v>#482</v>
          </cell>
        </row>
        <row r="490">
          <cell r="H490">
            <v>40113</v>
          </cell>
          <cell r="I490" t="str">
            <v>#483</v>
          </cell>
        </row>
        <row r="491">
          <cell r="H491">
            <v>40114</v>
          </cell>
          <cell r="I491" t="str">
            <v>#484</v>
          </cell>
        </row>
        <row r="492">
          <cell r="H492">
            <v>40115</v>
          </cell>
          <cell r="I492" t="str">
            <v>#485</v>
          </cell>
        </row>
        <row r="493">
          <cell r="H493">
            <v>40116</v>
          </cell>
          <cell r="I493" t="str">
            <v>#486</v>
          </cell>
        </row>
        <row r="494">
          <cell r="H494">
            <v>40117</v>
          </cell>
          <cell r="I494" t="str">
            <v>#487</v>
          </cell>
        </row>
        <row r="495">
          <cell r="H495">
            <v>40118</v>
          </cell>
          <cell r="I495" t="str">
            <v>#488</v>
          </cell>
        </row>
        <row r="496">
          <cell r="H496">
            <v>40119</v>
          </cell>
          <cell r="I496" t="str">
            <v>#489</v>
          </cell>
        </row>
        <row r="497">
          <cell r="H497">
            <v>40120</v>
          </cell>
          <cell r="I497" t="str">
            <v>#490</v>
          </cell>
        </row>
        <row r="498">
          <cell r="H498">
            <v>40121</v>
          </cell>
          <cell r="I498" t="str">
            <v>#491</v>
          </cell>
        </row>
        <row r="499">
          <cell r="H499">
            <v>40122</v>
          </cell>
          <cell r="I499" t="str">
            <v>#492</v>
          </cell>
        </row>
        <row r="500">
          <cell r="H500">
            <v>40123</v>
          </cell>
          <cell r="I500" t="str">
            <v>#493</v>
          </cell>
        </row>
        <row r="501">
          <cell r="H501">
            <v>40124</v>
          </cell>
          <cell r="I501" t="str">
            <v>#494</v>
          </cell>
        </row>
        <row r="502">
          <cell r="H502">
            <v>40125</v>
          </cell>
          <cell r="I502" t="str">
            <v>#495</v>
          </cell>
        </row>
        <row r="503">
          <cell r="H503">
            <v>40126</v>
          </cell>
          <cell r="I503" t="str">
            <v>#496</v>
          </cell>
        </row>
        <row r="504">
          <cell r="H504">
            <v>40127</v>
          </cell>
          <cell r="I504" t="str">
            <v>#497</v>
          </cell>
        </row>
        <row r="505">
          <cell r="H505">
            <v>40128</v>
          </cell>
          <cell r="I505" t="str">
            <v>#498</v>
          </cell>
        </row>
        <row r="506">
          <cell r="H506">
            <v>40129</v>
          </cell>
          <cell r="I506" t="str">
            <v>#499</v>
          </cell>
        </row>
        <row r="507">
          <cell r="H507">
            <v>40130</v>
          </cell>
          <cell r="I507" t="str">
            <v>#500</v>
          </cell>
        </row>
        <row r="508">
          <cell r="H508">
            <v>40131</v>
          </cell>
        </row>
        <row r="509">
          <cell r="H509">
            <v>40132</v>
          </cell>
        </row>
        <row r="510">
          <cell r="H510">
            <v>40133</v>
          </cell>
        </row>
        <row r="511">
          <cell r="H511">
            <v>40134</v>
          </cell>
        </row>
        <row r="512">
          <cell r="H512">
            <v>40135</v>
          </cell>
        </row>
        <row r="513">
          <cell r="H513">
            <v>40136</v>
          </cell>
        </row>
        <row r="514">
          <cell r="H514">
            <v>40137</v>
          </cell>
        </row>
        <row r="515">
          <cell r="H515">
            <v>40138</v>
          </cell>
        </row>
        <row r="516">
          <cell r="H516">
            <v>40139</v>
          </cell>
        </row>
        <row r="517">
          <cell r="H517">
            <v>40140</v>
          </cell>
        </row>
        <row r="518">
          <cell r="H518">
            <v>40141</v>
          </cell>
        </row>
        <row r="519">
          <cell r="H519">
            <v>40142</v>
          </cell>
        </row>
        <row r="520">
          <cell r="H520">
            <v>40143</v>
          </cell>
        </row>
        <row r="521">
          <cell r="H521">
            <v>40144</v>
          </cell>
        </row>
        <row r="522">
          <cell r="H522">
            <v>40145</v>
          </cell>
        </row>
        <row r="523">
          <cell r="H523">
            <v>40146</v>
          </cell>
        </row>
        <row r="524">
          <cell r="H524">
            <v>40147</v>
          </cell>
        </row>
        <row r="525">
          <cell r="H525">
            <v>40148</v>
          </cell>
        </row>
        <row r="526">
          <cell r="H526">
            <v>40149</v>
          </cell>
        </row>
        <row r="527">
          <cell r="H527">
            <v>40150</v>
          </cell>
        </row>
        <row r="528">
          <cell r="H528">
            <v>40151</v>
          </cell>
        </row>
        <row r="529">
          <cell r="H529">
            <v>40152</v>
          </cell>
        </row>
        <row r="530">
          <cell r="H530">
            <v>40153</v>
          </cell>
        </row>
        <row r="531">
          <cell r="H531">
            <v>40154</v>
          </cell>
        </row>
        <row r="532">
          <cell r="H532">
            <v>40155</v>
          </cell>
        </row>
        <row r="533">
          <cell r="H533">
            <v>40156</v>
          </cell>
        </row>
        <row r="534">
          <cell r="H534">
            <v>40157</v>
          </cell>
        </row>
        <row r="535">
          <cell r="H535">
            <v>40158</v>
          </cell>
        </row>
        <row r="536">
          <cell r="H536">
            <v>40159</v>
          </cell>
        </row>
        <row r="537">
          <cell r="H537">
            <v>40160</v>
          </cell>
        </row>
        <row r="538">
          <cell r="H538">
            <v>40161</v>
          </cell>
        </row>
        <row r="539">
          <cell r="H539">
            <v>40162</v>
          </cell>
        </row>
        <row r="540">
          <cell r="H540">
            <v>40163</v>
          </cell>
        </row>
        <row r="541">
          <cell r="H541">
            <v>40164</v>
          </cell>
        </row>
        <row r="542">
          <cell r="H542">
            <v>40165</v>
          </cell>
        </row>
        <row r="543">
          <cell r="H543">
            <v>40166</v>
          </cell>
        </row>
        <row r="544">
          <cell r="H544">
            <v>40167</v>
          </cell>
        </row>
        <row r="545">
          <cell r="H545">
            <v>40168</v>
          </cell>
        </row>
        <row r="546">
          <cell r="H546">
            <v>40169</v>
          </cell>
        </row>
        <row r="547">
          <cell r="H547">
            <v>40170</v>
          </cell>
        </row>
        <row r="548">
          <cell r="H548">
            <v>40171</v>
          </cell>
        </row>
        <row r="549">
          <cell r="H549">
            <v>40172</v>
          </cell>
        </row>
        <row r="550">
          <cell r="H550">
            <v>40173</v>
          </cell>
        </row>
        <row r="551">
          <cell r="H551">
            <v>40174</v>
          </cell>
        </row>
        <row r="552">
          <cell r="H552">
            <v>40175</v>
          </cell>
        </row>
        <row r="553">
          <cell r="H553">
            <v>40176</v>
          </cell>
        </row>
        <row r="554">
          <cell r="H554">
            <v>40177</v>
          </cell>
        </row>
        <row r="555">
          <cell r="H555">
            <v>40178</v>
          </cell>
        </row>
        <row r="556">
          <cell r="H556">
            <v>40179</v>
          </cell>
        </row>
        <row r="557">
          <cell r="H557">
            <v>40180</v>
          </cell>
        </row>
        <row r="558">
          <cell r="H558">
            <v>40181</v>
          </cell>
        </row>
        <row r="559">
          <cell r="H559">
            <v>40182</v>
          </cell>
        </row>
        <row r="560">
          <cell r="H560">
            <v>40183</v>
          </cell>
        </row>
        <row r="561">
          <cell r="H561">
            <v>40184</v>
          </cell>
        </row>
        <row r="562">
          <cell r="H562">
            <v>40185</v>
          </cell>
        </row>
        <row r="563">
          <cell r="H563">
            <v>40186</v>
          </cell>
        </row>
        <row r="564">
          <cell r="H564">
            <v>40187</v>
          </cell>
        </row>
        <row r="565">
          <cell r="H565">
            <v>40188</v>
          </cell>
        </row>
        <row r="566">
          <cell r="H566">
            <v>40189</v>
          </cell>
        </row>
        <row r="567">
          <cell r="H567">
            <v>40190</v>
          </cell>
        </row>
        <row r="568">
          <cell r="H568">
            <v>40191</v>
          </cell>
        </row>
        <row r="569">
          <cell r="H569">
            <v>40192</v>
          </cell>
        </row>
        <row r="570">
          <cell r="H570">
            <v>40193</v>
          </cell>
        </row>
        <row r="571">
          <cell r="H571">
            <v>40194</v>
          </cell>
        </row>
        <row r="572">
          <cell r="H572">
            <v>40195</v>
          </cell>
        </row>
        <row r="573">
          <cell r="H573">
            <v>40196</v>
          </cell>
        </row>
        <row r="574">
          <cell r="H574">
            <v>40197</v>
          </cell>
        </row>
        <row r="575">
          <cell r="H575">
            <v>40198</v>
          </cell>
        </row>
        <row r="576">
          <cell r="H576">
            <v>40199</v>
          </cell>
        </row>
        <row r="577">
          <cell r="H577">
            <v>40200</v>
          </cell>
        </row>
        <row r="578">
          <cell r="H578">
            <v>40201</v>
          </cell>
        </row>
        <row r="579">
          <cell r="H579">
            <v>40202</v>
          </cell>
        </row>
        <row r="580">
          <cell r="H580">
            <v>40203</v>
          </cell>
        </row>
        <row r="581">
          <cell r="H581">
            <v>40204</v>
          </cell>
        </row>
        <row r="582">
          <cell r="H582">
            <v>40205</v>
          </cell>
        </row>
        <row r="583">
          <cell r="H583">
            <v>40206</v>
          </cell>
        </row>
        <row r="584">
          <cell r="H584">
            <v>40207</v>
          </cell>
        </row>
        <row r="585">
          <cell r="H585">
            <v>40208</v>
          </cell>
        </row>
        <row r="586">
          <cell r="H586">
            <v>40209</v>
          </cell>
        </row>
        <row r="587">
          <cell r="H587">
            <v>40210</v>
          </cell>
        </row>
        <row r="588">
          <cell r="H588">
            <v>40211</v>
          </cell>
        </row>
        <row r="589">
          <cell r="H589">
            <v>40212</v>
          </cell>
        </row>
        <row r="590">
          <cell r="H590">
            <v>40213</v>
          </cell>
        </row>
        <row r="591">
          <cell r="H591">
            <v>40214</v>
          </cell>
        </row>
        <row r="592">
          <cell r="H592">
            <v>40215</v>
          </cell>
        </row>
        <row r="593">
          <cell r="H593">
            <v>40216</v>
          </cell>
        </row>
        <row r="594">
          <cell r="H594">
            <v>40217</v>
          </cell>
        </row>
        <row r="595">
          <cell r="H595">
            <v>40218</v>
          </cell>
        </row>
        <row r="596">
          <cell r="H596">
            <v>40219</v>
          </cell>
        </row>
        <row r="597">
          <cell r="H597">
            <v>40220</v>
          </cell>
        </row>
        <row r="598">
          <cell r="H598">
            <v>40221</v>
          </cell>
        </row>
        <row r="599">
          <cell r="H599">
            <v>40222</v>
          </cell>
        </row>
        <row r="600">
          <cell r="H600">
            <v>40223</v>
          </cell>
        </row>
        <row r="601">
          <cell r="H601">
            <v>40224</v>
          </cell>
        </row>
        <row r="602">
          <cell r="H602">
            <v>40225</v>
          </cell>
        </row>
        <row r="603">
          <cell r="H603">
            <v>40226</v>
          </cell>
        </row>
        <row r="604">
          <cell r="H604">
            <v>40227</v>
          </cell>
        </row>
        <row r="605">
          <cell r="H605">
            <v>40228</v>
          </cell>
        </row>
        <row r="606">
          <cell r="H606">
            <v>40229</v>
          </cell>
        </row>
        <row r="607">
          <cell r="H607">
            <v>40230</v>
          </cell>
        </row>
        <row r="608">
          <cell r="H608">
            <v>40231</v>
          </cell>
        </row>
        <row r="609">
          <cell r="H609">
            <v>40232</v>
          </cell>
        </row>
        <row r="610">
          <cell r="H610">
            <v>40233</v>
          </cell>
        </row>
        <row r="611">
          <cell r="H611">
            <v>40234</v>
          </cell>
        </row>
        <row r="612">
          <cell r="H612">
            <v>40235</v>
          </cell>
        </row>
        <row r="613">
          <cell r="H613">
            <v>40236</v>
          </cell>
        </row>
        <row r="614">
          <cell r="H614">
            <v>40237</v>
          </cell>
        </row>
        <row r="615">
          <cell r="H615">
            <v>40238</v>
          </cell>
        </row>
        <row r="616">
          <cell r="H616">
            <v>40239</v>
          </cell>
        </row>
        <row r="617">
          <cell r="H617">
            <v>40240</v>
          </cell>
        </row>
        <row r="618">
          <cell r="H618">
            <v>40241</v>
          </cell>
        </row>
        <row r="619">
          <cell r="H619">
            <v>40242</v>
          </cell>
        </row>
        <row r="620">
          <cell r="H620">
            <v>40243</v>
          </cell>
        </row>
        <row r="621">
          <cell r="H621">
            <v>40244</v>
          </cell>
        </row>
        <row r="622">
          <cell r="H622">
            <v>40245</v>
          </cell>
        </row>
        <row r="623">
          <cell r="H623">
            <v>40246</v>
          </cell>
        </row>
        <row r="624">
          <cell r="H624">
            <v>40247</v>
          </cell>
        </row>
        <row r="625">
          <cell r="H625">
            <v>40248</v>
          </cell>
        </row>
        <row r="626">
          <cell r="H626">
            <v>40249</v>
          </cell>
        </row>
        <row r="627">
          <cell r="H627">
            <v>40250</v>
          </cell>
        </row>
        <row r="628">
          <cell r="H628">
            <v>40251</v>
          </cell>
        </row>
        <row r="629">
          <cell r="H629">
            <v>40252</v>
          </cell>
        </row>
        <row r="630">
          <cell r="H630">
            <v>40253</v>
          </cell>
        </row>
        <row r="631">
          <cell r="H631">
            <v>40254</v>
          </cell>
        </row>
        <row r="632">
          <cell r="H632">
            <v>40255</v>
          </cell>
        </row>
        <row r="633">
          <cell r="H633">
            <v>40256</v>
          </cell>
        </row>
        <row r="634">
          <cell r="H634">
            <v>40257</v>
          </cell>
        </row>
        <row r="635">
          <cell r="H635">
            <v>40258</v>
          </cell>
        </row>
        <row r="636">
          <cell r="H636">
            <v>40259</v>
          </cell>
        </row>
        <row r="637">
          <cell r="H637">
            <v>40260</v>
          </cell>
        </row>
        <row r="638">
          <cell r="H638">
            <v>40261</v>
          </cell>
        </row>
        <row r="639">
          <cell r="H639">
            <v>40262</v>
          </cell>
        </row>
        <row r="640">
          <cell r="H640">
            <v>40263</v>
          </cell>
        </row>
        <row r="641">
          <cell r="H641">
            <v>40264</v>
          </cell>
        </row>
        <row r="642">
          <cell r="H642">
            <v>40265</v>
          </cell>
        </row>
        <row r="643">
          <cell r="H643">
            <v>40266</v>
          </cell>
        </row>
        <row r="644">
          <cell r="H644">
            <v>40267</v>
          </cell>
        </row>
        <row r="645">
          <cell r="H645">
            <v>40268</v>
          </cell>
        </row>
        <row r="646">
          <cell r="H646">
            <v>40269</v>
          </cell>
        </row>
        <row r="647">
          <cell r="H647">
            <v>40270</v>
          </cell>
        </row>
        <row r="648">
          <cell r="H648">
            <v>40271</v>
          </cell>
        </row>
        <row r="649">
          <cell r="H649">
            <v>40272</v>
          </cell>
        </row>
        <row r="650">
          <cell r="H650">
            <v>40273</v>
          </cell>
        </row>
        <row r="651">
          <cell r="H651">
            <v>40274</v>
          </cell>
        </row>
        <row r="652">
          <cell r="H652">
            <v>40275</v>
          </cell>
        </row>
        <row r="653">
          <cell r="H653">
            <v>40276</v>
          </cell>
        </row>
        <row r="654">
          <cell r="H654">
            <v>40277</v>
          </cell>
        </row>
        <row r="655">
          <cell r="H655">
            <v>40278</v>
          </cell>
        </row>
        <row r="656">
          <cell r="H656">
            <v>40279</v>
          </cell>
        </row>
        <row r="657">
          <cell r="H657">
            <v>40280</v>
          </cell>
        </row>
        <row r="658">
          <cell r="H658">
            <v>40281</v>
          </cell>
        </row>
        <row r="659">
          <cell r="H659">
            <v>40282</v>
          </cell>
        </row>
        <row r="660">
          <cell r="H660">
            <v>40283</v>
          </cell>
        </row>
        <row r="661">
          <cell r="H661">
            <v>40284</v>
          </cell>
        </row>
        <row r="662">
          <cell r="H662">
            <v>40285</v>
          </cell>
        </row>
        <row r="663">
          <cell r="H663">
            <v>40286</v>
          </cell>
        </row>
        <row r="664">
          <cell r="H664">
            <v>40287</v>
          </cell>
        </row>
        <row r="665">
          <cell r="H665">
            <v>40288</v>
          </cell>
        </row>
        <row r="666">
          <cell r="H666">
            <v>40289</v>
          </cell>
        </row>
        <row r="667">
          <cell r="H667">
            <v>40290</v>
          </cell>
        </row>
        <row r="668">
          <cell r="H668">
            <v>40291</v>
          </cell>
        </row>
        <row r="669">
          <cell r="H669">
            <v>40292</v>
          </cell>
        </row>
        <row r="670">
          <cell r="H670">
            <v>40293</v>
          </cell>
        </row>
        <row r="671">
          <cell r="H671">
            <v>40294</v>
          </cell>
        </row>
        <row r="672">
          <cell r="H672">
            <v>40295</v>
          </cell>
        </row>
        <row r="673">
          <cell r="H673">
            <v>40296</v>
          </cell>
        </row>
        <row r="674">
          <cell r="H674">
            <v>40297</v>
          </cell>
        </row>
        <row r="675">
          <cell r="H675">
            <v>40298</v>
          </cell>
        </row>
        <row r="676">
          <cell r="H676">
            <v>40299</v>
          </cell>
        </row>
        <row r="677">
          <cell r="H677">
            <v>40300</v>
          </cell>
        </row>
        <row r="678">
          <cell r="H678">
            <v>40301</v>
          </cell>
        </row>
        <row r="679">
          <cell r="H679">
            <v>40302</v>
          </cell>
        </row>
        <row r="680">
          <cell r="H680">
            <v>40303</v>
          </cell>
        </row>
        <row r="681">
          <cell r="H681">
            <v>40304</v>
          </cell>
        </row>
        <row r="682">
          <cell r="H682">
            <v>40305</v>
          </cell>
        </row>
        <row r="683">
          <cell r="H683">
            <v>40306</v>
          </cell>
        </row>
        <row r="684">
          <cell r="H684">
            <v>40307</v>
          </cell>
        </row>
        <row r="685">
          <cell r="H685">
            <v>40308</v>
          </cell>
        </row>
        <row r="686">
          <cell r="H686">
            <v>40309</v>
          </cell>
        </row>
        <row r="687">
          <cell r="H687">
            <v>40310</v>
          </cell>
        </row>
        <row r="688">
          <cell r="H688">
            <v>40311</v>
          </cell>
        </row>
        <row r="689">
          <cell r="H689">
            <v>40312</v>
          </cell>
        </row>
        <row r="690">
          <cell r="H690">
            <v>40313</v>
          </cell>
        </row>
        <row r="691">
          <cell r="H691">
            <v>40314</v>
          </cell>
        </row>
        <row r="692">
          <cell r="H692">
            <v>40315</v>
          </cell>
        </row>
        <row r="693">
          <cell r="H693">
            <v>40316</v>
          </cell>
        </row>
        <row r="694">
          <cell r="H694">
            <v>40317</v>
          </cell>
        </row>
        <row r="695">
          <cell r="H695">
            <v>40318</v>
          </cell>
        </row>
        <row r="696">
          <cell r="H696">
            <v>40319</v>
          </cell>
        </row>
        <row r="697">
          <cell r="H697">
            <v>40320</v>
          </cell>
        </row>
        <row r="698">
          <cell r="H698">
            <v>40321</v>
          </cell>
        </row>
        <row r="699">
          <cell r="H699">
            <v>40322</v>
          </cell>
        </row>
        <row r="700">
          <cell r="H700">
            <v>40323</v>
          </cell>
        </row>
        <row r="701">
          <cell r="H701">
            <v>40324</v>
          </cell>
        </row>
        <row r="702">
          <cell r="H702">
            <v>40325</v>
          </cell>
        </row>
        <row r="703">
          <cell r="H703">
            <v>40326</v>
          </cell>
        </row>
        <row r="704">
          <cell r="H704">
            <v>40327</v>
          </cell>
        </row>
        <row r="705">
          <cell r="H705">
            <v>40328</v>
          </cell>
        </row>
        <row r="706">
          <cell r="H706">
            <v>40329</v>
          </cell>
        </row>
        <row r="707">
          <cell r="H707">
            <v>40330</v>
          </cell>
        </row>
        <row r="708">
          <cell r="H708">
            <v>40331</v>
          </cell>
        </row>
        <row r="709">
          <cell r="H709">
            <v>40332</v>
          </cell>
        </row>
        <row r="710">
          <cell r="H710">
            <v>40333</v>
          </cell>
        </row>
        <row r="711">
          <cell r="H711">
            <v>40334</v>
          </cell>
        </row>
        <row r="712">
          <cell r="H712">
            <v>40335</v>
          </cell>
        </row>
        <row r="713">
          <cell r="H713">
            <v>40336</v>
          </cell>
        </row>
        <row r="714">
          <cell r="H714">
            <v>40337</v>
          </cell>
        </row>
        <row r="715">
          <cell r="H715">
            <v>40338</v>
          </cell>
        </row>
        <row r="716">
          <cell r="H716">
            <v>40339</v>
          </cell>
        </row>
        <row r="717">
          <cell r="H717">
            <v>40340</v>
          </cell>
        </row>
        <row r="718">
          <cell r="H718">
            <v>40341</v>
          </cell>
        </row>
        <row r="719">
          <cell r="H719">
            <v>40342</v>
          </cell>
        </row>
        <row r="720">
          <cell r="H720">
            <v>40343</v>
          </cell>
        </row>
        <row r="721">
          <cell r="H721">
            <v>40344</v>
          </cell>
        </row>
        <row r="722">
          <cell r="H722">
            <v>40345</v>
          </cell>
        </row>
        <row r="723">
          <cell r="H723">
            <v>40346</v>
          </cell>
        </row>
        <row r="724">
          <cell r="H724">
            <v>40347</v>
          </cell>
        </row>
        <row r="725">
          <cell r="H725">
            <v>40348</v>
          </cell>
        </row>
        <row r="726">
          <cell r="H726">
            <v>40349</v>
          </cell>
        </row>
        <row r="727">
          <cell r="H727">
            <v>40350</v>
          </cell>
        </row>
        <row r="728">
          <cell r="H728">
            <v>40351</v>
          </cell>
        </row>
        <row r="729">
          <cell r="H729">
            <v>40352</v>
          </cell>
        </row>
        <row r="730">
          <cell r="H730">
            <v>40353</v>
          </cell>
        </row>
        <row r="731">
          <cell r="H731">
            <v>40354</v>
          </cell>
        </row>
        <row r="732">
          <cell r="H732">
            <v>40355</v>
          </cell>
        </row>
        <row r="733">
          <cell r="H733">
            <v>40356</v>
          </cell>
        </row>
        <row r="734">
          <cell r="H734">
            <v>40357</v>
          </cell>
        </row>
        <row r="735">
          <cell r="H735">
            <v>40358</v>
          </cell>
        </row>
        <row r="736">
          <cell r="H736">
            <v>40359</v>
          </cell>
        </row>
        <row r="737">
          <cell r="H737">
            <v>40360</v>
          </cell>
        </row>
        <row r="738">
          <cell r="H738">
            <v>40361</v>
          </cell>
        </row>
        <row r="739">
          <cell r="H739">
            <v>40362</v>
          </cell>
        </row>
        <row r="740">
          <cell r="H740">
            <v>40363</v>
          </cell>
        </row>
        <row r="741">
          <cell r="H741">
            <v>40364</v>
          </cell>
        </row>
        <row r="742">
          <cell r="H742">
            <v>40365</v>
          </cell>
        </row>
        <row r="743">
          <cell r="H743">
            <v>40366</v>
          </cell>
        </row>
        <row r="744">
          <cell r="H744">
            <v>40367</v>
          </cell>
        </row>
        <row r="745">
          <cell r="H745">
            <v>40368</v>
          </cell>
        </row>
        <row r="746">
          <cell r="H746">
            <v>40369</v>
          </cell>
        </row>
        <row r="747">
          <cell r="H747">
            <v>40370</v>
          </cell>
        </row>
        <row r="748">
          <cell r="H748">
            <v>40371</v>
          </cell>
        </row>
        <row r="749">
          <cell r="H749">
            <v>40372</v>
          </cell>
        </row>
        <row r="750">
          <cell r="H750">
            <v>40373</v>
          </cell>
        </row>
        <row r="751">
          <cell r="H751">
            <v>40374</v>
          </cell>
        </row>
        <row r="752">
          <cell r="H752">
            <v>40375</v>
          </cell>
        </row>
        <row r="753">
          <cell r="H753">
            <v>40376</v>
          </cell>
        </row>
        <row r="754">
          <cell r="H754">
            <v>40377</v>
          </cell>
        </row>
        <row r="755">
          <cell r="H755">
            <v>40378</v>
          </cell>
        </row>
        <row r="756">
          <cell r="H756">
            <v>40379</v>
          </cell>
        </row>
        <row r="757">
          <cell r="H757">
            <v>40380</v>
          </cell>
        </row>
        <row r="758">
          <cell r="H758">
            <v>40381</v>
          </cell>
        </row>
        <row r="759">
          <cell r="H759">
            <v>40382</v>
          </cell>
        </row>
        <row r="760">
          <cell r="H760">
            <v>40383</v>
          </cell>
        </row>
        <row r="761">
          <cell r="H761">
            <v>40384</v>
          </cell>
        </row>
        <row r="762">
          <cell r="H762">
            <v>40385</v>
          </cell>
        </row>
        <row r="763">
          <cell r="H763">
            <v>40386</v>
          </cell>
        </row>
        <row r="764">
          <cell r="H764">
            <v>40387</v>
          </cell>
        </row>
        <row r="765">
          <cell r="H765">
            <v>40388</v>
          </cell>
        </row>
        <row r="766">
          <cell r="H766">
            <v>40389</v>
          </cell>
        </row>
        <row r="767">
          <cell r="H767">
            <v>40390</v>
          </cell>
        </row>
        <row r="768">
          <cell r="H768">
            <v>40391</v>
          </cell>
        </row>
        <row r="769">
          <cell r="H769">
            <v>40392</v>
          </cell>
        </row>
        <row r="770">
          <cell r="H770">
            <v>40393</v>
          </cell>
        </row>
        <row r="771">
          <cell r="H771">
            <v>40394</v>
          </cell>
        </row>
        <row r="772">
          <cell r="H772">
            <v>40395</v>
          </cell>
        </row>
        <row r="773">
          <cell r="H773">
            <v>40396</v>
          </cell>
        </row>
        <row r="774">
          <cell r="H774">
            <v>40397</v>
          </cell>
        </row>
        <row r="775">
          <cell r="H775">
            <v>40398</v>
          </cell>
        </row>
        <row r="776">
          <cell r="H776">
            <v>40399</v>
          </cell>
        </row>
        <row r="777">
          <cell r="H777">
            <v>40400</v>
          </cell>
        </row>
        <row r="778">
          <cell r="H778">
            <v>40401</v>
          </cell>
        </row>
        <row r="779">
          <cell r="H779">
            <v>40402</v>
          </cell>
        </row>
        <row r="780">
          <cell r="H780">
            <v>40403</v>
          </cell>
        </row>
        <row r="781">
          <cell r="H781">
            <v>40404</v>
          </cell>
        </row>
        <row r="782">
          <cell r="H782">
            <v>40405</v>
          </cell>
        </row>
        <row r="783">
          <cell r="H783">
            <v>40406</v>
          </cell>
        </row>
        <row r="784">
          <cell r="H784">
            <v>40407</v>
          </cell>
        </row>
        <row r="785">
          <cell r="H785">
            <v>40408</v>
          </cell>
        </row>
        <row r="786">
          <cell r="H786">
            <v>40409</v>
          </cell>
        </row>
        <row r="787">
          <cell r="H787">
            <v>40410</v>
          </cell>
        </row>
        <row r="788">
          <cell r="H788">
            <v>40411</v>
          </cell>
        </row>
        <row r="789">
          <cell r="H789">
            <v>40412</v>
          </cell>
        </row>
        <row r="790">
          <cell r="H790">
            <v>40413</v>
          </cell>
        </row>
        <row r="791">
          <cell r="H791">
            <v>40414</v>
          </cell>
        </row>
        <row r="792">
          <cell r="H792">
            <v>40415</v>
          </cell>
        </row>
        <row r="793">
          <cell r="H793">
            <v>40416</v>
          </cell>
        </row>
        <row r="794">
          <cell r="H794">
            <v>40417</v>
          </cell>
        </row>
        <row r="795">
          <cell r="H795">
            <v>40418</v>
          </cell>
        </row>
        <row r="796">
          <cell r="H796">
            <v>40419</v>
          </cell>
        </row>
        <row r="797">
          <cell r="H797">
            <v>40420</v>
          </cell>
        </row>
        <row r="798">
          <cell r="H798">
            <v>40421</v>
          </cell>
        </row>
        <row r="799">
          <cell r="H799">
            <v>40422</v>
          </cell>
        </row>
        <row r="800">
          <cell r="H800">
            <v>40423</v>
          </cell>
        </row>
        <row r="801">
          <cell r="H801">
            <v>40424</v>
          </cell>
        </row>
        <row r="802">
          <cell r="H802">
            <v>40425</v>
          </cell>
        </row>
        <row r="803">
          <cell r="H803">
            <v>40426</v>
          </cell>
        </row>
        <row r="804">
          <cell r="H804">
            <v>40427</v>
          </cell>
        </row>
        <row r="805">
          <cell r="H805">
            <v>40428</v>
          </cell>
        </row>
        <row r="806">
          <cell r="H806">
            <v>40429</v>
          </cell>
        </row>
        <row r="807">
          <cell r="H807">
            <v>40430</v>
          </cell>
        </row>
        <row r="808">
          <cell r="H808">
            <v>40431</v>
          </cell>
        </row>
        <row r="809">
          <cell r="H809">
            <v>40432</v>
          </cell>
        </row>
        <row r="810">
          <cell r="H810">
            <v>40433</v>
          </cell>
        </row>
        <row r="811">
          <cell r="H811">
            <v>40434</v>
          </cell>
        </row>
        <row r="812">
          <cell r="H812">
            <v>40435</v>
          </cell>
        </row>
        <row r="813">
          <cell r="H813">
            <v>40436</v>
          </cell>
        </row>
        <row r="814">
          <cell r="H814">
            <v>40437</v>
          </cell>
        </row>
        <row r="815">
          <cell r="H815">
            <v>40438</v>
          </cell>
        </row>
        <row r="816">
          <cell r="H816">
            <v>40439</v>
          </cell>
        </row>
        <row r="817">
          <cell r="H817">
            <v>40440</v>
          </cell>
        </row>
        <row r="818">
          <cell r="H818">
            <v>40441</v>
          </cell>
        </row>
        <row r="819">
          <cell r="H819">
            <v>40442</v>
          </cell>
        </row>
        <row r="820">
          <cell r="H820">
            <v>40443</v>
          </cell>
        </row>
        <row r="821">
          <cell r="H821">
            <v>40444</v>
          </cell>
        </row>
        <row r="822">
          <cell r="H822">
            <v>40445</v>
          </cell>
        </row>
        <row r="823">
          <cell r="H823">
            <v>40446</v>
          </cell>
        </row>
        <row r="824">
          <cell r="H824">
            <v>40447</v>
          </cell>
        </row>
        <row r="825">
          <cell r="H825">
            <v>40448</v>
          </cell>
        </row>
        <row r="826">
          <cell r="H826">
            <v>40449</v>
          </cell>
        </row>
        <row r="827">
          <cell r="H827">
            <v>40450</v>
          </cell>
        </row>
        <row r="828">
          <cell r="H828">
            <v>40451</v>
          </cell>
        </row>
        <row r="829">
          <cell r="H829">
            <v>40452</v>
          </cell>
        </row>
        <row r="830">
          <cell r="H830">
            <v>40453</v>
          </cell>
        </row>
        <row r="831">
          <cell r="H831">
            <v>40454</v>
          </cell>
        </row>
        <row r="832">
          <cell r="H832">
            <v>40455</v>
          </cell>
        </row>
        <row r="833">
          <cell r="H833">
            <v>40456</v>
          </cell>
        </row>
        <row r="834">
          <cell r="H834">
            <v>40457</v>
          </cell>
        </row>
        <row r="835">
          <cell r="H835">
            <v>40458</v>
          </cell>
        </row>
        <row r="836">
          <cell r="H836">
            <v>40459</v>
          </cell>
        </row>
        <row r="837">
          <cell r="H837">
            <v>40460</v>
          </cell>
        </row>
        <row r="838">
          <cell r="H838">
            <v>40461</v>
          </cell>
        </row>
        <row r="839">
          <cell r="H839">
            <v>40462</v>
          </cell>
        </row>
        <row r="840">
          <cell r="H840">
            <v>40463</v>
          </cell>
        </row>
        <row r="841">
          <cell r="H841">
            <v>40464</v>
          </cell>
        </row>
        <row r="842">
          <cell r="H842">
            <v>40465</v>
          </cell>
        </row>
        <row r="843">
          <cell r="H843">
            <v>40466</v>
          </cell>
        </row>
        <row r="844">
          <cell r="H844">
            <v>40467</v>
          </cell>
        </row>
        <row r="845">
          <cell r="H845">
            <v>40468</v>
          </cell>
        </row>
        <row r="846">
          <cell r="H846">
            <v>40469</v>
          </cell>
        </row>
        <row r="847">
          <cell r="H847">
            <v>40470</v>
          </cell>
        </row>
        <row r="848">
          <cell r="H848">
            <v>40471</v>
          </cell>
        </row>
        <row r="849">
          <cell r="H849">
            <v>40472</v>
          </cell>
        </row>
        <row r="850">
          <cell r="H850">
            <v>40473</v>
          </cell>
        </row>
        <row r="851">
          <cell r="H851">
            <v>40474</v>
          </cell>
        </row>
        <row r="852">
          <cell r="H852">
            <v>40475</v>
          </cell>
        </row>
        <row r="853">
          <cell r="H853">
            <v>40476</v>
          </cell>
        </row>
        <row r="854">
          <cell r="H854">
            <v>40477</v>
          </cell>
        </row>
        <row r="855">
          <cell r="H855">
            <v>40478</v>
          </cell>
        </row>
        <row r="856">
          <cell r="H856">
            <v>40479</v>
          </cell>
        </row>
        <row r="857">
          <cell r="H857">
            <v>40480</v>
          </cell>
        </row>
        <row r="858">
          <cell r="H858">
            <v>40481</v>
          </cell>
        </row>
        <row r="859">
          <cell r="H859">
            <v>40482</v>
          </cell>
        </row>
        <row r="860">
          <cell r="H860">
            <v>40483</v>
          </cell>
        </row>
        <row r="861">
          <cell r="H861">
            <v>40484</v>
          </cell>
        </row>
        <row r="862">
          <cell r="H862">
            <v>40485</v>
          </cell>
        </row>
        <row r="863">
          <cell r="H863">
            <v>40486</v>
          </cell>
        </row>
        <row r="864">
          <cell r="H864">
            <v>40487</v>
          </cell>
        </row>
        <row r="865">
          <cell r="H865">
            <v>40488</v>
          </cell>
        </row>
        <row r="866">
          <cell r="H866">
            <v>40489</v>
          </cell>
        </row>
        <row r="867">
          <cell r="H867">
            <v>40490</v>
          </cell>
        </row>
        <row r="868">
          <cell r="H868">
            <v>40491</v>
          </cell>
        </row>
        <row r="869">
          <cell r="H869">
            <v>40492</v>
          </cell>
        </row>
        <row r="870">
          <cell r="H870">
            <v>40493</v>
          </cell>
        </row>
        <row r="871">
          <cell r="H871">
            <v>40494</v>
          </cell>
        </row>
        <row r="872">
          <cell r="H872">
            <v>40495</v>
          </cell>
        </row>
        <row r="873">
          <cell r="H873">
            <v>40496</v>
          </cell>
        </row>
        <row r="874">
          <cell r="H874">
            <v>40497</v>
          </cell>
        </row>
        <row r="875">
          <cell r="H875">
            <v>40498</v>
          </cell>
        </row>
        <row r="876">
          <cell r="H876">
            <v>40499</v>
          </cell>
        </row>
        <row r="877">
          <cell r="H877">
            <v>40500</v>
          </cell>
        </row>
        <row r="878">
          <cell r="H878">
            <v>40501</v>
          </cell>
        </row>
        <row r="879">
          <cell r="H879">
            <v>40502</v>
          </cell>
        </row>
        <row r="880">
          <cell r="H880">
            <v>40503</v>
          </cell>
        </row>
        <row r="881">
          <cell r="H881">
            <v>40504</v>
          </cell>
        </row>
        <row r="882">
          <cell r="H882">
            <v>40505</v>
          </cell>
        </row>
        <row r="883">
          <cell r="H883">
            <v>40506</v>
          </cell>
        </row>
        <row r="884">
          <cell r="H884">
            <v>40507</v>
          </cell>
        </row>
        <row r="885">
          <cell r="H885">
            <v>40508</v>
          </cell>
        </row>
        <row r="886">
          <cell r="H886">
            <v>40509</v>
          </cell>
        </row>
        <row r="887">
          <cell r="H887">
            <v>40510</v>
          </cell>
        </row>
        <row r="888">
          <cell r="H888">
            <v>40511</v>
          </cell>
        </row>
        <row r="889">
          <cell r="H889">
            <v>40512</v>
          </cell>
        </row>
        <row r="890">
          <cell r="H890">
            <v>40513</v>
          </cell>
        </row>
        <row r="891">
          <cell r="H891">
            <v>40514</v>
          </cell>
        </row>
        <row r="892">
          <cell r="H892">
            <v>40515</v>
          </cell>
        </row>
        <row r="893">
          <cell r="H893">
            <v>40516</v>
          </cell>
        </row>
        <row r="894">
          <cell r="H894">
            <v>40517</v>
          </cell>
        </row>
        <row r="895">
          <cell r="H895">
            <v>40518</v>
          </cell>
        </row>
        <row r="896">
          <cell r="H896">
            <v>40519</v>
          </cell>
        </row>
        <row r="897">
          <cell r="H897">
            <v>40520</v>
          </cell>
        </row>
        <row r="898">
          <cell r="H898">
            <v>40521</v>
          </cell>
        </row>
        <row r="899">
          <cell r="H899">
            <v>40522</v>
          </cell>
        </row>
        <row r="900">
          <cell r="H900">
            <v>40523</v>
          </cell>
        </row>
        <row r="901">
          <cell r="H901">
            <v>40524</v>
          </cell>
        </row>
        <row r="902">
          <cell r="H902">
            <v>40525</v>
          </cell>
        </row>
        <row r="903">
          <cell r="H903">
            <v>40526</v>
          </cell>
        </row>
        <row r="904">
          <cell r="H904">
            <v>40527</v>
          </cell>
        </row>
        <row r="905">
          <cell r="H905">
            <v>40528</v>
          </cell>
        </row>
        <row r="906">
          <cell r="H906">
            <v>40529</v>
          </cell>
        </row>
        <row r="907">
          <cell r="H907">
            <v>40530</v>
          </cell>
        </row>
        <row r="908">
          <cell r="H908">
            <v>40531</v>
          </cell>
        </row>
        <row r="909">
          <cell r="H909">
            <v>40532</v>
          </cell>
        </row>
        <row r="910">
          <cell r="H910">
            <v>40533</v>
          </cell>
        </row>
        <row r="911">
          <cell r="H911">
            <v>40534</v>
          </cell>
        </row>
        <row r="912">
          <cell r="H912">
            <v>40535</v>
          </cell>
        </row>
        <row r="913">
          <cell r="H913">
            <v>40536</v>
          </cell>
        </row>
        <row r="914">
          <cell r="H914">
            <v>40537</v>
          </cell>
        </row>
        <row r="915">
          <cell r="H915">
            <v>40538</v>
          </cell>
        </row>
        <row r="916">
          <cell r="H916">
            <v>40539</v>
          </cell>
        </row>
        <row r="917">
          <cell r="H917">
            <v>40540</v>
          </cell>
        </row>
        <row r="918">
          <cell r="H918">
            <v>40541</v>
          </cell>
        </row>
        <row r="919">
          <cell r="H919">
            <v>40542</v>
          </cell>
        </row>
        <row r="920">
          <cell r="H920">
            <v>40543</v>
          </cell>
        </row>
        <row r="921">
          <cell r="H921">
            <v>40544</v>
          </cell>
        </row>
        <row r="922">
          <cell r="H922">
            <v>40545</v>
          </cell>
        </row>
        <row r="923">
          <cell r="H923">
            <v>40546</v>
          </cell>
        </row>
        <row r="924">
          <cell r="H924">
            <v>40547</v>
          </cell>
        </row>
        <row r="925">
          <cell r="H925">
            <v>40548</v>
          </cell>
        </row>
        <row r="926">
          <cell r="H926">
            <v>40549</v>
          </cell>
        </row>
        <row r="927">
          <cell r="H927">
            <v>40550</v>
          </cell>
        </row>
        <row r="928">
          <cell r="H928">
            <v>40551</v>
          </cell>
        </row>
        <row r="929">
          <cell r="H929">
            <v>40552</v>
          </cell>
        </row>
        <row r="930">
          <cell r="H930">
            <v>40553</v>
          </cell>
        </row>
        <row r="931">
          <cell r="H931">
            <v>40554</v>
          </cell>
        </row>
        <row r="932">
          <cell r="H932">
            <v>40555</v>
          </cell>
        </row>
        <row r="933">
          <cell r="H933">
            <v>40556</v>
          </cell>
        </row>
        <row r="934">
          <cell r="H934">
            <v>40557</v>
          </cell>
        </row>
        <row r="935">
          <cell r="H935">
            <v>40558</v>
          </cell>
        </row>
        <row r="936">
          <cell r="H936">
            <v>40559</v>
          </cell>
        </row>
        <row r="937">
          <cell r="H937">
            <v>40560</v>
          </cell>
        </row>
        <row r="938">
          <cell r="H938">
            <v>40561</v>
          </cell>
        </row>
        <row r="939">
          <cell r="H939">
            <v>40562</v>
          </cell>
        </row>
        <row r="940">
          <cell r="H940">
            <v>40563</v>
          </cell>
        </row>
        <row r="941">
          <cell r="H941">
            <v>40564</v>
          </cell>
        </row>
        <row r="942">
          <cell r="H942">
            <v>40565</v>
          </cell>
        </row>
        <row r="943">
          <cell r="H943">
            <v>40566</v>
          </cell>
        </row>
        <row r="944">
          <cell r="H944">
            <v>40567</v>
          </cell>
        </row>
        <row r="945">
          <cell r="H945">
            <v>40568</v>
          </cell>
        </row>
        <row r="946">
          <cell r="H946">
            <v>40569</v>
          </cell>
        </row>
        <row r="947">
          <cell r="H947">
            <v>40570</v>
          </cell>
        </row>
        <row r="948">
          <cell r="H948">
            <v>40571</v>
          </cell>
        </row>
        <row r="949">
          <cell r="H949">
            <v>40572</v>
          </cell>
        </row>
        <row r="950">
          <cell r="H950">
            <v>40573</v>
          </cell>
        </row>
        <row r="951">
          <cell r="H951">
            <v>40574</v>
          </cell>
        </row>
        <row r="952">
          <cell r="H952">
            <v>40575</v>
          </cell>
        </row>
        <row r="953">
          <cell r="H953">
            <v>40576</v>
          </cell>
        </row>
        <row r="954">
          <cell r="H954">
            <v>40577</v>
          </cell>
        </row>
        <row r="955">
          <cell r="H955">
            <v>40578</v>
          </cell>
        </row>
        <row r="956">
          <cell r="H956">
            <v>40579</v>
          </cell>
        </row>
        <row r="957">
          <cell r="H957">
            <v>40580</v>
          </cell>
        </row>
        <row r="958">
          <cell r="H958">
            <v>40581</v>
          </cell>
        </row>
        <row r="959">
          <cell r="H959">
            <v>40582</v>
          </cell>
        </row>
        <row r="960">
          <cell r="H960">
            <v>40583</v>
          </cell>
        </row>
        <row r="961">
          <cell r="H961">
            <v>40584</v>
          </cell>
        </row>
        <row r="962">
          <cell r="H962">
            <v>40585</v>
          </cell>
        </row>
        <row r="963">
          <cell r="H963">
            <v>40586</v>
          </cell>
        </row>
        <row r="964">
          <cell r="H964">
            <v>40587</v>
          </cell>
        </row>
        <row r="965">
          <cell r="H965">
            <v>40588</v>
          </cell>
        </row>
        <row r="966">
          <cell r="H966">
            <v>40589</v>
          </cell>
        </row>
        <row r="967">
          <cell r="H967">
            <v>40590</v>
          </cell>
        </row>
        <row r="968">
          <cell r="H968">
            <v>40591</v>
          </cell>
        </row>
        <row r="969">
          <cell r="H969">
            <v>40592</v>
          </cell>
        </row>
        <row r="970">
          <cell r="H970">
            <v>40593</v>
          </cell>
        </row>
        <row r="971">
          <cell r="H971">
            <v>40594</v>
          </cell>
        </row>
        <row r="972">
          <cell r="H972">
            <v>40595</v>
          </cell>
        </row>
        <row r="973">
          <cell r="H973">
            <v>40596</v>
          </cell>
        </row>
        <row r="974">
          <cell r="H974">
            <v>40597</v>
          </cell>
        </row>
        <row r="975">
          <cell r="H975">
            <v>40598</v>
          </cell>
        </row>
        <row r="976">
          <cell r="H976">
            <v>40599</v>
          </cell>
        </row>
        <row r="977">
          <cell r="H977">
            <v>40600</v>
          </cell>
        </row>
        <row r="978">
          <cell r="H978">
            <v>40601</v>
          </cell>
        </row>
        <row r="979">
          <cell r="H979">
            <v>40602</v>
          </cell>
        </row>
        <row r="980">
          <cell r="H980">
            <v>40603</v>
          </cell>
        </row>
        <row r="981">
          <cell r="H981">
            <v>40604</v>
          </cell>
        </row>
        <row r="982">
          <cell r="H982">
            <v>40605</v>
          </cell>
        </row>
        <row r="983">
          <cell r="H983">
            <v>40606</v>
          </cell>
        </row>
        <row r="984">
          <cell r="H984">
            <v>40607</v>
          </cell>
        </row>
        <row r="985">
          <cell r="H985">
            <v>40608</v>
          </cell>
        </row>
        <row r="986">
          <cell r="H986">
            <v>40609</v>
          </cell>
        </row>
        <row r="987">
          <cell r="H987">
            <v>40610</v>
          </cell>
        </row>
        <row r="988">
          <cell r="H988">
            <v>40611</v>
          </cell>
        </row>
        <row r="989">
          <cell r="H989">
            <v>40612</v>
          </cell>
        </row>
        <row r="990">
          <cell r="H990">
            <v>40613</v>
          </cell>
        </row>
        <row r="991">
          <cell r="H991">
            <v>40614</v>
          </cell>
        </row>
        <row r="992">
          <cell r="H992">
            <v>40615</v>
          </cell>
        </row>
        <row r="993">
          <cell r="H993">
            <v>40616</v>
          </cell>
        </row>
        <row r="994">
          <cell r="H994">
            <v>40617</v>
          </cell>
        </row>
        <row r="995">
          <cell r="H995">
            <v>40618</v>
          </cell>
        </row>
        <row r="996">
          <cell r="H996">
            <v>40619</v>
          </cell>
        </row>
        <row r="997">
          <cell r="H997">
            <v>40620</v>
          </cell>
        </row>
        <row r="998">
          <cell r="H998">
            <v>40621</v>
          </cell>
        </row>
        <row r="999">
          <cell r="H999">
            <v>40622</v>
          </cell>
        </row>
        <row r="1000">
          <cell r="H1000">
            <v>40623</v>
          </cell>
        </row>
        <row r="1001">
          <cell r="H1001">
            <v>40624</v>
          </cell>
        </row>
        <row r="1002">
          <cell r="H1002">
            <v>40625</v>
          </cell>
        </row>
        <row r="1003">
          <cell r="H1003">
            <v>40626</v>
          </cell>
        </row>
        <row r="1004">
          <cell r="H1004">
            <v>40627</v>
          </cell>
        </row>
        <row r="1005">
          <cell r="H1005">
            <v>40628</v>
          </cell>
        </row>
        <row r="1006">
          <cell r="H1006">
            <v>40629</v>
          </cell>
        </row>
        <row r="1007">
          <cell r="H1007">
            <v>40630</v>
          </cell>
        </row>
        <row r="1008">
          <cell r="H1008">
            <v>40631</v>
          </cell>
        </row>
        <row r="1009">
          <cell r="H1009">
            <v>40632</v>
          </cell>
        </row>
        <row r="1010">
          <cell r="H1010">
            <v>40633</v>
          </cell>
        </row>
        <row r="1011">
          <cell r="H1011">
            <v>40634</v>
          </cell>
        </row>
        <row r="1012">
          <cell r="H1012">
            <v>40635</v>
          </cell>
        </row>
        <row r="1013">
          <cell r="H1013">
            <v>40636</v>
          </cell>
        </row>
        <row r="1014">
          <cell r="H1014">
            <v>40637</v>
          </cell>
        </row>
        <row r="1015">
          <cell r="H1015">
            <v>40638</v>
          </cell>
        </row>
        <row r="1016">
          <cell r="H1016">
            <v>40639</v>
          </cell>
        </row>
        <row r="1017">
          <cell r="H1017">
            <v>40640</v>
          </cell>
        </row>
        <row r="1018">
          <cell r="H1018">
            <v>40641</v>
          </cell>
        </row>
        <row r="1019">
          <cell r="H1019">
            <v>40642</v>
          </cell>
        </row>
        <row r="1020">
          <cell r="H1020">
            <v>40643</v>
          </cell>
        </row>
        <row r="1021">
          <cell r="H1021">
            <v>40644</v>
          </cell>
        </row>
        <row r="1022">
          <cell r="H1022">
            <v>40645</v>
          </cell>
        </row>
        <row r="1023">
          <cell r="H1023">
            <v>40646</v>
          </cell>
        </row>
        <row r="1024">
          <cell r="H1024">
            <v>40647</v>
          </cell>
        </row>
        <row r="1025">
          <cell r="H1025">
            <v>40648</v>
          </cell>
        </row>
        <row r="1026">
          <cell r="H1026">
            <v>40649</v>
          </cell>
        </row>
        <row r="1027">
          <cell r="H1027">
            <v>40650</v>
          </cell>
        </row>
        <row r="1028">
          <cell r="H1028">
            <v>40651</v>
          </cell>
        </row>
        <row r="1029">
          <cell r="H1029">
            <v>40652</v>
          </cell>
        </row>
        <row r="1030">
          <cell r="H1030">
            <v>40653</v>
          </cell>
        </row>
        <row r="1031">
          <cell r="H1031">
            <v>40654</v>
          </cell>
        </row>
        <row r="1032">
          <cell r="H1032">
            <v>40655</v>
          </cell>
        </row>
        <row r="1033">
          <cell r="H1033">
            <v>40656</v>
          </cell>
        </row>
        <row r="1034">
          <cell r="H1034">
            <v>40657</v>
          </cell>
        </row>
        <row r="1035">
          <cell r="H1035">
            <v>40658</v>
          </cell>
        </row>
        <row r="1036">
          <cell r="H1036">
            <v>40659</v>
          </cell>
        </row>
        <row r="1037">
          <cell r="H1037">
            <v>40660</v>
          </cell>
        </row>
        <row r="1038">
          <cell r="H1038">
            <v>40661</v>
          </cell>
        </row>
        <row r="1039">
          <cell r="H1039">
            <v>40662</v>
          </cell>
        </row>
        <row r="1040">
          <cell r="H1040">
            <v>40663</v>
          </cell>
        </row>
        <row r="1041">
          <cell r="H1041">
            <v>40664</v>
          </cell>
        </row>
        <row r="1042">
          <cell r="H1042">
            <v>40665</v>
          </cell>
        </row>
        <row r="1043">
          <cell r="H1043">
            <v>40666</v>
          </cell>
        </row>
        <row r="1044">
          <cell r="H1044">
            <v>40667</v>
          </cell>
        </row>
        <row r="1045">
          <cell r="H1045">
            <v>40668</v>
          </cell>
        </row>
        <row r="1046">
          <cell r="H1046">
            <v>40669</v>
          </cell>
        </row>
        <row r="1047">
          <cell r="H1047">
            <v>40670</v>
          </cell>
        </row>
        <row r="1048">
          <cell r="H1048">
            <v>40671</v>
          </cell>
        </row>
        <row r="1049">
          <cell r="H1049">
            <v>40672</v>
          </cell>
        </row>
        <row r="1050">
          <cell r="H1050">
            <v>40673</v>
          </cell>
        </row>
        <row r="1051">
          <cell r="H1051">
            <v>40674</v>
          </cell>
        </row>
        <row r="1052">
          <cell r="H1052">
            <v>40675</v>
          </cell>
        </row>
        <row r="1053">
          <cell r="H1053">
            <v>40676</v>
          </cell>
        </row>
        <row r="1054">
          <cell r="H1054">
            <v>40677</v>
          </cell>
        </row>
        <row r="1055">
          <cell r="H1055">
            <v>40678</v>
          </cell>
        </row>
        <row r="1056">
          <cell r="H1056">
            <v>40679</v>
          </cell>
        </row>
        <row r="1057">
          <cell r="H1057">
            <v>40680</v>
          </cell>
        </row>
        <row r="1058">
          <cell r="H1058">
            <v>40681</v>
          </cell>
        </row>
        <row r="1059">
          <cell r="H1059">
            <v>40682</v>
          </cell>
        </row>
        <row r="1060">
          <cell r="H1060">
            <v>40683</v>
          </cell>
        </row>
        <row r="1061">
          <cell r="H1061">
            <v>40684</v>
          </cell>
        </row>
        <row r="1062">
          <cell r="H1062">
            <v>40685</v>
          </cell>
        </row>
        <row r="1063">
          <cell r="H1063">
            <v>40686</v>
          </cell>
        </row>
        <row r="1064">
          <cell r="H1064">
            <v>40687</v>
          </cell>
        </row>
        <row r="1065">
          <cell r="H1065">
            <v>40688</v>
          </cell>
        </row>
        <row r="1066">
          <cell r="H1066">
            <v>40689</v>
          </cell>
        </row>
        <row r="1067">
          <cell r="H1067">
            <v>40690</v>
          </cell>
        </row>
        <row r="1068">
          <cell r="H1068">
            <v>40691</v>
          </cell>
        </row>
        <row r="1069">
          <cell r="H1069">
            <v>40692</v>
          </cell>
        </row>
        <row r="1070">
          <cell r="H1070">
            <v>40693</v>
          </cell>
        </row>
        <row r="1071">
          <cell r="H1071">
            <v>40694</v>
          </cell>
        </row>
        <row r="1072">
          <cell r="H1072">
            <v>40695</v>
          </cell>
        </row>
        <row r="1073">
          <cell r="H1073">
            <v>40696</v>
          </cell>
        </row>
        <row r="1074">
          <cell r="H1074">
            <v>40697</v>
          </cell>
        </row>
        <row r="1075">
          <cell r="H1075">
            <v>40698</v>
          </cell>
        </row>
        <row r="1076">
          <cell r="H1076">
            <v>40699</v>
          </cell>
        </row>
        <row r="1077">
          <cell r="H1077">
            <v>40700</v>
          </cell>
        </row>
        <row r="1078">
          <cell r="H1078">
            <v>40701</v>
          </cell>
        </row>
        <row r="1079">
          <cell r="H1079">
            <v>40702</v>
          </cell>
        </row>
        <row r="1080">
          <cell r="H1080">
            <v>40703</v>
          </cell>
        </row>
        <row r="1081">
          <cell r="H1081">
            <v>40704</v>
          </cell>
        </row>
        <row r="1082">
          <cell r="H1082">
            <v>40705</v>
          </cell>
        </row>
        <row r="1083">
          <cell r="H1083">
            <v>40706</v>
          </cell>
        </row>
        <row r="1084">
          <cell r="H1084">
            <v>40707</v>
          </cell>
        </row>
        <row r="1085">
          <cell r="H1085">
            <v>40708</v>
          </cell>
        </row>
        <row r="1086">
          <cell r="H1086">
            <v>40709</v>
          </cell>
        </row>
        <row r="1087">
          <cell r="H1087">
            <v>40710</v>
          </cell>
        </row>
        <row r="1088">
          <cell r="H1088">
            <v>40711</v>
          </cell>
        </row>
        <row r="1089">
          <cell r="H1089">
            <v>40712</v>
          </cell>
        </row>
        <row r="1090">
          <cell r="H1090">
            <v>40713</v>
          </cell>
        </row>
        <row r="1091">
          <cell r="H1091">
            <v>40714</v>
          </cell>
        </row>
        <row r="1092">
          <cell r="H1092">
            <v>40715</v>
          </cell>
        </row>
        <row r="1093">
          <cell r="H1093">
            <v>40716</v>
          </cell>
        </row>
        <row r="1094">
          <cell r="H1094">
            <v>40717</v>
          </cell>
        </row>
        <row r="1095">
          <cell r="H1095">
            <v>40718</v>
          </cell>
        </row>
        <row r="1096">
          <cell r="H1096">
            <v>40719</v>
          </cell>
        </row>
        <row r="1097">
          <cell r="H1097">
            <v>40720</v>
          </cell>
        </row>
        <row r="1098">
          <cell r="H1098">
            <v>40721</v>
          </cell>
        </row>
        <row r="1099">
          <cell r="H1099">
            <v>40722</v>
          </cell>
        </row>
        <row r="1100">
          <cell r="H1100">
            <v>40723</v>
          </cell>
        </row>
        <row r="1101">
          <cell r="H1101">
            <v>40724</v>
          </cell>
        </row>
        <row r="1102">
          <cell r="H1102">
            <v>40725</v>
          </cell>
        </row>
        <row r="1103">
          <cell r="H1103">
            <v>40726</v>
          </cell>
        </row>
        <row r="1104">
          <cell r="H1104">
            <v>40727</v>
          </cell>
        </row>
        <row r="1105">
          <cell r="H1105">
            <v>40728</v>
          </cell>
        </row>
        <row r="1106">
          <cell r="H1106">
            <v>40729</v>
          </cell>
        </row>
        <row r="1107">
          <cell r="H1107">
            <v>40730</v>
          </cell>
        </row>
        <row r="1108">
          <cell r="H1108">
            <v>40731</v>
          </cell>
        </row>
        <row r="1109">
          <cell r="H1109">
            <v>40732</v>
          </cell>
        </row>
        <row r="1110">
          <cell r="H1110">
            <v>40733</v>
          </cell>
        </row>
        <row r="1111">
          <cell r="H1111">
            <v>40734</v>
          </cell>
        </row>
        <row r="1112">
          <cell r="H1112">
            <v>40735</v>
          </cell>
        </row>
        <row r="1113">
          <cell r="H1113">
            <v>40736</v>
          </cell>
        </row>
        <row r="1114">
          <cell r="H1114">
            <v>40737</v>
          </cell>
        </row>
        <row r="1115">
          <cell r="H1115">
            <v>40738</v>
          </cell>
        </row>
        <row r="1116">
          <cell r="H1116">
            <v>40739</v>
          </cell>
        </row>
        <row r="1117">
          <cell r="H1117">
            <v>40740</v>
          </cell>
        </row>
        <row r="1118">
          <cell r="H1118">
            <v>40741</v>
          </cell>
        </row>
        <row r="1119">
          <cell r="H1119">
            <v>40742</v>
          </cell>
        </row>
        <row r="1120">
          <cell r="H1120">
            <v>40743</v>
          </cell>
        </row>
        <row r="1121">
          <cell r="H1121">
            <v>40744</v>
          </cell>
        </row>
        <row r="1122">
          <cell r="H1122">
            <v>40745</v>
          </cell>
        </row>
        <row r="1123">
          <cell r="H1123">
            <v>40746</v>
          </cell>
        </row>
        <row r="1124">
          <cell r="H1124">
            <v>40747</v>
          </cell>
        </row>
        <row r="1125">
          <cell r="H1125">
            <v>40748</v>
          </cell>
        </row>
        <row r="1126">
          <cell r="H1126">
            <v>40749</v>
          </cell>
        </row>
        <row r="1127">
          <cell r="H1127">
            <v>40750</v>
          </cell>
        </row>
        <row r="1128">
          <cell r="H1128">
            <v>40751</v>
          </cell>
        </row>
        <row r="1129">
          <cell r="H1129">
            <v>40752</v>
          </cell>
        </row>
        <row r="1130">
          <cell r="H1130">
            <v>40753</v>
          </cell>
        </row>
        <row r="1131">
          <cell r="H1131">
            <v>40754</v>
          </cell>
        </row>
        <row r="1132">
          <cell r="H1132">
            <v>40755</v>
          </cell>
        </row>
        <row r="1133">
          <cell r="H1133">
            <v>40756</v>
          </cell>
        </row>
        <row r="1134">
          <cell r="H1134">
            <v>40757</v>
          </cell>
        </row>
        <row r="1135">
          <cell r="H1135">
            <v>40758</v>
          </cell>
        </row>
        <row r="1136">
          <cell r="H1136">
            <v>40759</v>
          </cell>
        </row>
        <row r="1137">
          <cell r="H1137">
            <v>40760</v>
          </cell>
        </row>
        <row r="1138">
          <cell r="H1138">
            <v>40761</v>
          </cell>
        </row>
        <row r="1139">
          <cell r="H1139">
            <v>40762</v>
          </cell>
        </row>
        <row r="1140">
          <cell r="H1140">
            <v>40763</v>
          </cell>
        </row>
        <row r="1141">
          <cell r="H1141">
            <v>40764</v>
          </cell>
        </row>
        <row r="1142">
          <cell r="H1142">
            <v>40765</v>
          </cell>
        </row>
        <row r="1143">
          <cell r="H1143">
            <v>40766</v>
          </cell>
        </row>
        <row r="1144">
          <cell r="H1144">
            <v>40767</v>
          </cell>
        </row>
        <row r="1145">
          <cell r="H1145">
            <v>40768</v>
          </cell>
        </row>
        <row r="1146">
          <cell r="H1146">
            <v>40769</v>
          </cell>
        </row>
        <row r="1147">
          <cell r="H1147">
            <v>40770</v>
          </cell>
        </row>
        <row r="1148">
          <cell r="H1148">
            <v>40771</v>
          </cell>
        </row>
        <row r="1149">
          <cell r="H1149">
            <v>40772</v>
          </cell>
        </row>
        <row r="1150">
          <cell r="H1150">
            <v>40773</v>
          </cell>
        </row>
        <row r="1151">
          <cell r="H1151">
            <v>40774</v>
          </cell>
        </row>
        <row r="1152">
          <cell r="H1152">
            <v>40775</v>
          </cell>
        </row>
        <row r="1153">
          <cell r="H1153">
            <v>40776</v>
          </cell>
        </row>
        <row r="1154">
          <cell r="H1154">
            <v>40777</v>
          </cell>
        </row>
        <row r="1155">
          <cell r="H1155">
            <v>40778</v>
          </cell>
        </row>
        <row r="1156">
          <cell r="H1156">
            <v>40779</v>
          </cell>
        </row>
        <row r="1157">
          <cell r="H1157">
            <v>40780</v>
          </cell>
        </row>
        <row r="1158">
          <cell r="H1158">
            <v>40781</v>
          </cell>
        </row>
        <row r="1159">
          <cell r="H1159">
            <v>40782</v>
          </cell>
        </row>
        <row r="1160">
          <cell r="H1160">
            <v>40783</v>
          </cell>
        </row>
        <row r="1161">
          <cell r="H1161">
            <v>40784</v>
          </cell>
        </row>
        <row r="1162">
          <cell r="H1162">
            <v>40785</v>
          </cell>
        </row>
        <row r="1163">
          <cell r="H1163">
            <v>40786</v>
          </cell>
        </row>
        <row r="1164">
          <cell r="H1164">
            <v>40787</v>
          </cell>
        </row>
        <row r="1165">
          <cell r="H1165">
            <v>40788</v>
          </cell>
        </row>
        <row r="1166">
          <cell r="H1166">
            <v>40789</v>
          </cell>
        </row>
        <row r="1167">
          <cell r="H1167">
            <v>40790</v>
          </cell>
        </row>
        <row r="1168">
          <cell r="H1168">
            <v>40791</v>
          </cell>
        </row>
        <row r="1169">
          <cell r="H1169">
            <v>40792</v>
          </cell>
        </row>
        <row r="1170">
          <cell r="H1170">
            <v>40793</v>
          </cell>
        </row>
        <row r="1171">
          <cell r="H1171">
            <v>40794</v>
          </cell>
        </row>
        <row r="1172">
          <cell r="H1172">
            <v>40795</v>
          </cell>
        </row>
        <row r="1173">
          <cell r="H1173">
            <v>40796</v>
          </cell>
        </row>
        <row r="1174">
          <cell r="H1174">
            <v>40797</v>
          </cell>
        </row>
        <row r="1175">
          <cell r="H1175">
            <v>40798</v>
          </cell>
        </row>
        <row r="1176">
          <cell r="H1176">
            <v>40799</v>
          </cell>
        </row>
        <row r="1177">
          <cell r="H1177">
            <v>40800</v>
          </cell>
        </row>
        <row r="1178">
          <cell r="H1178">
            <v>40801</v>
          </cell>
        </row>
        <row r="1179">
          <cell r="H1179">
            <v>40802</v>
          </cell>
        </row>
        <row r="1180">
          <cell r="H1180">
            <v>40803</v>
          </cell>
        </row>
        <row r="1181">
          <cell r="H1181">
            <v>40804</v>
          </cell>
        </row>
        <row r="1182">
          <cell r="H1182">
            <v>40805</v>
          </cell>
        </row>
        <row r="1183">
          <cell r="H1183">
            <v>40806</v>
          </cell>
        </row>
        <row r="1184">
          <cell r="H1184">
            <v>40807</v>
          </cell>
        </row>
        <row r="1185">
          <cell r="H1185">
            <v>40808</v>
          </cell>
        </row>
        <row r="1186">
          <cell r="H1186">
            <v>40809</v>
          </cell>
        </row>
        <row r="1187">
          <cell r="H1187">
            <v>40810</v>
          </cell>
        </row>
        <row r="1188">
          <cell r="H1188">
            <v>40811</v>
          </cell>
        </row>
        <row r="1189">
          <cell r="H1189">
            <v>40812</v>
          </cell>
        </row>
        <row r="1190">
          <cell r="H1190">
            <v>40813</v>
          </cell>
        </row>
        <row r="1191">
          <cell r="H1191">
            <v>40814</v>
          </cell>
        </row>
        <row r="1192">
          <cell r="H1192">
            <v>40815</v>
          </cell>
        </row>
        <row r="1193">
          <cell r="H1193">
            <v>40816</v>
          </cell>
        </row>
        <row r="1194">
          <cell r="H1194">
            <v>40817</v>
          </cell>
        </row>
        <row r="1195">
          <cell r="H1195">
            <v>40818</v>
          </cell>
        </row>
        <row r="1196">
          <cell r="H1196">
            <v>40819</v>
          </cell>
        </row>
        <row r="1197">
          <cell r="H1197">
            <v>40820</v>
          </cell>
        </row>
        <row r="1198">
          <cell r="H1198">
            <v>40821</v>
          </cell>
        </row>
        <row r="1199">
          <cell r="H1199">
            <v>40822</v>
          </cell>
        </row>
        <row r="1200">
          <cell r="H1200">
            <v>40823</v>
          </cell>
        </row>
        <row r="1201">
          <cell r="H1201">
            <v>40824</v>
          </cell>
        </row>
        <row r="1202">
          <cell r="H1202">
            <v>40825</v>
          </cell>
        </row>
        <row r="1203">
          <cell r="H1203">
            <v>40826</v>
          </cell>
        </row>
        <row r="1204">
          <cell r="H1204">
            <v>40827</v>
          </cell>
        </row>
        <row r="1205">
          <cell r="H1205">
            <v>40828</v>
          </cell>
        </row>
        <row r="1206">
          <cell r="H1206">
            <v>40829</v>
          </cell>
        </row>
        <row r="1207">
          <cell r="H1207">
            <v>40830</v>
          </cell>
        </row>
        <row r="1208">
          <cell r="H1208">
            <v>40831</v>
          </cell>
        </row>
        <row r="1209">
          <cell r="H1209">
            <v>40832</v>
          </cell>
        </row>
        <row r="1210">
          <cell r="H1210">
            <v>40833</v>
          </cell>
        </row>
        <row r="1211">
          <cell r="H1211">
            <v>40834</v>
          </cell>
        </row>
        <row r="1212">
          <cell r="H1212">
            <v>40835</v>
          </cell>
        </row>
        <row r="1213">
          <cell r="H1213">
            <v>40836</v>
          </cell>
        </row>
        <row r="1214">
          <cell r="H1214">
            <v>40837</v>
          </cell>
        </row>
        <row r="1215">
          <cell r="H1215">
            <v>40838</v>
          </cell>
        </row>
        <row r="1216">
          <cell r="H1216">
            <v>40839</v>
          </cell>
        </row>
        <row r="1217">
          <cell r="H1217">
            <v>40840</v>
          </cell>
        </row>
        <row r="1218">
          <cell r="H1218">
            <v>40841</v>
          </cell>
        </row>
        <row r="1219">
          <cell r="H1219">
            <v>40842</v>
          </cell>
        </row>
        <row r="1220">
          <cell r="H1220">
            <v>40843</v>
          </cell>
        </row>
        <row r="1221">
          <cell r="H1221">
            <v>40844</v>
          </cell>
        </row>
        <row r="1222">
          <cell r="H1222">
            <v>40845</v>
          </cell>
        </row>
        <row r="1223">
          <cell r="H1223">
            <v>40846</v>
          </cell>
        </row>
        <row r="1224">
          <cell r="H1224">
            <v>40847</v>
          </cell>
        </row>
        <row r="1225">
          <cell r="H1225">
            <v>40848</v>
          </cell>
        </row>
        <row r="1226">
          <cell r="H1226">
            <v>40849</v>
          </cell>
        </row>
        <row r="1227">
          <cell r="H1227">
            <v>40850</v>
          </cell>
        </row>
        <row r="1228">
          <cell r="H1228">
            <v>40851</v>
          </cell>
        </row>
        <row r="1229">
          <cell r="H1229">
            <v>40852</v>
          </cell>
        </row>
        <row r="1230">
          <cell r="H1230">
            <v>40853</v>
          </cell>
        </row>
        <row r="1231">
          <cell r="H1231">
            <v>40854</v>
          </cell>
        </row>
        <row r="1232">
          <cell r="H1232">
            <v>40855</v>
          </cell>
        </row>
        <row r="1233">
          <cell r="H1233">
            <v>40856</v>
          </cell>
        </row>
        <row r="1234">
          <cell r="H1234">
            <v>40857</v>
          </cell>
        </row>
        <row r="1235">
          <cell r="H1235">
            <v>40858</v>
          </cell>
        </row>
        <row r="1236">
          <cell r="H1236">
            <v>40859</v>
          </cell>
        </row>
        <row r="1237">
          <cell r="H1237">
            <v>40860</v>
          </cell>
        </row>
        <row r="1238">
          <cell r="H1238">
            <v>40861</v>
          </cell>
        </row>
        <row r="1239">
          <cell r="H1239">
            <v>40862</v>
          </cell>
        </row>
        <row r="1240">
          <cell r="H1240">
            <v>40863</v>
          </cell>
        </row>
        <row r="1241">
          <cell r="H1241">
            <v>40864</v>
          </cell>
        </row>
        <row r="1242">
          <cell r="H1242">
            <v>40865</v>
          </cell>
        </row>
        <row r="1243">
          <cell r="H1243">
            <v>40866</v>
          </cell>
        </row>
        <row r="1244">
          <cell r="H1244">
            <v>40867</v>
          </cell>
        </row>
        <row r="1245">
          <cell r="H1245">
            <v>40868</v>
          </cell>
        </row>
        <row r="1246">
          <cell r="H1246">
            <v>40869</v>
          </cell>
        </row>
        <row r="1247">
          <cell r="H1247">
            <v>40870</v>
          </cell>
        </row>
        <row r="1248">
          <cell r="H1248">
            <v>40871</v>
          </cell>
        </row>
        <row r="1249">
          <cell r="H1249">
            <v>40872</v>
          </cell>
        </row>
        <row r="1250">
          <cell r="H1250">
            <v>40873</v>
          </cell>
        </row>
        <row r="1251">
          <cell r="H1251">
            <v>40874</v>
          </cell>
        </row>
        <row r="1252">
          <cell r="H1252">
            <v>40875</v>
          </cell>
        </row>
        <row r="1253">
          <cell r="H1253">
            <v>40876</v>
          </cell>
        </row>
        <row r="1254">
          <cell r="H1254">
            <v>40877</v>
          </cell>
        </row>
        <row r="1255">
          <cell r="H1255">
            <v>40878</v>
          </cell>
        </row>
        <row r="1256">
          <cell r="H1256">
            <v>40879</v>
          </cell>
        </row>
        <row r="1257">
          <cell r="H1257">
            <v>40880</v>
          </cell>
        </row>
        <row r="1258">
          <cell r="H1258">
            <v>40881</v>
          </cell>
        </row>
        <row r="1259">
          <cell r="H1259">
            <v>40882</v>
          </cell>
        </row>
        <row r="1260">
          <cell r="H1260">
            <v>40883</v>
          </cell>
        </row>
        <row r="1261">
          <cell r="H1261">
            <v>40884</v>
          </cell>
        </row>
        <row r="1262">
          <cell r="H1262">
            <v>40885</v>
          </cell>
        </row>
        <row r="1263">
          <cell r="H1263">
            <v>40886</v>
          </cell>
        </row>
        <row r="1264">
          <cell r="H1264">
            <v>40887</v>
          </cell>
        </row>
        <row r="1265">
          <cell r="H1265">
            <v>40888</v>
          </cell>
        </row>
        <row r="1266">
          <cell r="H1266">
            <v>40889</v>
          </cell>
        </row>
        <row r="1267">
          <cell r="H1267">
            <v>40890</v>
          </cell>
        </row>
        <row r="1268">
          <cell r="H1268">
            <v>40891</v>
          </cell>
        </row>
        <row r="1269">
          <cell r="H1269">
            <v>40892</v>
          </cell>
        </row>
        <row r="1270">
          <cell r="H1270">
            <v>40893</v>
          </cell>
        </row>
        <row r="1271">
          <cell r="H1271">
            <v>40894</v>
          </cell>
        </row>
        <row r="1272">
          <cell r="H1272">
            <v>40895</v>
          </cell>
        </row>
        <row r="1273">
          <cell r="H1273">
            <v>40896</v>
          </cell>
        </row>
        <row r="1274">
          <cell r="H1274">
            <v>40897</v>
          </cell>
        </row>
        <row r="1275">
          <cell r="H1275">
            <v>40898</v>
          </cell>
        </row>
        <row r="1276">
          <cell r="H1276">
            <v>40899</v>
          </cell>
        </row>
        <row r="1277">
          <cell r="H1277">
            <v>40900</v>
          </cell>
        </row>
        <row r="1278">
          <cell r="H1278">
            <v>40901</v>
          </cell>
        </row>
        <row r="1279">
          <cell r="H1279">
            <v>40902</v>
          </cell>
        </row>
        <row r="1280">
          <cell r="H1280">
            <v>40903</v>
          </cell>
        </row>
        <row r="1281">
          <cell r="H1281">
            <v>40904</v>
          </cell>
        </row>
        <row r="1282">
          <cell r="H1282">
            <v>40905</v>
          </cell>
        </row>
        <row r="1283">
          <cell r="H1283">
            <v>40906</v>
          </cell>
        </row>
        <row r="1284">
          <cell r="H1284">
            <v>40907</v>
          </cell>
        </row>
        <row r="1285">
          <cell r="H1285">
            <v>40908</v>
          </cell>
        </row>
        <row r="1286">
          <cell r="H1286">
            <v>40909</v>
          </cell>
        </row>
        <row r="1287">
          <cell r="H1287">
            <v>40910</v>
          </cell>
        </row>
        <row r="1288">
          <cell r="H1288">
            <v>40911</v>
          </cell>
        </row>
        <row r="1289">
          <cell r="H1289">
            <v>40912</v>
          </cell>
        </row>
        <row r="1290">
          <cell r="H1290">
            <v>40913</v>
          </cell>
        </row>
        <row r="1291">
          <cell r="H1291">
            <v>40914</v>
          </cell>
        </row>
        <row r="1292">
          <cell r="H1292">
            <v>40915</v>
          </cell>
        </row>
        <row r="1293">
          <cell r="H1293">
            <v>40916</v>
          </cell>
        </row>
        <row r="1294">
          <cell r="H1294">
            <v>40917</v>
          </cell>
        </row>
        <row r="1295">
          <cell r="H1295">
            <v>40918</v>
          </cell>
        </row>
        <row r="1296">
          <cell r="H1296">
            <v>40919</v>
          </cell>
        </row>
        <row r="1297">
          <cell r="H1297">
            <v>40920</v>
          </cell>
        </row>
        <row r="1298">
          <cell r="H1298">
            <v>40921</v>
          </cell>
        </row>
        <row r="1299">
          <cell r="H1299">
            <v>40922</v>
          </cell>
        </row>
        <row r="1300">
          <cell r="H1300">
            <v>40923</v>
          </cell>
        </row>
        <row r="1301">
          <cell r="H1301">
            <v>40924</v>
          </cell>
        </row>
        <row r="1302">
          <cell r="H1302">
            <v>40925</v>
          </cell>
        </row>
        <row r="1303">
          <cell r="H1303">
            <v>40926</v>
          </cell>
        </row>
        <row r="1304">
          <cell r="H1304">
            <v>40927</v>
          </cell>
        </row>
        <row r="1305">
          <cell r="H1305">
            <v>40928</v>
          </cell>
        </row>
        <row r="1306">
          <cell r="H1306">
            <v>40929</v>
          </cell>
        </row>
        <row r="1307">
          <cell r="H1307">
            <v>40930</v>
          </cell>
        </row>
        <row r="1308">
          <cell r="H1308">
            <v>40931</v>
          </cell>
        </row>
        <row r="1309">
          <cell r="H1309">
            <v>40932</v>
          </cell>
        </row>
        <row r="1310">
          <cell r="H1310">
            <v>40933</v>
          </cell>
        </row>
        <row r="1311">
          <cell r="H1311">
            <v>40934</v>
          </cell>
        </row>
        <row r="1312">
          <cell r="H1312">
            <v>40935</v>
          </cell>
        </row>
        <row r="1313">
          <cell r="H1313">
            <v>40936</v>
          </cell>
        </row>
        <row r="1314">
          <cell r="H1314">
            <v>40937</v>
          </cell>
        </row>
        <row r="1315">
          <cell r="H1315">
            <v>40938</v>
          </cell>
        </row>
        <row r="1316">
          <cell r="H1316">
            <v>40939</v>
          </cell>
        </row>
        <row r="1317">
          <cell r="H1317">
            <v>40940</v>
          </cell>
        </row>
        <row r="1318">
          <cell r="H1318">
            <v>40941</v>
          </cell>
        </row>
        <row r="1319">
          <cell r="H1319">
            <v>40942</v>
          </cell>
        </row>
        <row r="1320">
          <cell r="H1320">
            <v>40943</v>
          </cell>
        </row>
        <row r="1321">
          <cell r="H1321">
            <v>40944</v>
          </cell>
        </row>
        <row r="1322">
          <cell r="H1322">
            <v>40945</v>
          </cell>
        </row>
        <row r="1323">
          <cell r="H1323">
            <v>40946</v>
          </cell>
        </row>
        <row r="1324">
          <cell r="H1324">
            <v>40947</v>
          </cell>
        </row>
        <row r="1325">
          <cell r="H1325">
            <v>40948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upload file"/>
      <sheetName val="Sheet2"/>
      <sheetName val="PRICE LIST REBV (0210)"/>
      <sheetName val="PRICE LIST REBV PRINTER&amp;SCANNER"/>
    </sheetNames>
    <sheetDataSet>
      <sheetData sheetId="0"/>
      <sheetData sheetId="1" refreshError="1"/>
      <sheetData sheetId="2" refreshError="1">
        <row r="2">
          <cell r="D2">
            <v>400342</v>
          </cell>
          <cell r="E2" t="str">
            <v>EUR</v>
          </cell>
          <cell r="F2">
            <v>15.99</v>
          </cell>
          <cell r="G2" t="e">
            <v>#N/A</v>
          </cell>
          <cell r="H2" t="e">
            <v>#N/A</v>
          </cell>
          <cell r="I2" t="str">
            <v>AP305OIL</v>
          </cell>
        </row>
        <row r="3">
          <cell r="D3">
            <v>400344</v>
          </cell>
          <cell r="E3" t="str">
            <v>EUR</v>
          </cell>
          <cell r="F3">
            <v>197.39</v>
          </cell>
          <cell r="G3" t="str">
            <v>EUR</v>
          </cell>
          <cell r="H3" t="e">
            <v>#VALUE!</v>
          </cell>
          <cell r="I3" t="str">
            <v>AP305PCU</v>
          </cell>
        </row>
        <row r="4">
          <cell r="D4">
            <v>400338</v>
          </cell>
          <cell r="E4" t="str">
            <v>EUR</v>
          </cell>
          <cell r="F4">
            <v>70.94</v>
          </cell>
          <cell r="G4" t="e">
            <v>#N/A</v>
          </cell>
          <cell r="H4" t="e">
            <v>#N/A</v>
          </cell>
          <cell r="I4" t="str">
            <v>AP305TONBLA</v>
          </cell>
        </row>
        <row r="5">
          <cell r="D5">
            <v>400339</v>
          </cell>
          <cell r="E5" t="str">
            <v>EUR</v>
          </cell>
          <cell r="F5">
            <v>87.42</v>
          </cell>
          <cell r="G5" t="e">
            <v>#N/A</v>
          </cell>
          <cell r="H5" t="e">
            <v>#N/A</v>
          </cell>
          <cell r="I5" t="str">
            <v>AP305TONCYN</v>
          </cell>
        </row>
        <row r="6">
          <cell r="D6">
            <v>400340</v>
          </cell>
          <cell r="E6" t="str">
            <v>EUR</v>
          </cell>
          <cell r="F6">
            <v>87.42</v>
          </cell>
          <cell r="G6" t="e">
            <v>#N/A</v>
          </cell>
          <cell r="H6" t="e">
            <v>#N/A</v>
          </cell>
          <cell r="I6" t="str">
            <v>AP305TONMAG</v>
          </cell>
        </row>
        <row r="7">
          <cell r="D7">
            <v>400341</v>
          </cell>
          <cell r="E7" t="str">
            <v>EUR</v>
          </cell>
          <cell r="F7">
            <v>87.42</v>
          </cell>
          <cell r="G7" t="e">
            <v>#N/A</v>
          </cell>
          <cell r="H7" t="e">
            <v>#N/A</v>
          </cell>
          <cell r="I7" t="str">
            <v>AP305TONYLW</v>
          </cell>
        </row>
        <row r="8">
          <cell r="D8">
            <v>400343</v>
          </cell>
          <cell r="E8" t="str">
            <v>EUR</v>
          </cell>
          <cell r="F8">
            <v>9.08</v>
          </cell>
          <cell r="G8" t="str">
            <v>EUR</v>
          </cell>
          <cell r="H8" t="e">
            <v>#VALUE!</v>
          </cell>
          <cell r="I8" t="str">
            <v>AP305WASTE</v>
          </cell>
        </row>
        <row r="9">
          <cell r="D9">
            <v>919117</v>
          </cell>
          <cell r="E9" t="str">
            <v>EUR</v>
          </cell>
          <cell r="F9">
            <v>21.83</v>
          </cell>
          <cell r="G9" t="e">
            <v>#N/A</v>
          </cell>
          <cell r="H9" t="e">
            <v>#N/A</v>
          </cell>
          <cell r="I9" t="str">
            <v>CT99BLKGER</v>
          </cell>
        </row>
        <row r="10">
          <cell r="D10">
            <v>339032</v>
          </cell>
          <cell r="E10" t="str">
            <v>EUR</v>
          </cell>
          <cell r="F10">
            <v>43.45</v>
          </cell>
          <cell r="G10" t="e">
            <v>#N/A</v>
          </cell>
          <cell r="H10" t="e">
            <v>#N/A</v>
          </cell>
          <cell r="I10" t="str">
            <v>FAXCART1200</v>
          </cell>
        </row>
        <row r="11">
          <cell r="D11">
            <v>334238</v>
          </cell>
          <cell r="E11" t="str">
            <v>EUR</v>
          </cell>
          <cell r="F11">
            <v>610.54999999999995</v>
          </cell>
          <cell r="G11" t="e">
            <v>#N/A</v>
          </cell>
          <cell r="H11" t="e">
            <v>#N/A</v>
          </cell>
          <cell r="I11" t="str">
            <v>FAXCART800</v>
          </cell>
        </row>
        <row r="12">
          <cell r="D12">
            <v>339353</v>
          </cell>
          <cell r="E12" t="str">
            <v>EUR</v>
          </cell>
          <cell r="F12">
            <v>780.96</v>
          </cell>
          <cell r="G12" t="e">
            <v>#N/A</v>
          </cell>
          <cell r="H12" t="e">
            <v>#N/A</v>
          </cell>
          <cell r="I12" t="str">
            <v>FAXCART88BLA</v>
          </cell>
        </row>
        <row r="13">
          <cell r="D13">
            <v>339342</v>
          </cell>
          <cell r="E13" t="str">
            <v>EUR</v>
          </cell>
          <cell r="F13">
            <v>1133.08</v>
          </cell>
          <cell r="G13" t="e">
            <v>#N/A</v>
          </cell>
          <cell r="H13" t="e">
            <v>#N/A</v>
          </cell>
          <cell r="I13" t="str">
            <v>FAXCART88CLR</v>
          </cell>
        </row>
        <row r="14">
          <cell r="D14">
            <v>339343</v>
          </cell>
          <cell r="E14" t="str">
            <v>EUR</v>
          </cell>
          <cell r="F14">
            <v>318.55</v>
          </cell>
          <cell r="G14" t="e">
            <v>#N/A</v>
          </cell>
          <cell r="H14" t="e">
            <v>#N/A</v>
          </cell>
          <cell r="I14" t="str">
            <v>FAXREF88BLA</v>
          </cell>
        </row>
        <row r="15">
          <cell r="D15">
            <v>339344</v>
          </cell>
          <cell r="E15" t="str">
            <v>EUR</v>
          </cell>
          <cell r="F15">
            <v>764.17</v>
          </cell>
          <cell r="G15" t="e">
            <v>#N/A</v>
          </cell>
          <cell r="H15" t="e">
            <v>#N/A</v>
          </cell>
          <cell r="I15" t="str">
            <v>FAXREF88CLR</v>
          </cell>
        </row>
        <row r="16">
          <cell r="D16">
            <v>920841</v>
          </cell>
          <cell r="E16" t="str">
            <v>EUR</v>
          </cell>
          <cell r="F16">
            <v>123.61</v>
          </cell>
          <cell r="G16" t="e">
            <v>#N/A</v>
          </cell>
          <cell r="H16" t="e">
            <v>#N/A</v>
          </cell>
          <cell r="I16" t="str">
            <v>FAXRIBBONR70</v>
          </cell>
        </row>
        <row r="17">
          <cell r="D17">
            <v>920616</v>
          </cell>
          <cell r="E17" t="str">
            <v>EUR</v>
          </cell>
          <cell r="F17">
            <v>126.8</v>
          </cell>
          <cell r="G17" t="e">
            <v>#N/A</v>
          </cell>
          <cell r="H17" t="e">
            <v>#N/A</v>
          </cell>
          <cell r="I17" t="str">
            <v>FAXRIBBON500</v>
          </cell>
        </row>
        <row r="18">
          <cell r="D18">
            <v>339475</v>
          </cell>
          <cell r="E18" t="str">
            <v>EUR</v>
          </cell>
          <cell r="F18">
            <v>142.12</v>
          </cell>
          <cell r="G18" t="e">
            <v>#N/A</v>
          </cell>
          <cell r="H18" t="e">
            <v>#N/A</v>
          </cell>
          <cell r="I18" t="str">
            <v>FMU70</v>
          </cell>
        </row>
        <row r="19">
          <cell r="D19">
            <v>339477</v>
          </cell>
          <cell r="E19" t="str">
            <v>EUR</v>
          </cell>
          <cell r="F19">
            <v>161.72</v>
          </cell>
          <cell r="G19" t="e">
            <v>#N/A</v>
          </cell>
          <cell r="H19" t="e">
            <v>#N/A</v>
          </cell>
          <cell r="I19" t="str">
            <v>FT70BLK</v>
          </cell>
        </row>
        <row r="20">
          <cell r="D20">
            <v>400441</v>
          </cell>
          <cell r="E20" t="str">
            <v>EUR</v>
          </cell>
          <cell r="F20">
            <v>143.27000000000001</v>
          </cell>
          <cell r="G20" t="str">
            <v>EUR</v>
          </cell>
          <cell r="H20" t="e">
            <v>#VALUE!</v>
          </cell>
          <cell r="I20" t="str">
            <v>INKROLLTYPEA</v>
          </cell>
        </row>
        <row r="21">
          <cell r="D21">
            <v>400401</v>
          </cell>
          <cell r="E21" t="str">
            <v>EUR</v>
          </cell>
          <cell r="F21">
            <v>82.13</v>
          </cell>
          <cell r="G21" t="str">
            <v>EUR</v>
          </cell>
          <cell r="H21" t="e">
            <v>#VALUE!</v>
          </cell>
          <cell r="I21" t="str">
            <v>MAINTEN2000</v>
          </cell>
        </row>
        <row r="22">
          <cell r="D22">
            <v>922479</v>
          </cell>
          <cell r="E22" t="str">
            <v>EUR</v>
          </cell>
          <cell r="F22">
            <v>36.880000000000003</v>
          </cell>
          <cell r="G22" t="e">
            <v>#N/A</v>
          </cell>
          <cell r="H22" t="e">
            <v>#N/A</v>
          </cell>
          <cell r="I22" t="str">
            <v>STAPLE85SWE</v>
          </cell>
        </row>
        <row r="23">
          <cell r="D23">
            <v>209890</v>
          </cell>
          <cell r="E23" t="str">
            <v>EUR</v>
          </cell>
          <cell r="F23">
            <v>98.6</v>
          </cell>
          <cell r="G23" t="str">
            <v>EUR</v>
          </cell>
          <cell r="H23" t="e">
            <v>#VALUE!</v>
          </cell>
          <cell r="I23" t="str">
            <v>AF251MAST</v>
          </cell>
        </row>
        <row r="24">
          <cell r="D24">
            <v>400398</v>
          </cell>
          <cell r="E24" t="str">
            <v>EUR</v>
          </cell>
          <cell r="F24">
            <v>57.15</v>
          </cell>
          <cell r="G24" t="str">
            <v>EUR</v>
          </cell>
          <cell r="H24" t="e">
            <v>#VALUE!</v>
          </cell>
          <cell r="I24" t="str">
            <v>AP1400TONER</v>
          </cell>
        </row>
        <row r="25">
          <cell r="D25">
            <v>923961</v>
          </cell>
          <cell r="E25" t="str">
            <v>EUR</v>
          </cell>
          <cell r="F25">
            <v>107.99</v>
          </cell>
          <cell r="G25" t="e">
            <v>#N/A</v>
          </cell>
          <cell r="H25" t="e">
            <v>#N/A</v>
          </cell>
          <cell r="I25" t="str">
            <v>AP1610TONER</v>
          </cell>
        </row>
        <row r="26">
          <cell r="D26">
            <v>400679</v>
          </cell>
          <cell r="E26" t="str">
            <v>EUR</v>
          </cell>
          <cell r="F26">
            <v>143.82</v>
          </cell>
          <cell r="G26" t="e">
            <v>#N/A</v>
          </cell>
          <cell r="H26" t="e">
            <v>#N/A</v>
          </cell>
          <cell r="I26" t="str">
            <v>AP200TONCHN</v>
          </cell>
        </row>
        <row r="27">
          <cell r="D27">
            <v>400618</v>
          </cell>
          <cell r="E27" t="str">
            <v>EUR</v>
          </cell>
          <cell r="F27">
            <v>147.27000000000001</v>
          </cell>
          <cell r="G27" t="e">
            <v>#N/A</v>
          </cell>
          <cell r="H27" t="e">
            <v>#N/A</v>
          </cell>
          <cell r="I27" t="str">
            <v>AP200TONER</v>
          </cell>
        </row>
        <row r="28">
          <cell r="D28">
            <v>400395</v>
          </cell>
          <cell r="E28" t="str">
            <v>EUR</v>
          </cell>
          <cell r="F28">
            <v>95.43</v>
          </cell>
          <cell r="G28" t="str">
            <v>EUR</v>
          </cell>
          <cell r="H28" t="e">
            <v>#VALUE!</v>
          </cell>
          <cell r="I28" t="str">
            <v>AP2000TONER</v>
          </cell>
        </row>
        <row r="29">
          <cell r="D29">
            <v>400321</v>
          </cell>
          <cell r="E29" t="str">
            <v>EUR</v>
          </cell>
          <cell r="F29">
            <v>25.22</v>
          </cell>
          <cell r="G29" t="str">
            <v>EUR</v>
          </cell>
          <cell r="H29" t="e">
            <v>#VALUE!</v>
          </cell>
          <cell r="I29" t="str">
            <v>AP204OIL</v>
          </cell>
        </row>
        <row r="30">
          <cell r="D30">
            <v>400320</v>
          </cell>
          <cell r="E30" t="str">
            <v>EUR</v>
          </cell>
          <cell r="F30">
            <v>136.46</v>
          </cell>
          <cell r="G30" t="str">
            <v>EUR</v>
          </cell>
          <cell r="H30" t="e">
            <v>#VALUE!</v>
          </cell>
          <cell r="I30" t="str">
            <v>AP204PCU</v>
          </cell>
        </row>
        <row r="31">
          <cell r="D31">
            <v>400316</v>
          </cell>
          <cell r="E31" t="str">
            <v>EUR</v>
          </cell>
          <cell r="F31">
            <v>63.16</v>
          </cell>
          <cell r="G31" t="str">
            <v>EUR</v>
          </cell>
          <cell r="H31" t="e">
            <v>#VALUE!</v>
          </cell>
          <cell r="I31" t="str">
            <v>AP204TONBLA</v>
          </cell>
        </row>
        <row r="32">
          <cell r="D32">
            <v>400317</v>
          </cell>
          <cell r="E32" t="str">
            <v>EUR</v>
          </cell>
          <cell r="F32">
            <v>56.38</v>
          </cell>
          <cell r="G32" t="str">
            <v>EUR</v>
          </cell>
          <cell r="H32" t="e">
            <v>#VALUE!</v>
          </cell>
          <cell r="I32" t="str">
            <v>AP204TONCYN</v>
          </cell>
        </row>
        <row r="33">
          <cell r="D33">
            <v>400318</v>
          </cell>
          <cell r="E33" t="str">
            <v>EUR</v>
          </cell>
          <cell r="F33">
            <v>56.38</v>
          </cell>
          <cell r="G33" t="str">
            <v>EUR</v>
          </cell>
          <cell r="H33" t="e">
            <v>#VALUE!</v>
          </cell>
          <cell r="I33" t="str">
            <v>AP204TONMAG</v>
          </cell>
        </row>
        <row r="34">
          <cell r="D34">
            <v>400319</v>
          </cell>
          <cell r="E34" t="str">
            <v>EUR</v>
          </cell>
          <cell r="F34">
            <v>56.38</v>
          </cell>
          <cell r="G34" t="str">
            <v>EUR</v>
          </cell>
          <cell r="H34" t="e">
            <v>#VALUE!</v>
          </cell>
          <cell r="I34" t="str">
            <v>AP204TONYLW</v>
          </cell>
        </row>
        <row r="35">
          <cell r="D35">
            <v>400322</v>
          </cell>
          <cell r="E35" t="str">
            <v>EUR</v>
          </cell>
          <cell r="F35">
            <v>8.2799999999999994</v>
          </cell>
          <cell r="G35" t="str">
            <v>EUR</v>
          </cell>
          <cell r="H35" t="e">
            <v>#VALUE!</v>
          </cell>
          <cell r="I35" t="str">
            <v>AP204WASTE</v>
          </cell>
        </row>
        <row r="36">
          <cell r="D36">
            <v>400514</v>
          </cell>
          <cell r="E36" t="str">
            <v>EUR</v>
          </cell>
          <cell r="F36">
            <v>25.92</v>
          </cell>
          <cell r="G36" t="str">
            <v>EUR</v>
          </cell>
          <cell r="H36" t="e">
            <v>#VALUE!</v>
          </cell>
          <cell r="I36" t="str">
            <v>AP206FUSER</v>
          </cell>
        </row>
        <row r="37">
          <cell r="D37">
            <v>400511</v>
          </cell>
          <cell r="E37" t="str">
            <v>EUR</v>
          </cell>
          <cell r="F37">
            <v>151.63</v>
          </cell>
          <cell r="G37" t="e">
            <v>#N/A</v>
          </cell>
          <cell r="H37" t="e">
            <v>#N/A</v>
          </cell>
          <cell r="I37" t="str">
            <v>AP206PCU</v>
          </cell>
        </row>
        <row r="38">
          <cell r="D38">
            <v>400507</v>
          </cell>
          <cell r="E38" t="str">
            <v>EUR</v>
          </cell>
          <cell r="F38">
            <v>73.680000000000007</v>
          </cell>
          <cell r="G38" t="str">
            <v>EUR</v>
          </cell>
          <cell r="H38" t="e">
            <v>#VALUE!</v>
          </cell>
          <cell r="I38" t="str">
            <v>AP206TONBLA</v>
          </cell>
        </row>
        <row r="39">
          <cell r="D39">
            <v>400508</v>
          </cell>
          <cell r="E39" t="str">
            <v>EUR</v>
          </cell>
          <cell r="F39">
            <v>69.739999999999995</v>
          </cell>
          <cell r="G39" t="str">
            <v>EUR</v>
          </cell>
          <cell r="H39" t="e">
            <v>#VALUE!</v>
          </cell>
          <cell r="I39" t="str">
            <v>AP206TONCYN</v>
          </cell>
        </row>
        <row r="40">
          <cell r="D40">
            <v>400509</v>
          </cell>
          <cell r="E40" t="str">
            <v>EUR</v>
          </cell>
          <cell r="F40">
            <v>69.739999999999995</v>
          </cell>
          <cell r="G40" t="str">
            <v>EUR</v>
          </cell>
          <cell r="H40" t="e">
            <v>#VALUE!</v>
          </cell>
          <cell r="I40" t="str">
            <v>AP206TONMAG</v>
          </cell>
        </row>
        <row r="41">
          <cell r="D41">
            <v>400510</v>
          </cell>
          <cell r="E41" t="str">
            <v>EUR</v>
          </cell>
          <cell r="F41">
            <v>69.739999999999995</v>
          </cell>
          <cell r="G41" t="str">
            <v>EUR</v>
          </cell>
          <cell r="H41" t="e">
            <v>#VALUE!</v>
          </cell>
          <cell r="I41" t="str">
            <v>AP206TONYLW</v>
          </cell>
        </row>
        <row r="42">
          <cell r="D42">
            <v>400513</v>
          </cell>
          <cell r="E42" t="str">
            <v>EUR</v>
          </cell>
          <cell r="F42">
            <v>8.2799999999999994</v>
          </cell>
          <cell r="G42" t="str">
            <v>EUR</v>
          </cell>
          <cell r="H42" t="e">
            <v>#VALUE!</v>
          </cell>
          <cell r="I42" t="str">
            <v>AP206WASTE</v>
          </cell>
        </row>
        <row r="43">
          <cell r="D43">
            <v>400760</v>
          </cell>
          <cell r="E43" t="str">
            <v>EUR</v>
          </cell>
          <cell r="F43">
            <v>147.27000000000001</v>
          </cell>
          <cell r="G43" t="str">
            <v>EUR</v>
          </cell>
          <cell r="H43" t="e">
            <v>#VALUE!</v>
          </cell>
          <cell r="I43" t="str">
            <v>AP215TONCHN</v>
          </cell>
        </row>
        <row r="44">
          <cell r="D44">
            <v>400342</v>
          </cell>
          <cell r="E44" t="str">
            <v>EUR</v>
          </cell>
          <cell r="F44">
            <v>17.45</v>
          </cell>
          <cell r="G44" t="e">
            <v>#N/A</v>
          </cell>
          <cell r="H44" t="e">
            <v>#N/A</v>
          </cell>
          <cell r="I44" t="str">
            <v>AP305OIL</v>
          </cell>
        </row>
        <row r="45">
          <cell r="D45">
            <v>400344</v>
          </cell>
          <cell r="E45" t="str">
            <v>EUR</v>
          </cell>
          <cell r="F45">
            <v>231.68</v>
          </cell>
          <cell r="G45" t="str">
            <v>EUR</v>
          </cell>
          <cell r="H45" t="e">
            <v>#VALUE!</v>
          </cell>
          <cell r="I45" t="str">
            <v>AP305PCU</v>
          </cell>
        </row>
        <row r="46">
          <cell r="D46">
            <v>400338</v>
          </cell>
          <cell r="E46" t="str">
            <v>EUR</v>
          </cell>
          <cell r="F46">
            <v>81</v>
          </cell>
          <cell r="G46" t="e">
            <v>#N/A</v>
          </cell>
          <cell r="H46" t="e">
            <v>#N/A</v>
          </cell>
          <cell r="I46" t="str">
            <v>AP305TONBLA</v>
          </cell>
        </row>
        <row r="47">
          <cell r="D47">
            <v>400339</v>
          </cell>
          <cell r="E47" t="str">
            <v>EUR</v>
          </cell>
          <cell r="F47">
            <v>100</v>
          </cell>
          <cell r="G47" t="e">
            <v>#N/A</v>
          </cell>
          <cell r="H47" t="e">
            <v>#N/A</v>
          </cell>
          <cell r="I47" t="str">
            <v>AP305TONCYN</v>
          </cell>
        </row>
        <row r="48">
          <cell r="D48">
            <v>400340</v>
          </cell>
          <cell r="E48" t="str">
            <v>EUR</v>
          </cell>
          <cell r="F48">
            <v>100</v>
          </cell>
          <cell r="G48" t="e">
            <v>#N/A</v>
          </cell>
          <cell r="H48" t="e">
            <v>#N/A</v>
          </cell>
          <cell r="I48" t="str">
            <v>AP305TONMAG</v>
          </cell>
        </row>
        <row r="49">
          <cell r="D49">
            <v>400341</v>
          </cell>
          <cell r="E49" t="str">
            <v>EUR</v>
          </cell>
          <cell r="F49">
            <v>100</v>
          </cell>
          <cell r="G49" t="e">
            <v>#N/A</v>
          </cell>
          <cell r="H49" t="e">
            <v>#N/A</v>
          </cell>
          <cell r="I49" t="str">
            <v>AP305TONYLW</v>
          </cell>
        </row>
        <row r="50">
          <cell r="D50">
            <v>400343</v>
          </cell>
          <cell r="E50" t="str">
            <v>EUR</v>
          </cell>
          <cell r="F50">
            <v>10.66</v>
          </cell>
          <cell r="G50" t="str">
            <v>EUR</v>
          </cell>
          <cell r="H50" t="e">
            <v>#VALUE!</v>
          </cell>
          <cell r="I50" t="str">
            <v>AP305WASTE</v>
          </cell>
        </row>
        <row r="51">
          <cell r="D51">
            <v>400496</v>
          </cell>
          <cell r="E51" t="str">
            <v>EUR</v>
          </cell>
          <cell r="F51">
            <v>14.96</v>
          </cell>
          <cell r="G51" t="str">
            <v>EUR</v>
          </cell>
          <cell r="H51" t="e">
            <v>#VALUE!</v>
          </cell>
          <cell r="I51" t="str">
            <v>AP306CHARGER</v>
          </cell>
        </row>
        <row r="52">
          <cell r="D52">
            <v>400497</v>
          </cell>
          <cell r="E52" t="str">
            <v>EUR</v>
          </cell>
          <cell r="F52">
            <v>16.7</v>
          </cell>
          <cell r="G52" t="str">
            <v>EUR</v>
          </cell>
          <cell r="H52" t="e">
            <v>#VALUE!</v>
          </cell>
          <cell r="I52" t="str">
            <v>AP306OIL</v>
          </cell>
        </row>
        <row r="53">
          <cell r="D53">
            <v>400490</v>
          </cell>
          <cell r="E53" t="str">
            <v>EUR</v>
          </cell>
          <cell r="F53">
            <v>272.57</v>
          </cell>
          <cell r="G53" t="str">
            <v>EUR</v>
          </cell>
          <cell r="H53" t="e">
            <v>#VALUE!</v>
          </cell>
          <cell r="I53" t="str">
            <v>AP306PCU</v>
          </cell>
        </row>
        <row r="54">
          <cell r="D54">
            <v>400491</v>
          </cell>
          <cell r="E54" t="str">
            <v>EUR</v>
          </cell>
          <cell r="F54">
            <v>89.65</v>
          </cell>
          <cell r="G54" t="str">
            <v>EUR</v>
          </cell>
          <cell r="H54" t="e">
            <v>#VALUE!</v>
          </cell>
          <cell r="I54" t="str">
            <v>AP306TONBLA</v>
          </cell>
        </row>
        <row r="55">
          <cell r="D55">
            <v>400492</v>
          </cell>
          <cell r="E55" t="str">
            <v>EUR</v>
          </cell>
          <cell r="F55">
            <v>110.67</v>
          </cell>
          <cell r="G55" t="str">
            <v>EUR</v>
          </cell>
          <cell r="H55" t="e">
            <v>#VALUE!</v>
          </cell>
          <cell r="I55" t="str">
            <v>AP306TONCYN</v>
          </cell>
        </row>
        <row r="56">
          <cell r="D56">
            <v>400493</v>
          </cell>
          <cell r="E56" t="str">
            <v>EUR</v>
          </cell>
          <cell r="F56">
            <v>110.67</v>
          </cell>
          <cell r="G56" t="str">
            <v>EUR</v>
          </cell>
          <cell r="H56" t="e">
            <v>#VALUE!</v>
          </cell>
          <cell r="I56" t="str">
            <v>AP306TONMAG</v>
          </cell>
        </row>
        <row r="57">
          <cell r="D57">
            <v>400494</v>
          </cell>
          <cell r="E57" t="str">
            <v>EUR</v>
          </cell>
          <cell r="F57">
            <v>110.67</v>
          </cell>
          <cell r="G57" t="str">
            <v>EUR</v>
          </cell>
          <cell r="H57" t="e">
            <v>#VALUE!</v>
          </cell>
          <cell r="I57" t="str">
            <v>AP306TONYLW</v>
          </cell>
        </row>
        <row r="58">
          <cell r="D58">
            <v>400495</v>
          </cell>
          <cell r="E58" t="str">
            <v>EUR</v>
          </cell>
          <cell r="F58">
            <v>10.45</v>
          </cell>
          <cell r="G58" t="str">
            <v>EUR</v>
          </cell>
          <cell r="H58" t="e">
            <v>#VALUE!</v>
          </cell>
          <cell r="I58" t="str">
            <v>AP306WASTE</v>
          </cell>
        </row>
        <row r="59">
          <cell r="D59">
            <v>889409</v>
          </cell>
          <cell r="E59" t="str">
            <v>EUR</v>
          </cell>
          <cell r="F59">
            <v>27.35</v>
          </cell>
          <cell r="G59" t="str">
            <v>EUR</v>
          </cell>
          <cell r="H59" t="e">
            <v>#VALUE!</v>
          </cell>
          <cell r="I59" t="str">
            <v>CLEANCARRIER</v>
          </cell>
        </row>
        <row r="60">
          <cell r="D60">
            <v>392000</v>
          </cell>
          <cell r="E60" t="str">
            <v>EUR</v>
          </cell>
          <cell r="F60">
            <v>60.89</v>
          </cell>
          <cell r="G60" t="str">
            <v>EUR</v>
          </cell>
          <cell r="H60" t="e">
            <v>#VALUE!</v>
          </cell>
          <cell r="I60" t="str">
            <v>DEVCART12PLS</v>
          </cell>
        </row>
        <row r="61">
          <cell r="D61">
            <v>886907</v>
          </cell>
          <cell r="E61" t="str">
            <v>EUR</v>
          </cell>
          <cell r="F61">
            <v>29.13</v>
          </cell>
          <cell r="G61" t="e">
            <v>#N/A</v>
          </cell>
          <cell r="H61" t="e">
            <v>#N/A</v>
          </cell>
          <cell r="I61" t="str">
            <v>DEVTYPEDMAG</v>
          </cell>
        </row>
        <row r="62">
          <cell r="D62">
            <v>889759</v>
          </cell>
          <cell r="E62" t="str">
            <v>EUR</v>
          </cell>
          <cell r="F62">
            <v>26.4</v>
          </cell>
          <cell r="G62" t="str">
            <v>EUR</v>
          </cell>
          <cell r="H62" t="e">
            <v>#VALUE!</v>
          </cell>
          <cell r="I62" t="str">
            <v>DEVTYPEFBLA</v>
          </cell>
        </row>
        <row r="63">
          <cell r="D63">
            <v>889762</v>
          </cell>
          <cell r="E63" t="str">
            <v>EUR</v>
          </cell>
          <cell r="F63">
            <v>26.4</v>
          </cell>
          <cell r="G63" t="str">
            <v>EUR</v>
          </cell>
          <cell r="H63" t="e">
            <v>#VALUE!</v>
          </cell>
          <cell r="I63" t="str">
            <v>DEVTYPEFCYN</v>
          </cell>
        </row>
        <row r="64">
          <cell r="D64">
            <v>889761</v>
          </cell>
          <cell r="E64" t="str">
            <v>EUR</v>
          </cell>
          <cell r="F64">
            <v>26.4</v>
          </cell>
          <cell r="G64" t="str">
            <v>EUR</v>
          </cell>
          <cell r="H64" t="e">
            <v>#VALUE!</v>
          </cell>
          <cell r="I64" t="str">
            <v>DEVTYPEFMAG</v>
          </cell>
        </row>
        <row r="65">
          <cell r="D65">
            <v>889760</v>
          </cell>
          <cell r="E65" t="str">
            <v>EUR</v>
          </cell>
          <cell r="F65">
            <v>26.4</v>
          </cell>
          <cell r="G65" t="str">
            <v>EUR</v>
          </cell>
          <cell r="H65" t="e">
            <v>#VALUE!</v>
          </cell>
          <cell r="I65" t="str">
            <v>DEVTYPEFYLW</v>
          </cell>
        </row>
        <row r="66">
          <cell r="D66">
            <v>889882</v>
          </cell>
          <cell r="E66" t="str">
            <v>EUR</v>
          </cell>
          <cell r="F66">
            <v>26.4</v>
          </cell>
          <cell r="G66" t="str">
            <v>EUR</v>
          </cell>
          <cell r="H66" t="e">
            <v>#VALUE!</v>
          </cell>
          <cell r="I66" t="str">
            <v>DEVTYPEGCYN</v>
          </cell>
        </row>
        <row r="67">
          <cell r="D67">
            <v>889881</v>
          </cell>
          <cell r="E67" t="str">
            <v>EUR</v>
          </cell>
          <cell r="F67">
            <v>26.4</v>
          </cell>
          <cell r="G67" t="str">
            <v>EUR</v>
          </cell>
          <cell r="H67" t="e">
            <v>#VALUE!</v>
          </cell>
          <cell r="I67" t="str">
            <v>DEVTYPEGMAG</v>
          </cell>
        </row>
        <row r="68">
          <cell r="D68">
            <v>889880</v>
          </cell>
          <cell r="E68" t="str">
            <v>EUR</v>
          </cell>
          <cell r="F68">
            <v>26.4</v>
          </cell>
          <cell r="G68" t="str">
            <v>EUR</v>
          </cell>
          <cell r="H68" t="e">
            <v>#VALUE!</v>
          </cell>
          <cell r="I68" t="str">
            <v>DEVTYPEGYLW</v>
          </cell>
        </row>
        <row r="69">
          <cell r="D69">
            <v>887880</v>
          </cell>
          <cell r="E69" t="str">
            <v>EUR</v>
          </cell>
          <cell r="F69">
            <v>21.59</v>
          </cell>
          <cell r="G69" t="str">
            <v>EUR</v>
          </cell>
          <cell r="H69" t="e">
            <v>#VALUE!</v>
          </cell>
          <cell r="I69" t="str">
            <v>DEVTYPEKBLA</v>
          </cell>
        </row>
        <row r="70">
          <cell r="D70">
            <v>887883</v>
          </cell>
          <cell r="E70" t="str">
            <v>EUR</v>
          </cell>
          <cell r="F70">
            <v>54.14</v>
          </cell>
          <cell r="G70" t="str">
            <v>EUR</v>
          </cell>
          <cell r="H70" t="e">
            <v>#VALUE!</v>
          </cell>
          <cell r="I70" t="str">
            <v>DEVTYPEKCYN</v>
          </cell>
        </row>
        <row r="71">
          <cell r="D71">
            <v>887882</v>
          </cell>
          <cell r="E71" t="str">
            <v>EUR</v>
          </cell>
          <cell r="F71">
            <v>54.14</v>
          </cell>
          <cell r="G71" t="str">
            <v>EUR</v>
          </cell>
          <cell r="H71" t="e">
            <v>#VALUE!</v>
          </cell>
          <cell r="I71" t="str">
            <v>DEVTYPEKMAG</v>
          </cell>
        </row>
        <row r="72">
          <cell r="D72">
            <v>887881</v>
          </cell>
          <cell r="E72" t="str">
            <v>EUR</v>
          </cell>
          <cell r="F72">
            <v>54.14</v>
          </cell>
          <cell r="G72" t="str">
            <v>EUR</v>
          </cell>
          <cell r="H72" t="e">
            <v>#VALUE!</v>
          </cell>
          <cell r="I72" t="str">
            <v>DEVTYPEKYLW</v>
          </cell>
        </row>
        <row r="73">
          <cell r="D73">
            <v>887951</v>
          </cell>
          <cell r="E73" t="str">
            <v>EUR</v>
          </cell>
          <cell r="F73">
            <v>74.69</v>
          </cell>
          <cell r="G73" t="str">
            <v>EUR</v>
          </cell>
          <cell r="H73" t="e">
            <v>#VALUE!</v>
          </cell>
          <cell r="I73" t="str">
            <v>DEVTYPELBLA</v>
          </cell>
        </row>
        <row r="74">
          <cell r="D74">
            <v>887954</v>
          </cell>
          <cell r="E74" t="str">
            <v>EUR</v>
          </cell>
          <cell r="F74">
            <v>59.74</v>
          </cell>
          <cell r="G74" t="str">
            <v>EUR</v>
          </cell>
          <cell r="H74" t="e">
            <v>#VALUE!</v>
          </cell>
          <cell r="I74" t="str">
            <v>DEVTYPELCYN</v>
          </cell>
        </row>
        <row r="75">
          <cell r="D75">
            <v>887953</v>
          </cell>
          <cell r="E75" t="str">
            <v>EUR</v>
          </cell>
          <cell r="F75">
            <v>59.74</v>
          </cell>
          <cell r="G75" t="str">
            <v>EUR</v>
          </cell>
          <cell r="H75" t="e">
            <v>#VALUE!</v>
          </cell>
          <cell r="I75" t="str">
            <v>DEVTYPELMAG</v>
          </cell>
        </row>
        <row r="76">
          <cell r="D76">
            <v>887952</v>
          </cell>
          <cell r="E76" t="str">
            <v>EUR</v>
          </cell>
          <cell r="F76">
            <v>59.74</v>
          </cell>
          <cell r="G76" t="str">
            <v>EUR</v>
          </cell>
          <cell r="H76" t="e">
            <v>#VALUE!</v>
          </cell>
          <cell r="I76" t="str">
            <v>DEVTYPELYLW</v>
          </cell>
        </row>
        <row r="77">
          <cell r="D77">
            <v>889455</v>
          </cell>
          <cell r="E77" t="str">
            <v>EUR</v>
          </cell>
          <cell r="F77">
            <v>75.930000000000007</v>
          </cell>
          <cell r="G77" t="e">
            <v>#N/A</v>
          </cell>
          <cell r="H77" t="e">
            <v>#N/A</v>
          </cell>
          <cell r="I77" t="str">
            <v>DEVTYPE1</v>
          </cell>
        </row>
        <row r="78">
          <cell r="D78">
            <v>885176</v>
          </cell>
          <cell r="E78" t="str">
            <v>EUR</v>
          </cell>
          <cell r="F78">
            <v>72.98</v>
          </cell>
          <cell r="G78" t="e">
            <v>#N/A</v>
          </cell>
          <cell r="H78" t="e">
            <v>#N/A</v>
          </cell>
          <cell r="I78" t="str">
            <v>DEVTYPE1USA</v>
          </cell>
        </row>
        <row r="79">
          <cell r="D79">
            <v>888010</v>
          </cell>
          <cell r="E79" t="str">
            <v>EUR</v>
          </cell>
          <cell r="F79">
            <v>76.89</v>
          </cell>
          <cell r="G79" t="str">
            <v>EUR</v>
          </cell>
          <cell r="H79" t="e">
            <v>#VALUE!</v>
          </cell>
          <cell r="I79" t="str">
            <v>DEVTYPE14</v>
          </cell>
        </row>
        <row r="80">
          <cell r="D80">
            <v>888002</v>
          </cell>
          <cell r="E80" t="str">
            <v>EUR</v>
          </cell>
          <cell r="F80">
            <v>186.71</v>
          </cell>
          <cell r="G80" t="str">
            <v>EUR</v>
          </cell>
          <cell r="H80" t="e">
            <v>#VALUE!</v>
          </cell>
          <cell r="I80" t="str">
            <v>DEVTYPE15</v>
          </cell>
        </row>
        <row r="81">
          <cell r="D81">
            <v>888114</v>
          </cell>
          <cell r="E81" t="str">
            <v>EUR</v>
          </cell>
          <cell r="F81">
            <v>35.54</v>
          </cell>
          <cell r="G81" t="str">
            <v>EUR</v>
          </cell>
          <cell r="H81" t="e">
            <v>#VALUE!</v>
          </cell>
          <cell r="I81" t="str">
            <v>DEVTYPE16W</v>
          </cell>
        </row>
        <row r="82">
          <cell r="D82">
            <v>888073</v>
          </cell>
          <cell r="E82" t="str">
            <v>EUR</v>
          </cell>
          <cell r="F82">
            <v>49.2</v>
          </cell>
          <cell r="G82" t="str">
            <v>EUR</v>
          </cell>
          <cell r="H82" t="e">
            <v>#VALUE!</v>
          </cell>
          <cell r="I82" t="str">
            <v>DEVTYPE18</v>
          </cell>
        </row>
        <row r="83">
          <cell r="D83">
            <v>888095</v>
          </cell>
          <cell r="E83" t="str">
            <v>EUR</v>
          </cell>
          <cell r="F83">
            <v>19.760000000000002</v>
          </cell>
          <cell r="G83" t="str">
            <v>EUR</v>
          </cell>
          <cell r="H83" t="e">
            <v>#VALUE!</v>
          </cell>
          <cell r="I83" t="str">
            <v>DEVTYPE19</v>
          </cell>
        </row>
        <row r="84">
          <cell r="D84">
            <v>887637</v>
          </cell>
          <cell r="E84" t="str">
            <v>EUR</v>
          </cell>
          <cell r="F84">
            <v>233.86</v>
          </cell>
          <cell r="G84" t="str">
            <v>EUR</v>
          </cell>
          <cell r="H84" t="e">
            <v>#VALUE!</v>
          </cell>
          <cell r="I84" t="str">
            <v>DEVTYPE2</v>
          </cell>
        </row>
        <row r="85">
          <cell r="D85">
            <v>888164</v>
          </cell>
          <cell r="E85" t="str">
            <v>EUR</v>
          </cell>
          <cell r="F85">
            <v>14.83</v>
          </cell>
          <cell r="G85" t="str">
            <v>EUR</v>
          </cell>
          <cell r="H85" t="e">
            <v>#VALUE!</v>
          </cell>
          <cell r="I85" t="str">
            <v>DEVTYPE21</v>
          </cell>
        </row>
        <row r="86">
          <cell r="D86">
            <v>885281</v>
          </cell>
          <cell r="E86" t="str">
            <v>EUR</v>
          </cell>
          <cell r="F86">
            <v>58.56</v>
          </cell>
          <cell r="G86" t="e">
            <v>#N/A</v>
          </cell>
          <cell r="H86" t="e">
            <v>#N/A</v>
          </cell>
          <cell r="I86" t="str">
            <v>DEVTYPE24</v>
          </cell>
        </row>
        <row r="87">
          <cell r="D87">
            <v>889855</v>
          </cell>
          <cell r="E87" t="str">
            <v>EUR</v>
          </cell>
          <cell r="F87">
            <v>48.36</v>
          </cell>
          <cell r="G87" t="str">
            <v>EUR</v>
          </cell>
          <cell r="H87" t="e">
            <v>#VALUE!</v>
          </cell>
          <cell r="I87" t="str">
            <v>DEVTYPE3</v>
          </cell>
        </row>
        <row r="88">
          <cell r="D88">
            <v>887733</v>
          </cell>
          <cell r="E88" t="str">
            <v>EUR</v>
          </cell>
          <cell r="F88">
            <v>189.37</v>
          </cell>
          <cell r="G88" t="str">
            <v>EUR</v>
          </cell>
          <cell r="H88" t="e">
            <v>#VALUE!</v>
          </cell>
          <cell r="I88" t="str">
            <v>DEVTYPE5</v>
          </cell>
        </row>
        <row r="89">
          <cell r="D89">
            <v>887748</v>
          </cell>
          <cell r="E89" t="str">
            <v>EUR</v>
          </cell>
          <cell r="F89">
            <v>190.58</v>
          </cell>
          <cell r="G89" t="str">
            <v>EUR</v>
          </cell>
          <cell r="H89" t="e">
            <v>#VALUE!</v>
          </cell>
          <cell r="I89" t="str">
            <v>DEVTYPE7</v>
          </cell>
        </row>
        <row r="90">
          <cell r="D90">
            <v>885164</v>
          </cell>
          <cell r="E90" t="str">
            <v>EUR</v>
          </cell>
          <cell r="F90">
            <v>318.8</v>
          </cell>
          <cell r="G90" t="e">
            <v>#N/A</v>
          </cell>
          <cell r="H90" t="e">
            <v>#N/A</v>
          </cell>
          <cell r="I90" t="str">
            <v>DEVTYPE8</v>
          </cell>
        </row>
        <row r="91">
          <cell r="D91">
            <v>887797</v>
          </cell>
          <cell r="E91" t="str">
            <v>EUR</v>
          </cell>
          <cell r="F91">
            <v>198.2</v>
          </cell>
          <cell r="G91" t="str">
            <v>EUR</v>
          </cell>
          <cell r="H91" t="e">
            <v>#VALUE!</v>
          </cell>
          <cell r="I91" t="str">
            <v>DEVTYPE9</v>
          </cell>
        </row>
        <row r="92">
          <cell r="D92">
            <v>339032</v>
          </cell>
          <cell r="E92" t="str">
            <v>EUR</v>
          </cell>
          <cell r="F92">
            <v>49.68</v>
          </cell>
          <cell r="G92" t="e">
            <v>#N/A</v>
          </cell>
          <cell r="H92" t="e">
            <v>#N/A</v>
          </cell>
          <cell r="I92" t="str">
            <v>FAXCART1200</v>
          </cell>
        </row>
        <row r="93">
          <cell r="D93">
            <v>923180</v>
          </cell>
          <cell r="E93" t="str">
            <v>EUR</v>
          </cell>
          <cell r="F93">
            <v>86.59</v>
          </cell>
          <cell r="G93" t="e">
            <v>#N/A</v>
          </cell>
          <cell r="H93" t="e">
            <v>#N/A</v>
          </cell>
          <cell r="I93" t="str">
            <v>FAXCART61BLA</v>
          </cell>
        </row>
        <row r="94">
          <cell r="D94">
            <v>923181</v>
          </cell>
          <cell r="E94" t="str">
            <v>EUR</v>
          </cell>
          <cell r="F94">
            <v>86.59</v>
          </cell>
          <cell r="G94" t="e">
            <v>#N/A</v>
          </cell>
          <cell r="H94" t="e">
            <v>#N/A</v>
          </cell>
          <cell r="I94" t="str">
            <v>FAXCART61CLR</v>
          </cell>
        </row>
        <row r="95">
          <cell r="D95">
            <v>430013</v>
          </cell>
          <cell r="E95" t="str">
            <v>EUR</v>
          </cell>
          <cell r="F95">
            <v>17.38</v>
          </cell>
          <cell r="G95" t="str">
            <v>EUR</v>
          </cell>
          <cell r="H95" t="e">
            <v>#VALUE!</v>
          </cell>
          <cell r="I95" t="str">
            <v>FAXCART68BLA</v>
          </cell>
        </row>
        <row r="96">
          <cell r="D96">
            <v>430014</v>
          </cell>
          <cell r="E96" t="str">
            <v>EUR</v>
          </cell>
          <cell r="F96">
            <v>23.88</v>
          </cell>
          <cell r="G96" t="str">
            <v>EUR</v>
          </cell>
          <cell r="H96" t="e">
            <v>#VALUE!</v>
          </cell>
          <cell r="I96" t="str">
            <v>FAXCART68CLR</v>
          </cell>
        </row>
        <row r="97">
          <cell r="D97">
            <v>334238</v>
          </cell>
          <cell r="E97" t="str">
            <v>EUR</v>
          </cell>
          <cell r="F97">
            <v>670.99</v>
          </cell>
          <cell r="G97" t="e">
            <v>#N/A</v>
          </cell>
          <cell r="H97" t="e">
            <v>#N/A</v>
          </cell>
          <cell r="I97" t="str">
            <v>FAXCART800</v>
          </cell>
        </row>
        <row r="98">
          <cell r="D98">
            <v>339353</v>
          </cell>
          <cell r="E98" t="str">
            <v>EUR</v>
          </cell>
          <cell r="F98">
            <v>857.58</v>
          </cell>
          <cell r="G98" t="e">
            <v>#N/A</v>
          </cell>
          <cell r="H98" t="e">
            <v>#N/A</v>
          </cell>
          <cell r="I98" t="str">
            <v>FAXCART88BLA</v>
          </cell>
        </row>
        <row r="99">
          <cell r="D99">
            <v>339342</v>
          </cell>
          <cell r="E99" t="str">
            <v>EUR</v>
          </cell>
          <cell r="F99">
            <v>1106.52</v>
          </cell>
          <cell r="G99" t="e">
            <v>#N/A</v>
          </cell>
          <cell r="H99" t="e">
            <v>#N/A</v>
          </cell>
          <cell r="I99" t="str">
            <v>FAXCART88CLR</v>
          </cell>
        </row>
        <row r="100">
          <cell r="D100">
            <v>894716</v>
          </cell>
          <cell r="E100" t="str">
            <v>EUR</v>
          </cell>
          <cell r="F100">
            <v>226.49</v>
          </cell>
          <cell r="G100" t="str">
            <v>EUR</v>
          </cell>
          <cell r="H100" t="e">
            <v>#VALUE!</v>
          </cell>
          <cell r="I100" t="str">
            <v>FAXMASTER100</v>
          </cell>
        </row>
        <row r="101">
          <cell r="D101">
            <v>889347</v>
          </cell>
          <cell r="E101" t="str">
            <v>EUR</v>
          </cell>
          <cell r="F101">
            <v>225.63</v>
          </cell>
          <cell r="G101" t="str">
            <v>EUR</v>
          </cell>
          <cell r="H101" t="e">
            <v>#VALUE!</v>
          </cell>
          <cell r="I101" t="str">
            <v>FAXMASTER30</v>
          </cell>
        </row>
        <row r="102">
          <cell r="D102">
            <v>339472</v>
          </cell>
          <cell r="E102" t="str">
            <v>EUR</v>
          </cell>
          <cell r="F102">
            <v>167.87</v>
          </cell>
          <cell r="G102" t="str">
            <v>EUR</v>
          </cell>
          <cell r="H102" t="e">
            <v>#VALUE!</v>
          </cell>
          <cell r="I102" t="str">
            <v>FAXMAST70</v>
          </cell>
        </row>
        <row r="103">
          <cell r="D103">
            <v>339343</v>
          </cell>
          <cell r="E103" t="str">
            <v>EUR</v>
          </cell>
          <cell r="F103">
            <v>320.61</v>
          </cell>
          <cell r="G103" t="e">
            <v>#N/A</v>
          </cell>
          <cell r="H103" t="e">
            <v>#N/A</v>
          </cell>
          <cell r="I103" t="str">
            <v>FAXREF88BLA</v>
          </cell>
        </row>
        <row r="104">
          <cell r="D104">
            <v>339344</v>
          </cell>
          <cell r="E104" t="str">
            <v>EUR</v>
          </cell>
          <cell r="F104">
            <v>758.17</v>
          </cell>
          <cell r="G104" t="e">
            <v>#N/A</v>
          </cell>
          <cell r="H104" t="e">
            <v>#N/A</v>
          </cell>
          <cell r="I104" t="str">
            <v>FAXREF88CLR</v>
          </cell>
        </row>
        <row r="105">
          <cell r="D105">
            <v>920616</v>
          </cell>
          <cell r="E105" t="str">
            <v>EUR</v>
          </cell>
          <cell r="F105">
            <v>140.30000000000001</v>
          </cell>
          <cell r="G105" t="e">
            <v>#N/A</v>
          </cell>
          <cell r="H105" t="e">
            <v>#N/A</v>
          </cell>
          <cell r="I105" t="str">
            <v>FAXRIBBON500</v>
          </cell>
        </row>
        <row r="106">
          <cell r="D106">
            <v>430244</v>
          </cell>
          <cell r="E106" t="str">
            <v>EUR</v>
          </cell>
          <cell r="F106">
            <v>40.26</v>
          </cell>
          <cell r="G106" t="str">
            <v>EUR</v>
          </cell>
          <cell r="H106" t="e">
            <v>#VALUE!</v>
          </cell>
          <cell r="I106" t="str">
            <v>FAXTNR1435CN</v>
          </cell>
        </row>
        <row r="107">
          <cell r="D107">
            <v>430159</v>
          </cell>
          <cell r="E107" t="str">
            <v>EUR</v>
          </cell>
          <cell r="F107">
            <v>36.909999999999997</v>
          </cell>
          <cell r="G107" t="e">
            <v>#N/A</v>
          </cell>
          <cell r="H107" t="e">
            <v>#N/A</v>
          </cell>
          <cell r="I107" t="str">
            <v>FAXTONER1430</v>
          </cell>
        </row>
        <row r="108">
          <cell r="D108">
            <v>887721</v>
          </cell>
          <cell r="E108" t="str">
            <v>EUR</v>
          </cell>
          <cell r="F108">
            <v>194.15</v>
          </cell>
          <cell r="G108" t="e">
            <v>#N/A</v>
          </cell>
          <cell r="H108" t="e">
            <v>#N/A</v>
          </cell>
          <cell r="I108" t="str">
            <v>FAXTONER150</v>
          </cell>
        </row>
        <row r="109">
          <cell r="D109">
            <v>889604</v>
          </cell>
          <cell r="E109" t="str">
            <v>EUR</v>
          </cell>
          <cell r="F109">
            <v>132.58000000000001</v>
          </cell>
          <cell r="G109" t="e">
            <v>#N/A</v>
          </cell>
          <cell r="H109" t="e">
            <v>#N/A</v>
          </cell>
          <cell r="I109" t="str">
            <v>FAXTONER30</v>
          </cell>
        </row>
        <row r="110">
          <cell r="D110">
            <v>430245</v>
          </cell>
          <cell r="E110" t="str">
            <v>EUR</v>
          </cell>
          <cell r="F110">
            <v>74.95</v>
          </cell>
          <cell r="G110" t="str">
            <v>EUR</v>
          </cell>
          <cell r="H110" t="e">
            <v>#VALUE!</v>
          </cell>
          <cell r="I110" t="str">
            <v>FAXTONER5210</v>
          </cell>
        </row>
        <row r="111">
          <cell r="D111">
            <v>339474</v>
          </cell>
          <cell r="E111" t="str">
            <v>EUR</v>
          </cell>
          <cell r="F111">
            <v>191.93</v>
          </cell>
          <cell r="G111" t="str">
            <v>EUR</v>
          </cell>
          <cell r="H111" t="e">
            <v>#VALUE!</v>
          </cell>
          <cell r="I111" t="str">
            <v>FAXTONER70</v>
          </cell>
        </row>
        <row r="112">
          <cell r="D112">
            <v>593901</v>
          </cell>
          <cell r="E112" t="str">
            <v>EUR</v>
          </cell>
          <cell r="F112">
            <v>45.67</v>
          </cell>
          <cell r="G112" t="e">
            <v>#N/A</v>
          </cell>
          <cell r="H112" t="e">
            <v>#N/A</v>
          </cell>
          <cell r="I112" t="str">
            <v>FAXTON1000L</v>
          </cell>
        </row>
        <row r="113">
          <cell r="D113">
            <v>430278</v>
          </cell>
          <cell r="E113" t="str">
            <v>EUR</v>
          </cell>
          <cell r="F113">
            <v>43.76</v>
          </cell>
          <cell r="G113" t="str">
            <v>EUR</v>
          </cell>
          <cell r="H113" t="e">
            <v>#VALUE!</v>
          </cell>
          <cell r="I113" t="str">
            <v>FAXTON1240CN</v>
          </cell>
        </row>
        <row r="114">
          <cell r="D114">
            <v>430382</v>
          </cell>
          <cell r="E114" t="str">
            <v>EUR</v>
          </cell>
          <cell r="F114">
            <v>43.76</v>
          </cell>
          <cell r="G114" t="e">
            <v>#N/A</v>
          </cell>
          <cell r="H114" t="e">
            <v>#N/A</v>
          </cell>
          <cell r="I114" t="str">
            <v>FAXTON1240UK</v>
          </cell>
        </row>
        <row r="115">
          <cell r="D115">
            <v>430351</v>
          </cell>
          <cell r="E115" t="str">
            <v>EUR</v>
          </cell>
          <cell r="F115">
            <v>36.21</v>
          </cell>
          <cell r="G115" t="str">
            <v>EUR</v>
          </cell>
          <cell r="H115" t="e">
            <v>#VALUE!</v>
          </cell>
          <cell r="I115" t="str">
            <v>FAXTON1260CN</v>
          </cell>
        </row>
        <row r="116">
          <cell r="D116">
            <v>430225</v>
          </cell>
          <cell r="E116" t="str">
            <v>EUR</v>
          </cell>
          <cell r="F116">
            <v>41.34</v>
          </cell>
          <cell r="G116" t="str">
            <v>EUR</v>
          </cell>
          <cell r="H116" t="e">
            <v>#VALUE!</v>
          </cell>
          <cell r="I116" t="str">
            <v>FAXTON1435CN</v>
          </cell>
        </row>
        <row r="117">
          <cell r="D117">
            <v>339481</v>
          </cell>
          <cell r="E117" t="str">
            <v>EUR</v>
          </cell>
          <cell r="F117">
            <v>177.61</v>
          </cell>
          <cell r="G117" t="e">
            <v>#N/A</v>
          </cell>
          <cell r="H117" t="e">
            <v>#N/A</v>
          </cell>
          <cell r="I117" t="str">
            <v>FAXTON150FRA</v>
          </cell>
        </row>
        <row r="118">
          <cell r="D118">
            <v>889878</v>
          </cell>
          <cell r="E118" t="str">
            <v>EUR</v>
          </cell>
          <cell r="F118">
            <v>140.43</v>
          </cell>
          <cell r="G118" t="str">
            <v>EUR</v>
          </cell>
          <cell r="H118" t="e">
            <v>#VALUE!</v>
          </cell>
          <cell r="I118" t="str">
            <v>FAXTON30TWN</v>
          </cell>
        </row>
        <row r="119">
          <cell r="D119">
            <v>207946</v>
          </cell>
          <cell r="E119" t="str">
            <v>EUR</v>
          </cell>
          <cell r="F119">
            <v>24.23</v>
          </cell>
          <cell r="G119" t="e">
            <v>#N/A</v>
          </cell>
          <cell r="H119" t="e">
            <v>#N/A</v>
          </cell>
          <cell r="I119" t="str">
            <v>FUSERSHEET</v>
          </cell>
        </row>
        <row r="120">
          <cell r="D120">
            <v>400323</v>
          </cell>
          <cell r="E120" t="str">
            <v>EUR</v>
          </cell>
          <cell r="F120">
            <v>25.32</v>
          </cell>
          <cell r="G120" t="str">
            <v>EUR</v>
          </cell>
          <cell r="H120" t="e">
            <v>#VALUE!</v>
          </cell>
          <cell r="I120" t="str">
            <v>FUSER204</v>
          </cell>
        </row>
        <row r="121">
          <cell r="D121">
            <v>889782</v>
          </cell>
          <cell r="E121" t="str">
            <v>EUR</v>
          </cell>
          <cell r="F121">
            <v>105.28</v>
          </cell>
          <cell r="G121" t="str">
            <v>EUR</v>
          </cell>
          <cell r="H121" t="e">
            <v>#VALUE!</v>
          </cell>
          <cell r="I121" t="str">
            <v>IMAGEUNIT1</v>
          </cell>
        </row>
        <row r="122">
          <cell r="D122">
            <v>208050</v>
          </cell>
          <cell r="E122" t="str">
            <v>EUR</v>
          </cell>
          <cell r="F122">
            <v>309.99</v>
          </cell>
          <cell r="G122" t="e">
            <v>#N/A</v>
          </cell>
          <cell r="H122" t="e">
            <v>#N/A</v>
          </cell>
          <cell r="I122" t="str">
            <v>LR1TONERBLA</v>
          </cell>
        </row>
        <row r="123">
          <cell r="D123">
            <v>400404</v>
          </cell>
          <cell r="E123" t="str">
            <v>EUR</v>
          </cell>
          <cell r="F123">
            <v>83.61</v>
          </cell>
          <cell r="G123" t="str">
            <v>EUR</v>
          </cell>
          <cell r="H123" t="e">
            <v>#VALUE!</v>
          </cell>
          <cell r="I123" t="str">
            <v>MAINTEN1400</v>
          </cell>
        </row>
        <row r="124">
          <cell r="D124">
            <v>400401</v>
          </cell>
          <cell r="E124" t="str">
            <v>EUR</v>
          </cell>
          <cell r="F124">
            <v>96.4</v>
          </cell>
          <cell r="G124" t="str">
            <v>EUR</v>
          </cell>
          <cell r="H124" t="e">
            <v>#VALUE!</v>
          </cell>
          <cell r="I124" t="str">
            <v>MAINTEN2000</v>
          </cell>
        </row>
        <row r="125">
          <cell r="D125">
            <v>400620</v>
          </cell>
          <cell r="E125" t="str">
            <v>EUR</v>
          </cell>
          <cell r="F125">
            <v>106.22</v>
          </cell>
          <cell r="G125" t="str">
            <v>EUR</v>
          </cell>
          <cell r="H125" t="e">
            <v>#VALUE!</v>
          </cell>
          <cell r="I125" t="str">
            <v>MAINT2600CHN</v>
          </cell>
        </row>
        <row r="126">
          <cell r="D126">
            <v>400594</v>
          </cell>
          <cell r="E126" t="str">
            <v>EUR</v>
          </cell>
          <cell r="F126">
            <v>93.2</v>
          </cell>
          <cell r="G126" t="str">
            <v>EUR</v>
          </cell>
          <cell r="H126" t="e">
            <v>#VALUE!</v>
          </cell>
          <cell r="I126" t="str">
            <v>MAINT3800A</v>
          </cell>
        </row>
        <row r="127">
          <cell r="D127">
            <v>400595</v>
          </cell>
          <cell r="E127" t="str">
            <v>EUR</v>
          </cell>
          <cell r="F127">
            <v>177.55</v>
          </cell>
          <cell r="G127" t="str">
            <v>EUR</v>
          </cell>
          <cell r="H127" t="e">
            <v>#VALUE!</v>
          </cell>
          <cell r="I127" t="str">
            <v>MAINT3800B</v>
          </cell>
        </row>
        <row r="128">
          <cell r="D128">
            <v>400569</v>
          </cell>
          <cell r="E128" t="str">
            <v>EUR</v>
          </cell>
          <cell r="F128">
            <v>195.76</v>
          </cell>
          <cell r="G128" t="str">
            <v>EUR</v>
          </cell>
          <cell r="H128" t="e">
            <v>#VALUE!</v>
          </cell>
          <cell r="I128" t="str">
            <v>MAINT3800C</v>
          </cell>
        </row>
        <row r="129">
          <cell r="D129">
            <v>400661</v>
          </cell>
          <cell r="E129" t="str">
            <v>EUR</v>
          </cell>
          <cell r="F129">
            <v>54.36</v>
          </cell>
          <cell r="G129" t="str">
            <v>EUR</v>
          </cell>
          <cell r="H129" t="e">
            <v>#VALUE!</v>
          </cell>
          <cell r="I129" t="str">
            <v>MAINT3800D</v>
          </cell>
        </row>
        <row r="130">
          <cell r="D130">
            <v>400662</v>
          </cell>
          <cell r="E130" t="str">
            <v>EUR</v>
          </cell>
          <cell r="F130">
            <v>5.19</v>
          </cell>
          <cell r="G130" t="str">
            <v>EUR</v>
          </cell>
          <cell r="H130" t="e">
            <v>#VALUE!</v>
          </cell>
          <cell r="I130" t="str">
            <v>MAINT3800E</v>
          </cell>
        </row>
        <row r="131">
          <cell r="D131">
            <v>400548</v>
          </cell>
          <cell r="E131" t="str">
            <v>EUR</v>
          </cell>
          <cell r="F131">
            <v>29.44</v>
          </cell>
          <cell r="G131" t="str">
            <v>EUR</v>
          </cell>
          <cell r="H131" t="e">
            <v>#VALUE!</v>
          </cell>
          <cell r="I131" t="str">
            <v>MAINT3800F</v>
          </cell>
        </row>
        <row r="132">
          <cell r="D132">
            <v>400549</v>
          </cell>
          <cell r="E132" t="str">
            <v>EUR</v>
          </cell>
          <cell r="F132">
            <v>27.51</v>
          </cell>
          <cell r="G132" t="str">
            <v>EUR</v>
          </cell>
          <cell r="H132" t="e">
            <v>#VALUE!</v>
          </cell>
          <cell r="I132" t="str">
            <v>MAINT3800G</v>
          </cell>
        </row>
        <row r="133">
          <cell r="D133">
            <v>400576</v>
          </cell>
          <cell r="E133" t="str">
            <v>EUR</v>
          </cell>
          <cell r="F133">
            <v>2.68</v>
          </cell>
          <cell r="G133" t="str">
            <v>EUR</v>
          </cell>
          <cell r="H133" t="e">
            <v>#VALUE!</v>
          </cell>
          <cell r="I133" t="str">
            <v>MAINT3800H</v>
          </cell>
        </row>
        <row r="134">
          <cell r="D134">
            <v>209911</v>
          </cell>
          <cell r="E134" t="str">
            <v>EUR</v>
          </cell>
          <cell r="F134">
            <v>98.6</v>
          </cell>
          <cell r="G134" t="str">
            <v>EUR</v>
          </cell>
          <cell r="H134" t="e">
            <v>#VALUE!</v>
          </cell>
          <cell r="I134" t="str">
            <v>MV250MAST</v>
          </cell>
        </row>
        <row r="135">
          <cell r="D135">
            <v>894718</v>
          </cell>
          <cell r="E135" t="str">
            <v>EUR</v>
          </cell>
          <cell r="F135">
            <v>226.49</v>
          </cell>
          <cell r="G135" t="str">
            <v>EUR</v>
          </cell>
          <cell r="H135" t="e">
            <v>#VALUE!</v>
          </cell>
          <cell r="I135" t="str">
            <v>MV300MAST</v>
          </cell>
        </row>
        <row r="136">
          <cell r="D136">
            <v>887675</v>
          </cell>
          <cell r="E136" t="str">
            <v>EUR</v>
          </cell>
          <cell r="F136">
            <v>210.8</v>
          </cell>
          <cell r="G136" t="str">
            <v>EUR</v>
          </cell>
          <cell r="H136" t="e">
            <v>#VALUE!</v>
          </cell>
          <cell r="I136" t="str">
            <v>MV300TONER</v>
          </cell>
        </row>
        <row r="137">
          <cell r="D137">
            <v>889606</v>
          </cell>
          <cell r="E137" t="str">
            <v>EUR</v>
          </cell>
          <cell r="F137">
            <v>98.42</v>
          </cell>
          <cell r="G137" t="str">
            <v>EUR</v>
          </cell>
          <cell r="H137" t="e">
            <v>#VALUE!</v>
          </cell>
          <cell r="I137" t="str">
            <v>MV80MAST</v>
          </cell>
        </row>
        <row r="138">
          <cell r="D138">
            <v>889744</v>
          </cell>
          <cell r="E138" t="str">
            <v>EUR</v>
          </cell>
          <cell r="F138">
            <v>52.05</v>
          </cell>
          <cell r="G138" t="str">
            <v>EUR</v>
          </cell>
          <cell r="H138" t="e">
            <v>#VALUE!</v>
          </cell>
          <cell r="I138" t="str">
            <v>MV80TONER</v>
          </cell>
        </row>
        <row r="139">
          <cell r="D139">
            <v>887660</v>
          </cell>
          <cell r="E139" t="str">
            <v>EUR</v>
          </cell>
          <cell r="F139">
            <v>23.59</v>
          </cell>
          <cell r="G139" t="e">
            <v>#N/A</v>
          </cell>
          <cell r="H139" t="e">
            <v>#N/A</v>
          </cell>
          <cell r="I139" t="str">
            <v>M10TONBLAUK</v>
          </cell>
        </row>
        <row r="140">
          <cell r="D140">
            <v>889351</v>
          </cell>
          <cell r="E140" t="str">
            <v>EUR</v>
          </cell>
          <cell r="F140">
            <v>121.28</v>
          </cell>
          <cell r="G140" t="str">
            <v>EUR</v>
          </cell>
          <cell r="H140" t="e">
            <v>#VALUE!</v>
          </cell>
          <cell r="I140" t="str">
            <v>M100MASTUNT2</v>
          </cell>
        </row>
        <row r="141">
          <cell r="D141">
            <v>889260</v>
          </cell>
          <cell r="E141" t="str">
            <v>EUR</v>
          </cell>
          <cell r="F141">
            <v>111.76</v>
          </cell>
          <cell r="G141" t="str">
            <v>EUR</v>
          </cell>
          <cell r="H141" t="e">
            <v>#VALUE!</v>
          </cell>
          <cell r="I141" t="str">
            <v>M5MASTUNT2</v>
          </cell>
        </row>
        <row r="142">
          <cell r="D142">
            <v>887659</v>
          </cell>
          <cell r="E142" t="str">
            <v>EUR</v>
          </cell>
          <cell r="F142">
            <v>23.59</v>
          </cell>
          <cell r="G142" t="e">
            <v>#N/A</v>
          </cell>
          <cell r="H142" t="e">
            <v>#N/A</v>
          </cell>
          <cell r="I142" t="str">
            <v>M5TONERBLAUK</v>
          </cell>
        </row>
        <row r="143">
          <cell r="D143">
            <v>887664</v>
          </cell>
          <cell r="E143" t="str">
            <v>EUR</v>
          </cell>
          <cell r="F143">
            <v>26.21</v>
          </cell>
          <cell r="G143" t="e">
            <v>#N/A</v>
          </cell>
          <cell r="H143" t="e">
            <v>#N/A</v>
          </cell>
          <cell r="I143" t="str">
            <v>M6TONERGER</v>
          </cell>
        </row>
        <row r="144">
          <cell r="D144">
            <v>889405</v>
          </cell>
          <cell r="E144" t="str">
            <v>EUR</v>
          </cell>
          <cell r="F144">
            <v>107.13</v>
          </cell>
          <cell r="G144" t="str">
            <v>EUR</v>
          </cell>
          <cell r="H144" t="e">
            <v>#VALUE!</v>
          </cell>
          <cell r="I144" t="str">
            <v>NC11DEVBLA</v>
          </cell>
        </row>
        <row r="145">
          <cell r="D145">
            <v>889408</v>
          </cell>
          <cell r="E145" t="str">
            <v>EUR</v>
          </cell>
          <cell r="F145">
            <v>45.91</v>
          </cell>
          <cell r="G145" t="str">
            <v>EUR</v>
          </cell>
          <cell r="H145" t="e">
            <v>#VALUE!</v>
          </cell>
          <cell r="I145" t="str">
            <v>NC11DEVCYN</v>
          </cell>
        </row>
        <row r="146">
          <cell r="D146">
            <v>889407</v>
          </cell>
          <cell r="E146" t="str">
            <v>EUR</v>
          </cell>
          <cell r="F146">
            <v>45.91</v>
          </cell>
          <cell r="G146" t="str">
            <v>EUR</v>
          </cell>
          <cell r="H146" t="e">
            <v>#VALUE!</v>
          </cell>
          <cell r="I146" t="str">
            <v>NC11DEVMAG</v>
          </cell>
        </row>
        <row r="147">
          <cell r="D147">
            <v>889406</v>
          </cell>
          <cell r="E147" t="str">
            <v>EUR</v>
          </cell>
          <cell r="F147">
            <v>45.91</v>
          </cell>
          <cell r="G147" t="str">
            <v>EUR</v>
          </cell>
          <cell r="H147" t="e">
            <v>#VALUE!</v>
          </cell>
          <cell r="I147" t="str">
            <v>NC11DEVYLW</v>
          </cell>
        </row>
        <row r="148">
          <cell r="D148">
            <v>887481</v>
          </cell>
          <cell r="E148" t="str">
            <v>EUR</v>
          </cell>
          <cell r="F148">
            <v>127.06</v>
          </cell>
          <cell r="G148" t="e">
            <v>#N/A</v>
          </cell>
          <cell r="H148" t="e">
            <v>#N/A</v>
          </cell>
          <cell r="I148" t="str">
            <v>NC11TONERBLA</v>
          </cell>
        </row>
        <row r="149">
          <cell r="D149">
            <v>887487</v>
          </cell>
          <cell r="E149" t="str">
            <v>EUR</v>
          </cell>
          <cell r="F149">
            <v>71.400000000000006</v>
          </cell>
          <cell r="G149" t="str">
            <v>EUR</v>
          </cell>
          <cell r="H149" t="e">
            <v>#VALUE!</v>
          </cell>
          <cell r="I149" t="str">
            <v>NC11TONERCYN</v>
          </cell>
        </row>
        <row r="150">
          <cell r="D150">
            <v>887485</v>
          </cell>
          <cell r="E150" t="str">
            <v>EUR</v>
          </cell>
          <cell r="F150">
            <v>71.400000000000006</v>
          </cell>
          <cell r="G150" t="str">
            <v>EUR</v>
          </cell>
          <cell r="H150" t="e">
            <v>#VALUE!</v>
          </cell>
          <cell r="I150" t="str">
            <v>NC11TONERMAG</v>
          </cell>
        </row>
        <row r="151">
          <cell r="D151">
            <v>887483</v>
          </cell>
          <cell r="E151" t="str">
            <v>EUR</v>
          </cell>
          <cell r="F151">
            <v>71.400000000000006</v>
          </cell>
          <cell r="G151" t="str">
            <v>EUR</v>
          </cell>
          <cell r="H151" t="e">
            <v>#VALUE!</v>
          </cell>
          <cell r="I151" t="str">
            <v>NC11TONERYLW</v>
          </cell>
        </row>
        <row r="152">
          <cell r="D152">
            <v>889526</v>
          </cell>
          <cell r="E152" t="str">
            <v>EUR</v>
          </cell>
          <cell r="F152">
            <v>93.45</v>
          </cell>
          <cell r="G152" t="str">
            <v>EUR</v>
          </cell>
          <cell r="H152" t="e">
            <v>#VALUE!</v>
          </cell>
          <cell r="I152" t="str">
            <v>NC305DEVBLA</v>
          </cell>
        </row>
        <row r="153">
          <cell r="D153">
            <v>394800</v>
          </cell>
          <cell r="E153" t="str">
            <v>EUR</v>
          </cell>
          <cell r="F153">
            <v>89.34</v>
          </cell>
          <cell r="G153" t="str">
            <v>EUR</v>
          </cell>
          <cell r="H153" t="e">
            <v>#VALUE!</v>
          </cell>
          <cell r="I153" t="str">
            <v>OPCCARTTYP12</v>
          </cell>
        </row>
        <row r="154">
          <cell r="D154">
            <v>411113</v>
          </cell>
          <cell r="E154" t="str">
            <v>EUR</v>
          </cell>
          <cell r="F154">
            <v>62.01</v>
          </cell>
          <cell r="G154" t="str">
            <v>EUR</v>
          </cell>
          <cell r="H154" t="e">
            <v>#VALUE!</v>
          </cell>
          <cell r="I154" t="str">
            <v>PCU1013CHN</v>
          </cell>
        </row>
        <row r="155">
          <cell r="D155">
            <v>411018</v>
          </cell>
          <cell r="E155" t="str">
            <v>EUR</v>
          </cell>
          <cell r="F155">
            <v>117.67</v>
          </cell>
          <cell r="G155" t="str">
            <v>EUR</v>
          </cell>
          <cell r="H155" t="e">
            <v>#VALUE!</v>
          </cell>
          <cell r="I155" t="str">
            <v>PCU1027</v>
          </cell>
        </row>
        <row r="156">
          <cell r="D156">
            <v>410423</v>
          </cell>
          <cell r="E156" t="str">
            <v>EUR</v>
          </cell>
          <cell r="F156">
            <v>122.81</v>
          </cell>
          <cell r="G156" t="str">
            <v>EUR</v>
          </cell>
          <cell r="H156" t="e">
            <v>#VALUE!</v>
          </cell>
          <cell r="I156" t="str">
            <v>PCU270</v>
          </cell>
        </row>
        <row r="157">
          <cell r="D157">
            <v>400633</v>
          </cell>
          <cell r="E157" t="str">
            <v>EUR</v>
          </cell>
          <cell r="F157">
            <v>117.67</v>
          </cell>
          <cell r="G157" t="str">
            <v>EUR</v>
          </cell>
          <cell r="H157" t="e">
            <v>#VALUE!</v>
          </cell>
          <cell r="I157" t="str">
            <v>PCU320</v>
          </cell>
        </row>
        <row r="158">
          <cell r="D158">
            <v>410509</v>
          </cell>
          <cell r="E158" t="str">
            <v>EUR</v>
          </cell>
          <cell r="F158">
            <v>54.5</v>
          </cell>
          <cell r="G158" t="str">
            <v>EUR</v>
          </cell>
          <cell r="H158" t="e">
            <v>#VALUE!</v>
          </cell>
          <cell r="I158" t="str">
            <v>STAPLEREFH</v>
          </cell>
        </row>
        <row r="159">
          <cell r="D159">
            <v>410509</v>
          </cell>
          <cell r="E159" t="str">
            <v>EUR</v>
          </cell>
          <cell r="F159">
            <v>54.27</v>
          </cell>
          <cell r="G159" t="str">
            <v>EUR</v>
          </cell>
          <cell r="H159" t="e">
            <v>#VALUE!</v>
          </cell>
          <cell r="I159" t="str">
            <v>STAPLEREFH</v>
          </cell>
        </row>
        <row r="160">
          <cell r="D160">
            <v>410802</v>
          </cell>
          <cell r="E160" t="str">
            <v>EUR</v>
          </cell>
          <cell r="F160">
            <v>27.48</v>
          </cell>
          <cell r="G160" t="str">
            <v>EUR</v>
          </cell>
          <cell r="H160" t="e">
            <v>#VALUE!</v>
          </cell>
          <cell r="I160" t="str">
            <v>STAPLEREFK</v>
          </cell>
        </row>
        <row r="161">
          <cell r="D161">
            <v>411241</v>
          </cell>
          <cell r="E161" t="str">
            <v>EUR</v>
          </cell>
          <cell r="F161">
            <v>19.75</v>
          </cell>
          <cell r="G161" t="e">
            <v>#N/A</v>
          </cell>
          <cell r="H161" t="e">
            <v>#N/A</v>
          </cell>
          <cell r="I161" t="str">
            <v>STAPLEREFL</v>
          </cell>
        </row>
        <row r="162">
          <cell r="D162">
            <v>208171</v>
          </cell>
          <cell r="E162" t="str">
            <v>EUR</v>
          </cell>
          <cell r="F162">
            <v>21.72</v>
          </cell>
          <cell r="G162" t="str">
            <v>EUR</v>
          </cell>
          <cell r="H162" t="e">
            <v>#VALUE!</v>
          </cell>
          <cell r="I162" t="str">
            <v>STAPLETYPEC</v>
          </cell>
        </row>
        <row r="163">
          <cell r="D163">
            <v>208532</v>
          </cell>
          <cell r="E163" t="str">
            <v>EUR</v>
          </cell>
          <cell r="F163">
            <v>17.37</v>
          </cell>
          <cell r="G163" t="str">
            <v>EUR</v>
          </cell>
          <cell r="H163" t="e">
            <v>#VALUE!</v>
          </cell>
          <cell r="I163" t="str">
            <v>STAPLETYPED</v>
          </cell>
        </row>
        <row r="164">
          <cell r="D164">
            <v>317927</v>
          </cell>
          <cell r="E164" t="str">
            <v>EUR</v>
          </cell>
          <cell r="F164">
            <v>15.78</v>
          </cell>
          <cell r="G164" t="str">
            <v>EUR</v>
          </cell>
          <cell r="H164" t="e">
            <v>#VALUE!</v>
          </cell>
          <cell r="I164" t="str">
            <v>STAPLETYPEE</v>
          </cell>
        </row>
        <row r="165">
          <cell r="D165">
            <v>209307</v>
          </cell>
          <cell r="E165" t="str">
            <v>EUR</v>
          </cell>
          <cell r="F165">
            <v>23.7</v>
          </cell>
          <cell r="G165" t="str">
            <v>EUR</v>
          </cell>
          <cell r="H165" t="e">
            <v>#VALUE!</v>
          </cell>
          <cell r="I165" t="str">
            <v>STAPLETYPEF</v>
          </cell>
        </row>
        <row r="166">
          <cell r="D166">
            <v>410133</v>
          </cell>
          <cell r="E166" t="str">
            <v>EUR</v>
          </cell>
          <cell r="F166">
            <v>23.7</v>
          </cell>
          <cell r="G166" t="str">
            <v>EUR</v>
          </cell>
          <cell r="H166" t="e">
            <v>#VALUE!</v>
          </cell>
          <cell r="I166" t="str">
            <v>STAPLETYPEG</v>
          </cell>
        </row>
        <row r="167">
          <cell r="D167">
            <v>410508</v>
          </cell>
          <cell r="E167" t="str">
            <v>EUR</v>
          </cell>
          <cell r="F167">
            <v>24.11</v>
          </cell>
          <cell r="G167" t="str">
            <v>EUR</v>
          </cell>
          <cell r="H167" t="e">
            <v>#VALUE!</v>
          </cell>
          <cell r="I167" t="str">
            <v>STAPLETYPEH</v>
          </cell>
        </row>
        <row r="168">
          <cell r="D168">
            <v>410597</v>
          </cell>
          <cell r="E168" t="str">
            <v>EUR</v>
          </cell>
          <cell r="F168">
            <v>27.89</v>
          </cell>
          <cell r="G168" t="str">
            <v>EUR</v>
          </cell>
          <cell r="H168" t="e">
            <v>#VALUE!</v>
          </cell>
          <cell r="I168" t="str">
            <v>STAPLETYPEJ</v>
          </cell>
        </row>
        <row r="169">
          <cell r="D169">
            <v>410801</v>
          </cell>
          <cell r="E169" t="str">
            <v>EUR</v>
          </cell>
          <cell r="F169">
            <v>15.7</v>
          </cell>
          <cell r="G169" t="str">
            <v>EUR</v>
          </cell>
          <cell r="H169" t="e">
            <v>#VALUE!</v>
          </cell>
          <cell r="I169" t="str">
            <v>STAPLETYPEK</v>
          </cell>
        </row>
        <row r="170">
          <cell r="D170">
            <v>411240</v>
          </cell>
          <cell r="E170" t="str">
            <v>EUR</v>
          </cell>
          <cell r="F170">
            <v>11.82</v>
          </cell>
          <cell r="G170" t="str">
            <v>EUR</v>
          </cell>
          <cell r="H170" t="e">
            <v>#VALUE!</v>
          </cell>
          <cell r="I170" t="str">
            <v>STAPLETYPEL</v>
          </cell>
        </row>
        <row r="171">
          <cell r="D171">
            <v>922479</v>
          </cell>
          <cell r="E171" t="str">
            <v>EUR</v>
          </cell>
          <cell r="F171">
            <v>37</v>
          </cell>
          <cell r="G171" t="e">
            <v>#N/A</v>
          </cell>
          <cell r="H171" t="e">
            <v>#N/A</v>
          </cell>
          <cell r="I171" t="str">
            <v>STAPLE85SWE</v>
          </cell>
        </row>
        <row r="172">
          <cell r="D172">
            <v>885104</v>
          </cell>
          <cell r="E172" t="str">
            <v>EUR</v>
          </cell>
          <cell r="F172">
            <v>65.459999999999994</v>
          </cell>
          <cell r="G172" t="e">
            <v>#N/A</v>
          </cell>
          <cell r="H172" t="e">
            <v>#N/A</v>
          </cell>
          <cell r="I172" t="str">
            <v>TONER10DFRA</v>
          </cell>
        </row>
        <row r="173">
          <cell r="D173">
            <v>888037</v>
          </cell>
          <cell r="E173" t="str">
            <v>EUR</v>
          </cell>
          <cell r="F173">
            <v>99</v>
          </cell>
          <cell r="G173" t="str">
            <v>EUR</v>
          </cell>
          <cell r="H173" t="e">
            <v>#VALUE!</v>
          </cell>
          <cell r="I173" t="str">
            <v>TONER105CYN</v>
          </cell>
        </row>
        <row r="174">
          <cell r="D174">
            <v>888036</v>
          </cell>
          <cell r="E174" t="str">
            <v>EUR</v>
          </cell>
          <cell r="F174">
            <v>99</v>
          </cell>
          <cell r="G174" t="str">
            <v>EUR</v>
          </cell>
          <cell r="H174" t="e">
            <v>#VALUE!</v>
          </cell>
          <cell r="I174" t="str">
            <v>TONER105MAG</v>
          </cell>
        </row>
        <row r="175">
          <cell r="D175">
            <v>888035</v>
          </cell>
          <cell r="E175" t="str">
            <v>EUR</v>
          </cell>
          <cell r="F175">
            <v>99</v>
          </cell>
          <cell r="G175" t="str">
            <v>EUR</v>
          </cell>
          <cell r="H175" t="e">
            <v>#VALUE!</v>
          </cell>
          <cell r="I175" t="str">
            <v>TONER105YLW</v>
          </cell>
        </row>
        <row r="176">
          <cell r="D176">
            <v>885109</v>
          </cell>
          <cell r="E176" t="str">
            <v>EUR</v>
          </cell>
          <cell r="F176">
            <v>47.4</v>
          </cell>
          <cell r="G176" t="e">
            <v>#N/A</v>
          </cell>
          <cell r="H176" t="e">
            <v>#N/A</v>
          </cell>
          <cell r="I176" t="str">
            <v>TONER20DEFRA</v>
          </cell>
        </row>
        <row r="177">
          <cell r="D177">
            <v>888032</v>
          </cell>
          <cell r="E177" t="str">
            <v>EUR</v>
          </cell>
          <cell r="F177">
            <v>39.42</v>
          </cell>
          <cell r="G177" t="str">
            <v>EUR</v>
          </cell>
          <cell r="H177" t="e">
            <v>#VALUE!</v>
          </cell>
          <cell r="I177" t="str">
            <v>TONER205BLA</v>
          </cell>
        </row>
        <row r="178">
          <cell r="D178">
            <v>887849</v>
          </cell>
          <cell r="E178" t="str">
            <v>EUR</v>
          </cell>
          <cell r="F178">
            <v>71.010000000000005</v>
          </cell>
          <cell r="G178" t="str">
            <v>EUR</v>
          </cell>
          <cell r="H178" t="e">
            <v>#VALUE!</v>
          </cell>
          <cell r="I178" t="str">
            <v>TONTYPEHCYN</v>
          </cell>
        </row>
        <row r="179">
          <cell r="D179">
            <v>887848</v>
          </cell>
          <cell r="E179" t="str">
            <v>EUR</v>
          </cell>
          <cell r="F179">
            <v>71.010000000000005</v>
          </cell>
          <cell r="G179" t="str">
            <v>EUR</v>
          </cell>
          <cell r="H179" t="e">
            <v>#VALUE!</v>
          </cell>
          <cell r="I179" t="str">
            <v>TONTYPEHMAG</v>
          </cell>
        </row>
        <row r="180">
          <cell r="D180">
            <v>887845</v>
          </cell>
          <cell r="E180" t="str">
            <v>EUR</v>
          </cell>
          <cell r="F180">
            <v>74.790000000000006</v>
          </cell>
          <cell r="G180" t="str">
            <v>EUR</v>
          </cell>
          <cell r="H180" t="e">
            <v>#VALUE!</v>
          </cell>
          <cell r="I180" t="str">
            <v>TONTYPEHXBLA</v>
          </cell>
        </row>
        <row r="181">
          <cell r="D181">
            <v>887847</v>
          </cell>
          <cell r="E181" t="str">
            <v>EUR</v>
          </cell>
          <cell r="F181">
            <v>71.010000000000005</v>
          </cell>
          <cell r="G181" t="str">
            <v>EUR</v>
          </cell>
          <cell r="H181" t="e">
            <v>#VALUE!</v>
          </cell>
          <cell r="I181" t="str">
            <v>TONTYPEHYLW</v>
          </cell>
        </row>
        <row r="182">
          <cell r="D182">
            <v>887813</v>
          </cell>
          <cell r="E182" t="str">
            <v>EUR</v>
          </cell>
          <cell r="F182">
            <v>82.21</v>
          </cell>
          <cell r="G182" t="str">
            <v>EUR</v>
          </cell>
          <cell r="H182" t="e">
            <v>#VALUE!</v>
          </cell>
          <cell r="I182" t="str">
            <v>TONTYPEJBLA</v>
          </cell>
        </row>
        <row r="183">
          <cell r="D183">
            <v>887816</v>
          </cell>
          <cell r="E183" t="str">
            <v>EUR</v>
          </cell>
          <cell r="F183">
            <v>91.37</v>
          </cell>
          <cell r="G183" t="str">
            <v>EUR</v>
          </cell>
          <cell r="H183" t="e">
            <v>#VALUE!</v>
          </cell>
          <cell r="I183" t="str">
            <v>TONTYPEJCYN</v>
          </cell>
        </row>
        <row r="184">
          <cell r="D184">
            <v>887815</v>
          </cell>
          <cell r="E184" t="str">
            <v>EUR</v>
          </cell>
          <cell r="F184">
            <v>91.37</v>
          </cell>
          <cell r="G184" t="str">
            <v>EUR</v>
          </cell>
          <cell r="H184" t="e">
            <v>#VALUE!</v>
          </cell>
          <cell r="I184" t="str">
            <v>TONTYPEJMAG</v>
          </cell>
        </row>
        <row r="185">
          <cell r="D185">
            <v>887814</v>
          </cell>
          <cell r="E185" t="str">
            <v>EUR</v>
          </cell>
          <cell r="F185">
            <v>91.37</v>
          </cell>
          <cell r="G185" t="str">
            <v>EUR</v>
          </cell>
          <cell r="H185" t="e">
            <v>#VALUE!</v>
          </cell>
          <cell r="I185" t="str">
            <v>TONTYPEJYLW</v>
          </cell>
        </row>
        <row r="186">
          <cell r="D186">
            <v>887914</v>
          </cell>
          <cell r="E186" t="str">
            <v>EUR</v>
          </cell>
          <cell r="F186">
            <v>46.51</v>
          </cell>
          <cell r="G186" t="str">
            <v>EUR</v>
          </cell>
          <cell r="H186" t="e">
            <v>#VALUE!</v>
          </cell>
          <cell r="I186" t="str">
            <v>TONTYPEK1BLA</v>
          </cell>
        </row>
        <row r="187">
          <cell r="D187">
            <v>887933</v>
          </cell>
          <cell r="E187" t="str">
            <v>EUR</v>
          </cell>
          <cell r="F187">
            <v>118.84</v>
          </cell>
          <cell r="G187" t="str">
            <v>EUR</v>
          </cell>
          <cell r="H187" t="e">
            <v>#VALUE!</v>
          </cell>
          <cell r="I187" t="str">
            <v>TONTYPEK1CYN</v>
          </cell>
        </row>
        <row r="188">
          <cell r="D188">
            <v>887927</v>
          </cell>
          <cell r="E188" t="str">
            <v>EUR</v>
          </cell>
          <cell r="F188">
            <v>118.84</v>
          </cell>
          <cell r="G188" t="str">
            <v>EUR</v>
          </cell>
          <cell r="H188" t="e">
            <v>#VALUE!</v>
          </cell>
          <cell r="I188" t="str">
            <v>TONTYPEK1MAG</v>
          </cell>
        </row>
        <row r="189">
          <cell r="D189">
            <v>887921</v>
          </cell>
          <cell r="E189" t="str">
            <v>EUR</v>
          </cell>
          <cell r="F189">
            <v>118.84</v>
          </cell>
          <cell r="G189" t="str">
            <v>EUR</v>
          </cell>
          <cell r="H189" t="e">
            <v>#VALUE!</v>
          </cell>
          <cell r="I189" t="str">
            <v>TONTYPEK1YLW</v>
          </cell>
        </row>
        <row r="190">
          <cell r="D190">
            <v>887890</v>
          </cell>
          <cell r="E190" t="str">
            <v>EUR</v>
          </cell>
          <cell r="F190">
            <v>124.45</v>
          </cell>
          <cell r="G190" t="str">
            <v>EUR</v>
          </cell>
          <cell r="H190" t="e">
            <v>#VALUE!</v>
          </cell>
          <cell r="I190" t="str">
            <v>TONTYPEL1BLA</v>
          </cell>
        </row>
        <row r="191">
          <cell r="D191">
            <v>887908</v>
          </cell>
          <cell r="E191" t="str">
            <v>EUR</v>
          </cell>
          <cell r="F191">
            <v>141.44999999999999</v>
          </cell>
          <cell r="G191" t="str">
            <v>EUR</v>
          </cell>
          <cell r="H191" t="e">
            <v>#VALUE!</v>
          </cell>
          <cell r="I191" t="str">
            <v>TONTYPEL1CYN</v>
          </cell>
        </row>
        <row r="192">
          <cell r="D192">
            <v>887902</v>
          </cell>
          <cell r="E192" t="str">
            <v>EUR</v>
          </cell>
          <cell r="F192">
            <v>141.44999999999999</v>
          </cell>
          <cell r="G192" t="str">
            <v>EUR</v>
          </cell>
          <cell r="H192" t="e">
            <v>#VALUE!</v>
          </cell>
          <cell r="I192" t="str">
            <v>TONTYPEL1MAG</v>
          </cell>
        </row>
        <row r="193">
          <cell r="D193">
            <v>887896</v>
          </cell>
          <cell r="E193" t="str">
            <v>EUR</v>
          </cell>
          <cell r="F193">
            <v>141.44999999999999</v>
          </cell>
          <cell r="G193" t="str">
            <v>EUR</v>
          </cell>
          <cell r="H193" t="e">
            <v>#VALUE!</v>
          </cell>
          <cell r="I193" t="str">
            <v>TONTYPEL1YLW</v>
          </cell>
        </row>
        <row r="194">
          <cell r="D194">
            <v>885165</v>
          </cell>
          <cell r="E194" t="str">
            <v>EUR</v>
          </cell>
          <cell r="F194">
            <v>50.61</v>
          </cell>
          <cell r="G194" t="e">
            <v>#N/A</v>
          </cell>
          <cell r="H194" t="e">
            <v>#N/A</v>
          </cell>
          <cell r="I194" t="str">
            <v>TONTYPE1100W</v>
          </cell>
        </row>
        <row r="195">
          <cell r="D195">
            <v>410303</v>
          </cell>
          <cell r="E195" t="str">
            <v>EUR</v>
          </cell>
          <cell r="F195">
            <v>71.95</v>
          </cell>
          <cell r="G195" t="str">
            <v>EUR</v>
          </cell>
          <cell r="H195" t="e">
            <v>#VALUE!</v>
          </cell>
          <cell r="I195" t="str">
            <v>TONTYPE185</v>
          </cell>
        </row>
        <row r="196">
          <cell r="D196">
            <v>889843</v>
          </cell>
          <cell r="E196" t="str">
            <v>EUR</v>
          </cell>
          <cell r="F196">
            <v>54.44</v>
          </cell>
          <cell r="G196" t="e">
            <v>#N/A</v>
          </cell>
          <cell r="H196" t="e">
            <v>#N/A</v>
          </cell>
          <cell r="I196" t="str">
            <v>TONTYPE20DE</v>
          </cell>
        </row>
        <row r="197">
          <cell r="D197">
            <v>394002</v>
          </cell>
          <cell r="E197" t="str">
            <v>EUR</v>
          </cell>
          <cell r="F197">
            <v>8.8800000000000008</v>
          </cell>
          <cell r="G197" t="e">
            <v>#N/A</v>
          </cell>
          <cell r="H197" t="e">
            <v>#N/A</v>
          </cell>
          <cell r="I197" t="str">
            <v>TON6000P02CH</v>
          </cell>
        </row>
        <row r="198">
          <cell r="D198">
            <v>885195</v>
          </cell>
          <cell r="E198" t="str">
            <v>EUR</v>
          </cell>
          <cell r="F198">
            <v>141.65</v>
          </cell>
          <cell r="G198" t="e">
            <v>#N/A</v>
          </cell>
          <cell r="H198" t="e">
            <v>#N/A</v>
          </cell>
          <cell r="I198" t="str">
            <v>TON6205FRA</v>
          </cell>
        </row>
        <row r="199">
          <cell r="D199">
            <v>401092</v>
          </cell>
          <cell r="E199" t="str">
            <v>EUR</v>
          </cell>
          <cell r="F199">
            <v>42.55</v>
          </cell>
          <cell r="G199" t="e">
            <v>#N/A</v>
          </cell>
          <cell r="H199" t="e">
            <v>#N/A</v>
          </cell>
          <cell r="I199" t="str">
            <v>1120DTONER</v>
          </cell>
        </row>
        <row r="200">
          <cell r="D200">
            <v>401129</v>
          </cell>
          <cell r="E200" t="str">
            <v>EUR</v>
          </cell>
          <cell r="F200">
            <v>56.73</v>
          </cell>
          <cell r="G200" t="e">
            <v>#N/A</v>
          </cell>
          <cell r="H200" t="e">
            <v>#N/A</v>
          </cell>
          <cell r="I200" t="str">
            <v>1125DTONUK</v>
          </cell>
        </row>
        <row r="201">
          <cell r="D201">
            <v>888029</v>
          </cell>
          <cell r="E201" t="str">
            <v>EUR</v>
          </cell>
          <cell r="F201">
            <v>61.33</v>
          </cell>
          <cell r="G201" t="str">
            <v>EUR</v>
          </cell>
          <cell r="H201" t="e">
            <v>#VALUE!</v>
          </cell>
          <cell r="I201" t="str">
            <v>1160WTONER</v>
          </cell>
        </row>
        <row r="202">
          <cell r="D202">
            <v>885122</v>
          </cell>
          <cell r="E202" t="str">
            <v>EUR</v>
          </cell>
          <cell r="F202">
            <v>46.34</v>
          </cell>
          <cell r="G202" t="e">
            <v>#N/A</v>
          </cell>
          <cell r="H202" t="e">
            <v>#N/A</v>
          </cell>
          <cell r="I202" t="str">
            <v>1205TONERUK</v>
          </cell>
        </row>
        <row r="203">
          <cell r="D203">
            <v>339588</v>
          </cell>
          <cell r="E203" t="str">
            <v>EUR</v>
          </cell>
          <cell r="F203">
            <v>141.93</v>
          </cell>
          <cell r="G203" t="str">
            <v>EUR</v>
          </cell>
          <cell r="H203" t="e">
            <v>#VALUE!</v>
          </cell>
          <cell r="I203" t="str">
            <v>1210DTONER</v>
          </cell>
        </row>
        <row r="204">
          <cell r="D204">
            <v>887754</v>
          </cell>
          <cell r="E204" t="str">
            <v>EUR</v>
          </cell>
          <cell r="F204">
            <v>39.6</v>
          </cell>
          <cell r="G204" t="e">
            <v>#N/A</v>
          </cell>
          <cell r="H204" t="e">
            <v>#N/A</v>
          </cell>
          <cell r="I204" t="str">
            <v>1215TONER</v>
          </cell>
        </row>
        <row r="205">
          <cell r="D205">
            <v>888078</v>
          </cell>
          <cell r="E205" t="str">
            <v>EUR</v>
          </cell>
          <cell r="F205">
            <v>37.99</v>
          </cell>
          <cell r="G205" t="str">
            <v>EUR</v>
          </cell>
          <cell r="H205" t="e">
            <v>#VALUE!</v>
          </cell>
          <cell r="I205" t="str">
            <v>1215TONERKOR</v>
          </cell>
        </row>
        <row r="206">
          <cell r="D206">
            <v>888078</v>
          </cell>
          <cell r="E206" t="str">
            <v>EUR</v>
          </cell>
          <cell r="F206">
            <v>37.1</v>
          </cell>
          <cell r="G206" t="str">
            <v>EUR</v>
          </cell>
          <cell r="H206" t="e">
            <v>#VALUE!</v>
          </cell>
          <cell r="I206" t="str">
            <v>1215TONERKOR</v>
          </cell>
        </row>
        <row r="207">
          <cell r="D207">
            <v>888087</v>
          </cell>
          <cell r="E207" t="str">
            <v>EUR</v>
          </cell>
          <cell r="F207">
            <v>12.32</v>
          </cell>
          <cell r="G207" t="str">
            <v>EUR</v>
          </cell>
          <cell r="H207" t="e">
            <v>#VALUE!</v>
          </cell>
          <cell r="I207" t="str">
            <v>1220DTONER</v>
          </cell>
        </row>
        <row r="208">
          <cell r="D208">
            <v>885258</v>
          </cell>
          <cell r="E208" t="str">
            <v>EUR</v>
          </cell>
          <cell r="F208">
            <v>9.33</v>
          </cell>
          <cell r="G208" t="e">
            <v>#N/A</v>
          </cell>
          <cell r="H208" t="e">
            <v>#N/A</v>
          </cell>
          <cell r="I208" t="str">
            <v>1250DTONER</v>
          </cell>
        </row>
        <row r="209">
          <cell r="D209">
            <v>411073</v>
          </cell>
          <cell r="E209" t="str">
            <v>EUR</v>
          </cell>
          <cell r="F209">
            <v>44.14</v>
          </cell>
          <cell r="G209" t="str">
            <v>EUR</v>
          </cell>
          <cell r="H209" t="e">
            <v>#VALUE!</v>
          </cell>
          <cell r="I209" t="str">
            <v>1255DTONCHN</v>
          </cell>
        </row>
        <row r="210">
          <cell r="D210">
            <v>887661</v>
          </cell>
          <cell r="E210" t="str">
            <v>EUR</v>
          </cell>
          <cell r="F210">
            <v>25.3</v>
          </cell>
          <cell r="G210" t="e">
            <v>#N/A</v>
          </cell>
          <cell r="H210" t="e">
            <v>#N/A</v>
          </cell>
          <cell r="I210" t="str">
            <v>2050TONBLAUK</v>
          </cell>
        </row>
        <row r="211">
          <cell r="D211">
            <v>889776</v>
          </cell>
          <cell r="E211" t="str">
            <v>EUR</v>
          </cell>
          <cell r="F211">
            <v>184.92</v>
          </cell>
          <cell r="G211" t="str">
            <v>EUR</v>
          </cell>
          <cell r="H211" t="e">
            <v>#VALUE!</v>
          </cell>
          <cell r="I211" t="str">
            <v>2200EXTONER</v>
          </cell>
        </row>
        <row r="212">
          <cell r="D212">
            <v>889614</v>
          </cell>
          <cell r="E212" t="str">
            <v>EUR</v>
          </cell>
          <cell r="F212">
            <v>47.8</v>
          </cell>
          <cell r="G212" t="str">
            <v>EUR</v>
          </cell>
          <cell r="H212" t="e">
            <v>#VALUE!</v>
          </cell>
          <cell r="I212" t="str">
            <v>2205DTONER</v>
          </cell>
        </row>
        <row r="213">
          <cell r="D213">
            <v>887977</v>
          </cell>
          <cell r="E213" t="str">
            <v>EUR</v>
          </cell>
          <cell r="F213">
            <v>71.63</v>
          </cell>
          <cell r="G213" t="e">
            <v>#N/A</v>
          </cell>
          <cell r="H213" t="e">
            <v>#N/A</v>
          </cell>
          <cell r="I213" t="str">
            <v>2210DTONER</v>
          </cell>
        </row>
        <row r="214">
          <cell r="D214">
            <v>885229</v>
          </cell>
          <cell r="E214" t="str">
            <v>EUR</v>
          </cell>
          <cell r="F214">
            <v>71.63</v>
          </cell>
          <cell r="G214" t="e">
            <v>#N/A</v>
          </cell>
          <cell r="H214" t="e">
            <v>#N/A</v>
          </cell>
          <cell r="I214" t="str">
            <v>2210DTONER2</v>
          </cell>
        </row>
        <row r="215">
          <cell r="D215">
            <v>885266</v>
          </cell>
          <cell r="E215" t="str">
            <v>EUR</v>
          </cell>
          <cell r="F215">
            <v>12.21</v>
          </cell>
          <cell r="G215" t="e">
            <v>#N/A</v>
          </cell>
          <cell r="H215" t="e">
            <v>#N/A</v>
          </cell>
          <cell r="I215" t="str">
            <v>2220DTONFRA</v>
          </cell>
        </row>
        <row r="216">
          <cell r="D216">
            <v>887620</v>
          </cell>
          <cell r="E216" t="str">
            <v>EUR</v>
          </cell>
          <cell r="F216">
            <v>28.01</v>
          </cell>
          <cell r="G216" t="e">
            <v>#N/A</v>
          </cell>
          <cell r="H216" t="e">
            <v>#N/A</v>
          </cell>
          <cell r="I216" t="str">
            <v>3000TONERUK</v>
          </cell>
        </row>
        <row r="217">
          <cell r="D217">
            <v>889268</v>
          </cell>
          <cell r="E217" t="str">
            <v>EUR</v>
          </cell>
          <cell r="F217">
            <v>32.56</v>
          </cell>
          <cell r="G217" t="str">
            <v>EUR</v>
          </cell>
          <cell r="H217" t="e">
            <v>#VALUE!</v>
          </cell>
          <cell r="I217" t="str">
            <v>310DEV</v>
          </cell>
        </row>
        <row r="218">
          <cell r="D218">
            <v>887612</v>
          </cell>
          <cell r="E218" t="str">
            <v>EUR</v>
          </cell>
          <cell r="F218">
            <v>18.05</v>
          </cell>
          <cell r="G218" t="e">
            <v>#N/A</v>
          </cell>
          <cell r="H218" t="e">
            <v>#N/A</v>
          </cell>
          <cell r="I218" t="str">
            <v>310TONERUK</v>
          </cell>
        </row>
        <row r="219">
          <cell r="D219">
            <v>887681</v>
          </cell>
          <cell r="E219" t="str">
            <v>EUR</v>
          </cell>
          <cell r="F219">
            <v>18.05</v>
          </cell>
          <cell r="G219" t="e">
            <v>#N/A</v>
          </cell>
          <cell r="H219" t="e">
            <v>#N/A</v>
          </cell>
          <cell r="I219" t="str">
            <v>320TONERUK</v>
          </cell>
        </row>
        <row r="220">
          <cell r="D220">
            <v>885137</v>
          </cell>
          <cell r="E220" t="str">
            <v>EUR</v>
          </cell>
          <cell r="F220">
            <v>97.05</v>
          </cell>
          <cell r="G220" t="e">
            <v>#N/A</v>
          </cell>
          <cell r="H220" t="e">
            <v>#N/A</v>
          </cell>
          <cell r="I220" t="str">
            <v>3200DTONFRA</v>
          </cell>
        </row>
        <row r="221">
          <cell r="D221">
            <v>885180</v>
          </cell>
          <cell r="E221" t="str">
            <v>EUR</v>
          </cell>
          <cell r="F221">
            <v>97.05</v>
          </cell>
          <cell r="G221" t="e">
            <v>#N/A</v>
          </cell>
          <cell r="H221" t="e">
            <v>#N/A</v>
          </cell>
          <cell r="I221" t="str">
            <v>3200DTONUK</v>
          </cell>
        </row>
        <row r="222">
          <cell r="D222">
            <v>888063</v>
          </cell>
          <cell r="E222" t="str">
            <v>EUR</v>
          </cell>
          <cell r="F222">
            <v>20.74</v>
          </cell>
          <cell r="G222" t="e">
            <v>#N/A</v>
          </cell>
          <cell r="H222" t="e">
            <v>#N/A</v>
          </cell>
          <cell r="I222" t="str">
            <v>3205DTONER</v>
          </cell>
        </row>
        <row r="223">
          <cell r="D223">
            <v>885251</v>
          </cell>
          <cell r="E223" t="str">
            <v>EUR</v>
          </cell>
          <cell r="F223">
            <v>20.74</v>
          </cell>
          <cell r="G223" t="e">
            <v>#N/A</v>
          </cell>
          <cell r="H223" t="e">
            <v>#N/A</v>
          </cell>
          <cell r="I223" t="str">
            <v>3205DTONFRA</v>
          </cell>
        </row>
        <row r="224">
          <cell r="D224">
            <v>889415</v>
          </cell>
          <cell r="E224" t="str">
            <v>EUR</v>
          </cell>
          <cell r="F224">
            <v>34.020000000000003</v>
          </cell>
          <cell r="G224" t="e">
            <v>#N/A</v>
          </cell>
          <cell r="H224" t="e">
            <v>#N/A</v>
          </cell>
          <cell r="I224" t="str">
            <v>3300DEVUSA</v>
          </cell>
        </row>
        <row r="225">
          <cell r="D225">
            <v>889411</v>
          </cell>
          <cell r="E225" t="str">
            <v>EUR</v>
          </cell>
          <cell r="F225">
            <v>43.24</v>
          </cell>
          <cell r="G225" t="e">
            <v>#N/A</v>
          </cell>
          <cell r="H225" t="e">
            <v>#N/A</v>
          </cell>
          <cell r="I225" t="str">
            <v>3300TONERUK</v>
          </cell>
        </row>
        <row r="226">
          <cell r="D226">
            <v>887133</v>
          </cell>
          <cell r="E226" t="str">
            <v>EUR</v>
          </cell>
          <cell r="F226">
            <v>49.15</v>
          </cell>
          <cell r="G226" t="e">
            <v>#N/A</v>
          </cell>
          <cell r="H226" t="e">
            <v>#N/A</v>
          </cell>
          <cell r="I226" t="str">
            <v>4000DEVUSA</v>
          </cell>
        </row>
        <row r="227">
          <cell r="D227">
            <v>887621</v>
          </cell>
          <cell r="E227" t="str">
            <v>EUR</v>
          </cell>
          <cell r="F227">
            <v>36.85</v>
          </cell>
          <cell r="G227" t="e">
            <v>#N/A</v>
          </cell>
          <cell r="H227" t="e">
            <v>#N/A</v>
          </cell>
          <cell r="I227" t="str">
            <v>4000TONERUK</v>
          </cell>
        </row>
        <row r="228">
          <cell r="D228">
            <v>887564</v>
          </cell>
          <cell r="E228" t="str">
            <v>EUR</v>
          </cell>
          <cell r="F228">
            <v>30.77</v>
          </cell>
          <cell r="G228" t="str">
            <v>EUR</v>
          </cell>
          <cell r="H228" t="e">
            <v>#VALUE!</v>
          </cell>
          <cell r="I228" t="str">
            <v>4418DEVBLA</v>
          </cell>
        </row>
        <row r="229">
          <cell r="D229">
            <v>887566</v>
          </cell>
          <cell r="E229" t="str">
            <v>EUR</v>
          </cell>
          <cell r="F229">
            <v>63.82</v>
          </cell>
          <cell r="G229" t="str">
            <v>EUR</v>
          </cell>
          <cell r="H229" t="e">
            <v>#VALUE!</v>
          </cell>
          <cell r="I229" t="str">
            <v>4418DEVBLU</v>
          </cell>
        </row>
        <row r="230">
          <cell r="D230">
            <v>887567</v>
          </cell>
          <cell r="E230" t="str">
            <v>EUR</v>
          </cell>
          <cell r="F230">
            <v>63.82</v>
          </cell>
          <cell r="G230" t="str">
            <v>EUR</v>
          </cell>
          <cell r="H230" t="e">
            <v>#VALUE!</v>
          </cell>
          <cell r="I230" t="str">
            <v>4418DEVGRE</v>
          </cell>
        </row>
        <row r="231">
          <cell r="D231">
            <v>887565</v>
          </cell>
          <cell r="E231" t="str">
            <v>EUR</v>
          </cell>
          <cell r="F231">
            <v>60.65</v>
          </cell>
          <cell r="G231" t="str">
            <v>EUR</v>
          </cell>
          <cell r="H231" t="e">
            <v>#VALUE!</v>
          </cell>
          <cell r="I231" t="str">
            <v>4418DEVRED</v>
          </cell>
        </row>
        <row r="232">
          <cell r="D232">
            <v>887610</v>
          </cell>
          <cell r="E232" t="str">
            <v>EUR</v>
          </cell>
          <cell r="F232">
            <v>37.83</v>
          </cell>
          <cell r="G232" t="e">
            <v>#N/A</v>
          </cell>
          <cell r="H232" t="e">
            <v>#N/A</v>
          </cell>
          <cell r="I232" t="str">
            <v>4418TONBLAUK</v>
          </cell>
        </row>
        <row r="233">
          <cell r="D233">
            <v>887530</v>
          </cell>
          <cell r="E233" t="str">
            <v>EUR</v>
          </cell>
          <cell r="F233">
            <v>43.13</v>
          </cell>
          <cell r="G233" t="str">
            <v>EUR</v>
          </cell>
          <cell r="H233" t="e">
            <v>#VALUE!</v>
          </cell>
          <cell r="I233" t="str">
            <v>4418TONERBLU</v>
          </cell>
        </row>
        <row r="234">
          <cell r="D234">
            <v>887533</v>
          </cell>
          <cell r="E234" t="str">
            <v>EUR</v>
          </cell>
          <cell r="F234">
            <v>43.13</v>
          </cell>
          <cell r="G234" t="str">
            <v>EUR</v>
          </cell>
          <cell r="H234" t="e">
            <v>#VALUE!</v>
          </cell>
          <cell r="I234" t="str">
            <v>4418TONERGRE</v>
          </cell>
        </row>
        <row r="235">
          <cell r="D235">
            <v>887527</v>
          </cell>
          <cell r="E235" t="str">
            <v>EUR</v>
          </cell>
          <cell r="F235">
            <v>43.13</v>
          </cell>
          <cell r="G235" t="str">
            <v>EUR</v>
          </cell>
          <cell r="H235" t="e">
            <v>#VALUE!</v>
          </cell>
          <cell r="I235" t="str">
            <v>4418TONERRED</v>
          </cell>
        </row>
        <row r="236">
          <cell r="D236">
            <v>887704</v>
          </cell>
          <cell r="E236" t="str">
            <v>EUR</v>
          </cell>
          <cell r="F236">
            <v>43.13</v>
          </cell>
          <cell r="G236" t="str">
            <v>EUR</v>
          </cell>
          <cell r="H236" t="e">
            <v>#VALUE!</v>
          </cell>
          <cell r="I236" t="str">
            <v>4422TONER</v>
          </cell>
        </row>
        <row r="237">
          <cell r="D237">
            <v>889490</v>
          </cell>
          <cell r="E237" t="str">
            <v>EUR</v>
          </cell>
          <cell r="F237">
            <v>31.21</v>
          </cell>
          <cell r="G237" t="e">
            <v>#N/A</v>
          </cell>
          <cell r="H237" t="e">
            <v>#N/A</v>
          </cell>
          <cell r="I237" t="str">
            <v>450TONERUK</v>
          </cell>
        </row>
        <row r="238">
          <cell r="D238">
            <v>887622</v>
          </cell>
          <cell r="E238" t="str">
            <v>EUR</v>
          </cell>
          <cell r="F238">
            <v>33.9</v>
          </cell>
          <cell r="G238" t="e">
            <v>#N/A</v>
          </cell>
          <cell r="H238" t="e">
            <v>#N/A</v>
          </cell>
          <cell r="I238" t="str">
            <v>5000TONERUK</v>
          </cell>
        </row>
        <row r="239">
          <cell r="D239">
            <v>887655</v>
          </cell>
          <cell r="E239" t="str">
            <v>EUR</v>
          </cell>
          <cell r="F239">
            <v>56.51</v>
          </cell>
          <cell r="G239" t="e">
            <v>#N/A</v>
          </cell>
          <cell r="H239" t="e">
            <v>#N/A</v>
          </cell>
          <cell r="I239" t="str">
            <v>5010TONBLUK</v>
          </cell>
        </row>
        <row r="240">
          <cell r="D240">
            <v>887616</v>
          </cell>
          <cell r="E240" t="str">
            <v>EUR</v>
          </cell>
          <cell r="F240">
            <v>37.54</v>
          </cell>
          <cell r="G240" t="e">
            <v>#N/A</v>
          </cell>
          <cell r="H240" t="e">
            <v>#N/A</v>
          </cell>
          <cell r="I240" t="str">
            <v>510TONBLAUK</v>
          </cell>
        </row>
        <row r="241">
          <cell r="D241">
            <v>887741</v>
          </cell>
          <cell r="E241" t="str">
            <v>EUR</v>
          </cell>
          <cell r="F241">
            <v>124.82</v>
          </cell>
          <cell r="G241" t="e">
            <v>#N/A</v>
          </cell>
          <cell r="H241" t="e">
            <v>#N/A</v>
          </cell>
          <cell r="I241" t="str">
            <v>5200DTONER</v>
          </cell>
        </row>
        <row r="242">
          <cell r="D242">
            <v>885190</v>
          </cell>
          <cell r="E242" t="str">
            <v>EUR</v>
          </cell>
          <cell r="F242">
            <v>117.3</v>
          </cell>
          <cell r="G242" t="e">
            <v>#N/A</v>
          </cell>
          <cell r="H242" t="e">
            <v>#N/A</v>
          </cell>
          <cell r="I242" t="str">
            <v>5200DTONFRA</v>
          </cell>
        </row>
        <row r="243">
          <cell r="D243">
            <v>887995</v>
          </cell>
          <cell r="E243" t="str">
            <v>EUR</v>
          </cell>
          <cell r="F243">
            <v>123.32</v>
          </cell>
          <cell r="G243" t="e">
            <v>#N/A</v>
          </cell>
          <cell r="H243" t="e">
            <v>#N/A</v>
          </cell>
          <cell r="I243" t="str">
            <v>5205DTONER</v>
          </cell>
        </row>
        <row r="244">
          <cell r="D244">
            <v>885241</v>
          </cell>
          <cell r="E244" t="str">
            <v>EUR</v>
          </cell>
          <cell r="F244">
            <v>123.32</v>
          </cell>
          <cell r="G244" t="e">
            <v>#N/A</v>
          </cell>
          <cell r="H244" t="e">
            <v>#N/A</v>
          </cell>
          <cell r="I244" t="str">
            <v>5205DTONER2</v>
          </cell>
        </row>
        <row r="245">
          <cell r="D245">
            <v>887642</v>
          </cell>
          <cell r="E245" t="str">
            <v>EUR</v>
          </cell>
          <cell r="F245">
            <v>113.22</v>
          </cell>
          <cell r="G245" t="e">
            <v>#N/A</v>
          </cell>
          <cell r="H245" t="e">
            <v>#N/A</v>
          </cell>
          <cell r="I245" t="str">
            <v>610TONERUK</v>
          </cell>
        </row>
        <row r="246">
          <cell r="D246">
            <v>885274</v>
          </cell>
          <cell r="E246" t="str">
            <v>EUR</v>
          </cell>
          <cell r="F246">
            <v>29.79</v>
          </cell>
          <cell r="G246" t="e">
            <v>#N/A</v>
          </cell>
          <cell r="H246" t="e">
            <v>#N/A</v>
          </cell>
          <cell r="I246" t="str">
            <v>6210DTONER</v>
          </cell>
        </row>
        <row r="247">
          <cell r="D247">
            <v>887576</v>
          </cell>
          <cell r="E247" t="str">
            <v>EUR</v>
          </cell>
          <cell r="F247">
            <v>63.8</v>
          </cell>
          <cell r="G247" t="str">
            <v>EUR</v>
          </cell>
          <cell r="H247" t="e">
            <v>#VALUE!</v>
          </cell>
          <cell r="I247" t="str">
            <v>670DEV</v>
          </cell>
        </row>
        <row r="248">
          <cell r="D248">
            <v>887571</v>
          </cell>
          <cell r="E248" t="str">
            <v>EUR</v>
          </cell>
          <cell r="F248">
            <v>45.23</v>
          </cell>
          <cell r="G248" t="e">
            <v>#N/A</v>
          </cell>
          <cell r="H248" t="e">
            <v>#N/A</v>
          </cell>
          <cell r="I248" t="str">
            <v>670TONERUSA</v>
          </cell>
        </row>
        <row r="249">
          <cell r="D249">
            <v>887447</v>
          </cell>
          <cell r="E249" t="str">
            <v>EUR</v>
          </cell>
          <cell r="F249">
            <v>468.88</v>
          </cell>
          <cell r="G249" t="str">
            <v>EUR</v>
          </cell>
          <cell r="H249" t="e">
            <v>#VALUE!</v>
          </cell>
          <cell r="I249" t="str">
            <v>800TONERBLA</v>
          </cell>
        </row>
        <row r="250">
          <cell r="D250">
            <v>889553</v>
          </cell>
          <cell r="E250" t="str">
            <v>EUR</v>
          </cell>
          <cell r="F250">
            <v>30.28</v>
          </cell>
          <cell r="G250" t="str">
            <v>EUR</v>
          </cell>
          <cell r="H250" t="e">
            <v>#VALUE!</v>
          </cell>
          <cell r="I250" t="str">
            <v>8015DEVBLA</v>
          </cell>
        </row>
        <row r="251">
          <cell r="D251">
            <v>889562</v>
          </cell>
          <cell r="E251" t="str">
            <v>EUR</v>
          </cell>
          <cell r="F251">
            <v>30.28</v>
          </cell>
          <cell r="G251" t="str">
            <v>EUR</v>
          </cell>
          <cell r="H251" t="e">
            <v>#VALUE!</v>
          </cell>
          <cell r="I251" t="str">
            <v>8015DEVCYN</v>
          </cell>
        </row>
        <row r="252">
          <cell r="D252">
            <v>889556</v>
          </cell>
          <cell r="E252" t="str">
            <v>EUR</v>
          </cell>
          <cell r="F252">
            <v>30.28</v>
          </cell>
          <cell r="G252" t="str">
            <v>EUR</v>
          </cell>
          <cell r="H252" t="e">
            <v>#VALUE!</v>
          </cell>
          <cell r="I252" t="str">
            <v>8015DEVYLW</v>
          </cell>
        </row>
        <row r="253">
          <cell r="D253">
            <v>889541</v>
          </cell>
          <cell r="E253" t="str">
            <v>EUR</v>
          </cell>
          <cell r="F253">
            <v>173.12</v>
          </cell>
          <cell r="G253" t="str">
            <v>EUR</v>
          </cell>
          <cell r="H253" t="e">
            <v>#VALUE!</v>
          </cell>
          <cell r="I253" t="str">
            <v>8015TONBLA</v>
          </cell>
        </row>
        <row r="254">
          <cell r="D254">
            <v>889550</v>
          </cell>
          <cell r="E254" t="str">
            <v>EUR</v>
          </cell>
          <cell r="F254">
            <v>173.12</v>
          </cell>
          <cell r="G254" t="str">
            <v>EUR</v>
          </cell>
          <cell r="H254" t="e">
            <v>#VALUE!</v>
          </cell>
          <cell r="I254" t="str">
            <v>8015TONCYN</v>
          </cell>
        </row>
        <row r="255">
          <cell r="D255">
            <v>889547</v>
          </cell>
          <cell r="E255" t="str">
            <v>EUR</v>
          </cell>
          <cell r="F255">
            <v>173.12</v>
          </cell>
          <cell r="G255" t="str">
            <v>EUR</v>
          </cell>
          <cell r="H255" t="e">
            <v>#VALUE!</v>
          </cell>
          <cell r="I255" t="str">
            <v>8015TONMAG</v>
          </cell>
        </row>
        <row r="256">
          <cell r="D256">
            <v>889544</v>
          </cell>
          <cell r="E256" t="str">
            <v>EUR</v>
          </cell>
          <cell r="F256">
            <v>173.12</v>
          </cell>
          <cell r="G256" t="str">
            <v>EUR</v>
          </cell>
          <cell r="H256" t="e">
            <v>#VALUE!</v>
          </cell>
          <cell r="I256" t="str">
            <v>8015TONYLW</v>
          </cell>
        </row>
        <row r="257">
          <cell r="D257">
            <v>887188</v>
          </cell>
          <cell r="E257" t="str">
            <v>EUR</v>
          </cell>
          <cell r="F257">
            <v>153.5</v>
          </cell>
          <cell r="G257" t="str">
            <v>EUR</v>
          </cell>
          <cell r="H257" t="e">
            <v>#VALUE!</v>
          </cell>
          <cell r="I257" t="str">
            <v>820DEV</v>
          </cell>
        </row>
        <row r="258">
          <cell r="D258">
            <v>888009</v>
          </cell>
          <cell r="E258" t="str">
            <v>EUR</v>
          </cell>
          <cell r="F258">
            <v>131.97999999999999</v>
          </cell>
          <cell r="G258" t="str">
            <v>EUR</v>
          </cell>
          <cell r="H258" t="e">
            <v>#VALUE!</v>
          </cell>
          <cell r="I258" t="str">
            <v>8200DTONER</v>
          </cell>
        </row>
        <row r="259">
          <cell r="D259">
            <v>888157</v>
          </cell>
          <cell r="E259" t="str">
            <v>EUR</v>
          </cell>
          <cell r="F259">
            <v>34.229999999999997</v>
          </cell>
          <cell r="G259" t="e">
            <v>#N/A</v>
          </cell>
          <cell r="H259" t="e">
            <v>#N/A</v>
          </cell>
          <cell r="I259" t="str">
            <v>8205DTONER</v>
          </cell>
        </row>
        <row r="260">
          <cell r="D260">
            <v>885344</v>
          </cell>
          <cell r="E260" t="str">
            <v>EUR</v>
          </cell>
          <cell r="F260">
            <v>34.229999999999997</v>
          </cell>
          <cell r="G260" t="e">
            <v>#N/A</v>
          </cell>
          <cell r="H260" t="e">
            <v>#N/A</v>
          </cell>
          <cell r="I260" t="str">
            <v>8205DTONFRA</v>
          </cell>
        </row>
        <row r="261">
          <cell r="D261">
            <v>889580</v>
          </cell>
          <cell r="E261" t="str">
            <v>EUR</v>
          </cell>
          <cell r="F261">
            <v>138.01</v>
          </cell>
          <cell r="G261" t="str">
            <v>EUR</v>
          </cell>
          <cell r="H261" t="e">
            <v>#VALUE!</v>
          </cell>
          <cell r="I261" t="str">
            <v>8800DEVBLA</v>
          </cell>
        </row>
        <row r="262">
          <cell r="D262">
            <v>887695</v>
          </cell>
          <cell r="E262" t="str">
            <v>EUR</v>
          </cell>
          <cell r="F262">
            <v>238.17</v>
          </cell>
          <cell r="G262" t="e">
            <v>#N/A</v>
          </cell>
          <cell r="H262" t="e">
            <v>#N/A</v>
          </cell>
          <cell r="I262" t="str">
            <v>8800TONERUK</v>
          </cell>
        </row>
        <row r="263">
          <cell r="D263">
            <v>209890</v>
          </cell>
          <cell r="E263" t="str">
            <v>EUR</v>
          </cell>
          <cell r="F263">
            <v>104.21</v>
          </cell>
          <cell r="G263" t="str">
            <v>EUR</v>
          </cell>
          <cell r="H263" t="e">
            <v>#VALUE!</v>
          </cell>
          <cell r="I263" t="str">
            <v>AF251MAST</v>
          </cell>
        </row>
        <row r="264">
          <cell r="D264">
            <v>400398</v>
          </cell>
          <cell r="E264" t="str">
            <v>EUR</v>
          </cell>
          <cell r="F264">
            <v>57.15</v>
          </cell>
          <cell r="G264" t="str">
            <v>EUR</v>
          </cell>
          <cell r="H264" t="e">
            <v>#VALUE!</v>
          </cell>
          <cell r="I264" t="str">
            <v>AP1400TONER</v>
          </cell>
        </row>
        <row r="265">
          <cell r="D265">
            <v>400679</v>
          </cell>
          <cell r="E265" t="str">
            <v>EUR</v>
          </cell>
          <cell r="F265">
            <v>143.82</v>
          </cell>
          <cell r="G265" t="e">
            <v>#N/A</v>
          </cell>
          <cell r="H265" t="e">
            <v>#N/A</v>
          </cell>
          <cell r="I265" t="str">
            <v>AP200TONCHN</v>
          </cell>
        </row>
        <row r="266">
          <cell r="D266">
            <v>400618</v>
          </cell>
          <cell r="E266" t="str">
            <v>EUR</v>
          </cell>
          <cell r="F266">
            <v>147.27000000000001</v>
          </cell>
          <cell r="G266" t="e">
            <v>#N/A</v>
          </cell>
          <cell r="H266" t="e">
            <v>#N/A</v>
          </cell>
          <cell r="I266" t="str">
            <v>AP200TONER</v>
          </cell>
        </row>
        <row r="267">
          <cell r="D267">
            <v>400395</v>
          </cell>
          <cell r="E267" t="str">
            <v>EUR</v>
          </cell>
          <cell r="F267">
            <v>95.43</v>
          </cell>
          <cell r="G267" t="str">
            <v>EUR</v>
          </cell>
          <cell r="H267" t="e">
            <v>#VALUE!</v>
          </cell>
          <cell r="I267" t="str">
            <v>AP2000TONER</v>
          </cell>
        </row>
        <row r="268">
          <cell r="D268">
            <v>400321</v>
          </cell>
          <cell r="E268" t="str">
            <v>EUR</v>
          </cell>
          <cell r="F268">
            <v>25.22</v>
          </cell>
          <cell r="G268" t="str">
            <v>EUR</v>
          </cell>
          <cell r="H268" t="e">
            <v>#VALUE!</v>
          </cell>
          <cell r="I268" t="str">
            <v>AP204OIL</v>
          </cell>
        </row>
        <row r="269">
          <cell r="D269">
            <v>400320</v>
          </cell>
          <cell r="E269" t="str">
            <v>EUR</v>
          </cell>
          <cell r="F269">
            <v>136.46</v>
          </cell>
          <cell r="G269" t="str">
            <v>EUR</v>
          </cell>
          <cell r="H269" t="e">
            <v>#VALUE!</v>
          </cell>
          <cell r="I269" t="str">
            <v>AP204PCU</v>
          </cell>
        </row>
        <row r="270">
          <cell r="D270">
            <v>400316</v>
          </cell>
          <cell r="E270" t="str">
            <v>EUR</v>
          </cell>
          <cell r="F270">
            <v>63.16</v>
          </cell>
          <cell r="G270" t="str">
            <v>EUR</v>
          </cell>
          <cell r="H270" t="e">
            <v>#VALUE!</v>
          </cell>
          <cell r="I270" t="str">
            <v>AP204TONBLA</v>
          </cell>
        </row>
        <row r="271">
          <cell r="D271">
            <v>400317</v>
          </cell>
          <cell r="E271" t="str">
            <v>EUR</v>
          </cell>
          <cell r="F271">
            <v>56.38</v>
          </cell>
          <cell r="G271" t="str">
            <v>EUR</v>
          </cell>
          <cell r="H271" t="e">
            <v>#VALUE!</v>
          </cell>
          <cell r="I271" t="str">
            <v>AP204TONCYN</v>
          </cell>
        </row>
        <row r="272">
          <cell r="D272">
            <v>400318</v>
          </cell>
          <cell r="E272" t="str">
            <v>EUR</v>
          </cell>
          <cell r="F272">
            <v>56.38</v>
          </cell>
          <cell r="G272" t="str">
            <v>EUR</v>
          </cell>
          <cell r="H272" t="e">
            <v>#VALUE!</v>
          </cell>
          <cell r="I272" t="str">
            <v>AP204TONMAG</v>
          </cell>
        </row>
        <row r="273">
          <cell r="D273">
            <v>400319</v>
          </cell>
          <cell r="E273" t="str">
            <v>EUR</v>
          </cell>
          <cell r="F273">
            <v>56.38</v>
          </cell>
          <cell r="G273" t="str">
            <v>EUR</v>
          </cell>
          <cell r="H273" t="e">
            <v>#VALUE!</v>
          </cell>
          <cell r="I273" t="str">
            <v>AP204TONYLW</v>
          </cell>
        </row>
        <row r="274">
          <cell r="D274">
            <v>400322</v>
          </cell>
          <cell r="E274" t="str">
            <v>EUR</v>
          </cell>
          <cell r="F274">
            <v>8.2799999999999994</v>
          </cell>
          <cell r="G274" t="str">
            <v>EUR</v>
          </cell>
          <cell r="H274" t="e">
            <v>#VALUE!</v>
          </cell>
          <cell r="I274" t="str">
            <v>AP204WASTE</v>
          </cell>
        </row>
        <row r="275">
          <cell r="D275">
            <v>400514</v>
          </cell>
          <cell r="E275" t="str">
            <v>EUR</v>
          </cell>
          <cell r="F275">
            <v>25.92</v>
          </cell>
          <cell r="G275" t="str">
            <v>EUR</v>
          </cell>
          <cell r="H275" t="e">
            <v>#VALUE!</v>
          </cell>
          <cell r="I275" t="str">
            <v>AP206FUSER</v>
          </cell>
        </row>
        <row r="276">
          <cell r="D276">
            <v>400511</v>
          </cell>
          <cell r="E276" t="str">
            <v>EUR</v>
          </cell>
          <cell r="F276">
            <v>151.63</v>
          </cell>
          <cell r="G276" t="str">
            <v>EUR</v>
          </cell>
          <cell r="H276" t="e">
            <v>#VALUE!</v>
          </cell>
          <cell r="I276" t="str">
            <v>AP206PCU</v>
          </cell>
        </row>
        <row r="277">
          <cell r="D277">
            <v>400507</v>
          </cell>
          <cell r="E277" t="str">
            <v>EUR</v>
          </cell>
          <cell r="F277">
            <v>73.680000000000007</v>
          </cell>
          <cell r="G277" t="str">
            <v>EUR</v>
          </cell>
          <cell r="H277" t="e">
            <v>#VALUE!</v>
          </cell>
          <cell r="I277" t="str">
            <v>AP206TONBLA</v>
          </cell>
        </row>
        <row r="278">
          <cell r="D278">
            <v>400508</v>
          </cell>
          <cell r="E278" t="str">
            <v>EUR</v>
          </cell>
          <cell r="F278">
            <v>69.739999999999995</v>
          </cell>
          <cell r="G278" t="str">
            <v>EUR</v>
          </cell>
          <cell r="H278" t="e">
            <v>#VALUE!</v>
          </cell>
          <cell r="I278" t="str">
            <v>AP206TONCYN</v>
          </cell>
        </row>
        <row r="279">
          <cell r="D279">
            <v>400509</v>
          </cell>
          <cell r="E279" t="str">
            <v>EUR</v>
          </cell>
          <cell r="F279">
            <v>69.739999999999995</v>
          </cell>
          <cell r="G279" t="str">
            <v>EUR</v>
          </cell>
          <cell r="H279" t="e">
            <v>#VALUE!</v>
          </cell>
          <cell r="I279" t="str">
            <v>AP206TONMAG</v>
          </cell>
        </row>
        <row r="280">
          <cell r="D280">
            <v>400510</v>
          </cell>
          <cell r="E280" t="str">
            <v>EUR</v>
          </cell>
          <cell r="F280">
            <v>69.739999999999995</v>
          </cell>
          <cell r="G280" t="str">
            <v>EUR</v>
          </cell>
          <cell r="H280" t="e">
            <v>#VALUE!</v>
          </cell>
          <cell r="I280" t="str">
            <v>AP206TONYLW</v>
          </cell>
        </row>
        <row r="281">
          <cell r="D281">
            <v>400513</v>
          </cell>
          <cell r="E281" t="str">
            <v>EUR</v>
          </cell>
          <cell r="F281">
            <v>8.2799999999999994</v>
          </cell>
          <cell r="G281" t="str">
            <v>EUR</v>
          </cell>
          <cell r="H281" t="e">
            <v>#VALUE!</v>
          </cell>
          <cell r="I281" t="str">
            <v>AP206WASTE</v>
          </cell>
        </row>
        <row r="282">
          <cell r="D282">
            <v>400760</v>
          </cell>
          <cell r="E282" t="str">
            <v>EUR</v>
          </cell>
          <cell r="F282">
            <v>147.27000000000001</v>
          </cell>
          <cell r="G282" t="str">
            <v>EUR</v>
          </cell>
          <cell r="H282" t="e">
            <v>#VALUE!</v>
          </cell>
          <cell r="I282" t="str">
            <v>AP215TONCHN</v>
          </cell>
        </row>
        <row r="283">
          <cell r="D283">
            <v>400342</v>
          </cell>
          <cell r="E283" t="str">
            <v>EUR</v>
          </cell>
          <cell r="F283">
            <v>17.45</v>
          </cell>
          <cell r="G283" t="e">
            <v>#N/A</v>
          </cell>
          <cell r="H283" t="e">
            <v>#N/A</v>
          </cell>
          <cell r="I283" t="str">
            <v>AP305OIL</v>
          </cell>
        </row>
        <row r="284">
          <cell r="D284">
            <v>400344</v>
          </cell>
          <cell r="E284" t="str">
            <v>EUR</v>
          </cell>
          <cell r="F284">
            <v>231.68</v>
          </cell>
          <cell r="G284" t="str">
            <v>EUR</v>
          </cell>
          <cell r="H284" t="e">
            <v>#VALUE!</v>
          </cell>
          <cell r="I284" t="str">
            <v>AP305PCU</v>
          </cell>
        </row>
        <row r="285">
          <cell r="D285">
            <v>400338</v>
          </cell>
          <cell r="E285" t="str">
            <v>EUR</v>
          </cell>
          <cell r="F285">
            <v>81</v>
          </cell>
          <cell r="G285" t="e">
            <v>#N/A</v>
          </cell>
          <cell r="H285" t="e">
            <v>#N/A</v>
          </cell>
          <cell r="I285" t="str">
            <v>AP305TONBLA</v>
          </cell>
        </row>
        <row r="286">
          <cell r="D286">
            <v>400339</v>
          </cell>
          <cell r="E286" t="str">
            <v>EUR</v>
          </cell>
          <cell r="F286">
            <v>100</v>
          </cell>
          <cell r="G286" t="e">
            <v>#N/A</v>
          </cell>
          <cell r="H286" t="e">
            <v>#N/A</v>
          </cell>
          <cell r="I286" t="str">
            <v>AP305TONCYN</v>
          </cell>
        </row>
        <row r="287">
          <cell r="D287">
            <v>400340</v>
          </cell>
          <cell r="E287" t="str">
            <v>EUR</v>
          </cell>
          <cell r="F287">
            <v>100</v>
          </cell>
          <cell r="G287" t="e">
            <v>#N/A</v>
          </cell>
          <cell r="H287" t="e">
            <v>#N/A</v>
          </cell>
          <cell r="I287" t="str">
            <v>AP305TONMAG</v>
          </cell>
        </row>
        <row r="288">
          <cell r="D288">
            <v>400341</v>
          </cell>
          <cell r="E288" t="str">
            <v>EUR</v>
          </cell>
          <cell r="F288">
            <v>100</v>
          </cell>
          <cell r="G288" t="e">
            <v>#N/A</v>
          </cell>
          <cell r="H288" t="e">
            <v>#N/A</v>
          </cell>
          <cell r="I288" t="str">
            <v>AP305TONYLW</v>
          </cell>
        </row>
        <row r="289">
          <cell r="D289">
            <v>400343</v>
          </cell>
          <cell r="E289" t="str">
            <v>EUR</v>
          </cell>
          <cell r="F289">
            <v>10.66</v>
          </cell>
          <cell r="G289" t="str">
            <v>EUR</v>
          </cell>
          <cell r="H289" t="e">
            <v>#VALUE!</v>
          </cell>
          <cell r="I289" t="str">
            <v>AP305WASTE</v>
          </cell>
        </row>
        <row r="290">
          <cell r="D290">
            <v>400496</v>
          </cell>
          <cell r="E290" t="str">
            <v>EUR</v>
          </cell>
          <cell r="F290">
            <v>14.96</v>
          </cell>
          <cell r="G290" t="str">
            <v>EUR</v>
          </cell>
          <cell r="H290" t="e">
            <v>#VALUE!</v>
          </cell>
          <cell r="I290" t="str">
            <v>AP306CHARGER</v>
          </cell>
        </row>
        <row r="291">
          <cell r="D291">
            <v>400497</v>
          </cell>
          <cell r="E291" t="str">
            <v>EUR</v>
          </cell>
          <cell r="F291">
            <v>16.7</v>
          </cell>
          <cell r="G291" t="str">
            <v>EUR</v>
          </cell>
          <cell r="H291" t="e">
            <v>#VALUE!</v>
          </cell>
          <cell r="I291" t="str">
            <v>AP306OIL</v>
          </cell>
        </row>
        <row r="292">
          <cell r="D292">
            <v>400490</v>
          </cell>
          <cell r="E292" t="str">
            <v>EUR</v>
          </cell>
          <cell r="F292">
            <v>272.57</v>
          </cell>
          <cell r="G292" t="str">
            <v>EUR</v>
          </cell>
          <cell r="H292" t="e">
            <v>#VALUE!</v>
          </cell>
          <cell r="I292" t="str">
            <v>AP306PCU</v>
          </cell>
        </row>
        <row r="293">
          <cell r="D293">
            <v>400491</v>
          </cell>
          <cell r="E293" t="str">
            <v>EUR</v>
          </cell>
          <cell r="F293">
            <v>89.65</v>
          </cell>
          <cell r="G293" t="str">
            <v>EUR</v>
          </cell>
          <cell r="H293" t="e">
            <v>#VALUE!</v>
          </cell>
          <cell r="I293" t="str">
            <v>AP306TONBLA</v>
          </cell>
        </row>
        <row r="294">
          <cell r="D294">
            <v>400492</v>
          </cell>
          <cell r="E294" t="str">
            <v>EUR</v>
          </cell>
          <cell r="F294">
            <v>110.67</v>
          </cell>
          <cell r="G294" t="str">
            <v>EUR</v>
          </cell>
          <cell r="H294" t="e">
            <v>#VALUE!</v>
          </cell>
          <cell r="I294" t="str">
            <v>AP306TONCYN</v>
          </cell>
        </row>
        <row r="295">
          <cell r="D295">
            <v>400493</v>
          </cell>
          <cell r="E295" t="str">
            <v>EUR</v>
          </cell>
          <cell r="F295">
            <v>110.67</v>
          </cell>
          <cell r="G295" t="str">
            <v>EUR</v>
          </cell>
          <cell r="H295" t="e">
            <v>#VALUE!</v>
          </cell>
          <cell r="I295" t="str">
            <v>AP306TONMAG</v>
          </cell>
        </row>
        <row r="296">
          <cell r="D296">
            <v>400494</v>
          </cell>
          <cell r="E296" t="str">
            <v>EUR</v>
          </cell>
          <cell r="F296">
            <v>110.67</v>
          </cell>
          <cell r="G296" t="str">
            <v>EUR</v>
          </cell>
          <cell r="H296" t="e">
            <v>#VALUE!</v>
          </cell>
          <cell r="I296" t="str">
            <v>AP306TONYLW</v>
          </cell>
        </row>
        <row r="297">
          <cell r="D297">
            <v>400495</v>
          </cell>
          <cell r="E297" t="str">
            <v>EUR</v>
          </cell>
          <cell r="F297">
            <v>10.45</v>
          </cell>
          <cell r="G297" t="str">
            <v>EUR</v>
          </cell>
          <cell r="H297" t="e">
            <v>#VALUE!</v>
          </cell>
          <cell r="I297" t="str">
            <v>AP306WASTE</v>
          </cell>
        </row>
        <row r="298">
          <cell r="D298">
            <v>352900</v>
          </cell>
          <cell r="E298" t="str">
            <v>EUR</v>
          </cell>
          <cell r="F298">
            <v>39.5</v>
          </cell>
          <cell r="G298" t="str">
            <v>EUR</v>
          </cell>
          <cell r="H298" t="e">
            <v>#VALUE!</v>
          </cell>
          <cell r="I298" t="str">
            <v>CHARGERKITM</v>
          </cell>
        </row>
        <row r="299">
          <cell r="D299">
            <v>889409</v>
          </cell>
          <cell r="E299" t="str">
            <v>EUR</v>
          </cell>
          <cell r="F299">
            <v>28.91</v>
          </cell>
          <cell r="G299" t="str">
            <v>EUR</v>
          </cell>
          <cell r="H299" t="e">
            <v>#VALUE!</v>
          </cell>
          <cell r="I299" t="str">
            <v>CLEANCARRIER</v>
          </cell>
        </row>
        <row r="300">
          <cell r="D300">
            <v>352822</v>
          </cell>
          <cell r="E300" t="str">
            <v>EUR</v>
          </cell>
          <cell r="F300">
            <v>70.11</v>
          </cell>
          <cell r="G300" t="str">
            <v>EUR</v>
          </cell>
          <cell r="H300" t="e">
            <v>#VALUE!</v>
          </cell>
          <cell r="I300" t="str">
            <v>CLEANM2</v>
          </cell>
        </row>
        <row r="301">
          <cell r="D301">
            <v>358810</v>
          </cell>
          <cell r="E301" t="str">
            <v>EUR</v>
          </cell>
          <cell r="F301">
            <v>32.200000000000003</v>
          </cell>
          <cell r="G301" t="e">
            <v>#N/A</v>
          </cell>
          <cell r="H301" t="e">
            <v>#N/A</v>
          </cell>
          <cell r="I301" t="str">
            <v>CLEAN6000</v>
          </cell>
        </row>
        <row r="302">
          <cell r="D302">
            <v>392000</v>
          </cell>
          <cell r="E302" t="str">
            <v>EUR</v>
          </cell>
          <cell r="F302">
            <v>64.36</v>
          </cell>
          <cell r="G302" t="str">
            <v>EUR</v>
          </cell>
          <cell r="H302" t="e">
            <v>#VALUE!</v>
          </cell>
          <cell r="I302" t="str">
            <v>DEVCART12PLS</v>
          </cell>
        </row>
        <row r="303">
          <cell r="D303">
            <v>886905</v>
          </cell>
          <cell r="E303" t="str">
            <v>EUR</v>
          </cell>
          <cell r="F303">
            <v>30.79</v>
          </cell>
          <cell r="G303" t="e">
            <v>#N/A</v>
          </cell>
          <cell r="H303" t="e">
            <v>#N/A</v>
          </cell>
          <cell r="I303" t="str">
            <v>DEVTYPEDBLA</v>
          </cell>
        </row>
        <row r="304">
          <cell r="D304">
            <v>886908</v>
          </cell>
          <cell r="E304" t="str">
            <v>EUR</v>
          </cell>
          <cell r="F304">
            <v>30.79</v>
          </cell>
          <cell r="G304" t="e">
            <v>#N/A</v>
          </cell>
          <cell r="H304" t="e">
            <v>#N/A</v>
          </cell>
          <cell r="I304" t="str">
            <v>DEVTYPEDCYN</v>
          </cell>
        </row>
        <row r="305">
          <cell r="D305">
            <v>886907</v>
          </cell>
          <cell r="E305" t="str">
            <v>EUR</v>
          </cell>
          <cell r="F305">
            <v>30.79</v>
          </cell>
          <cell r="G305" t="e">
            <v>#N/A</v>
          </cell>
          <cell r="H305" t="e">
            <v>#N/A</v>
          </cell>
          <cell r="I305" t="str">
            <v>DEVTYPEDMAG</v>
          </cell>
        </row>
        <row r="306">
          <cell r="D306">
            <v>886906</v>
          </cell>
          <cell r="E306" t="str">
            <v>EUR</v>
          </cell>
          <cell r="F306">
            <v>30.79</v>
          </cell>
          <cell r="G306" t="e">
            <v>#N/A</v>
          </cell>
          <cell r="H306" t="e">
            <v>#N/A</v>
          </cell>
          <cell r="I306" t="str">
            <v>DEVTYPEDYLW</v>
          </cell>
        </row>
        <row r="307">
          <cell r="D307">
            <v>889759</v>
          </cell>
          <cell r="E307" t="str">
            <v>EUR</v>
          </cell>
          <cell r="F307">
            <v>27.9</v>
          </cell>
          <cell r="G307" t="str">
            <v>EUR</v>
          </cell>
          <cell r="H307" t="e">
            <v>#VALUE!</v>
          </cell>
          <cell r="I307" t="str">
            <v>DEVTYPEFBLA</v>
          </cell>
        </row>
        <row r="308">
          <cell r="D308">
            <v>889762</v>
          </cell>
          <cell r="E308" t="str">
            <v>EUR</v>
          </cell>
          <cell r="F308">
            <v>27.9</v>
          </cell>
          <cell r="G308" t="str">
            <v>EUR</v>
          </cell>
          <cell r="H308" t="e">
            <v>#VALUE!</v>
          </cell>
          <cell r="I308" t="str">
            <v>DEVTYPEFCYN</v>
          </cell>
        </row>
        <row r="309">
          <cell r="D309">
            <v>889761</v>
          </cell>
          <cell r="E309" t="str">
            <v>EUR</v>
          </cell>
          <cell r="F309">
            <v>27.9</v>
          </cell>
          <cell r="G309" t="str">
            <v>EUR</v>
          </cell>
          <cell r="H309" t="e">
            <v>#VALUE!</v>
          </cell>
          <cell r="I309" t="str">
            <v>DEVTYPEFMAG</v>
          </cell>
        </row>
        <row r="310">
          <cell r="D310">
            <v>889760</v>
          </cell>
          <cell r="E310" t="str">
            <v>EUR</v>
          </cell>
          <cell r="F310">
            <v>27.9</v>
          </cell>
          <cell r="G310" t="str">
            <v>EUR</v>
          </cell>
          <cell r="H310" t="e">
            <v>#VALUE!</v>
          </cell>
          <cell r="I310" t="str">
            <v>DEVTYPEFYLW</v>
          </cell>
        </row>
        <row r="311">
          <cell r="D311">
            <v>889882</v>
          </cell>
          <cell r="E311" t="str">
            <v>EUR</v>
          </cell>
          <cell r="F311">
            <v>27.9</v>
          </cell>
          <cell r="G311" t="str">
            <v>EUR</v>
          </cell>
          <cell r="H311" t="e">
            <v>#VALUE!</v>
          </cell>
          <cell r="I311" t="str">
            <v>DEVTYPEGCYN</v>
          </cell>
        </row>
        <row r="312">
          <cell r="D312">
            <v>889881</v>
          </cell>
          <cell r="E312" t="str">
            <v>EUR</v>
          </cell>
          <cell r="F312">
            <v>27.9</v>
          </cell>
          <cell r="G312" t="str">
            <v>EUR</v>
          </cell>
          <cell r="H312" t="e">
            <v>#VALUE!</v>
          </cell>
          <cell r="I312" t="str">
            <v>DEVTYPEGMAG</v>
          </cell>
        </row>
        <row r="313">
          <cell r="D313">
            <v>889880</v>
          </cell>
          <cell r="E313" t="str">
            <v>EUR</v>
          </cell>
          <cell r="F313">
            <v>27.9</v>
          </cell>
          <cell r="G313" t="str">
            <v>EUR</v>
          </cell>
          <cell r="H313" t="e">
            <v>#VALUE!</v>
          </cell>
          <cell r="I313" t="str">
            <v>DEVTYPEGYLW</v>
          </cell>
        </row>
        <row r="314">
          <cell r="D314">
            <v>887880</v>
          </cell>
          <cell r="E314" t="str">
            <v>EUR</v>
          </cell>
          <cell r="F314">
            <v>22.82</v>
          </cell>
          <cell r="G314" t="str">
            <v>EUR</v>
          </cell>
          <cell r="H314" t="e">
            <v>#VALUE!</v>
          </cell>
          <cell r="I314" t="str">
            <v>DEVTYPEKBLA</v>
          </cell>
        </row>
        <row r="315">
          <cell r="D315">
            <v>887883</v>
          </cell>
          <cell r="E315" t="str">
            <v>EUR</v>
          </cell>
          <cell r="F315">
            <v>57.22</v>
          </cell>
          <cell r="G315" t="str">
            <v>EUR</v>
          </cell>
          <cell r="H315" t="e">
            <v>#VALUE!</v>
          </cell>
          <cell r="I315" t="str">
            <v>DEVTYPEKCYN</v>
          </cell>
        </row>
        <row r="316">
          <cell r="D316">
            <v>887882</v>
          </cell>
          <cell r="E316" t="str">
            <v>EUR</v>
          </cell>
          <cell r="F316">
            <v>57.22</v>
          </cell>
          <cell r="G316" t="str">
            <v>EUR</v>
          </cell>
          <cell r="H316" t="e">
            <v>#VALUE!</v>
          </cell>
          <cell r="I316" t="str">
            <v>DEVTYPEKMAG</v>
          </cell>
        </row>
        <row r="317">
          <cell r="D317">
            <v>887881</v>
          </cell>
          <cell r="E317" t="str">
            <v>EUR</v>
          </cell>
          <cell r="F317">
            <v>57.22</v>
          </cell>
          <cell r="G317" t="str">
            <v>EUR</v>
          </cell>
          <cell r="H317" t="e">
            <v>#VALUE!</v>
          </cell>
          <cell r="I317" t="str">
            <v>DEVTYPEKYLW</v>
          </cell>
        </row>
        <row r="318">
          <cell r="D318">
            <v>887951</v>
          </cell>
          <cell r="E318" t="str">
            <v>EUR</v>
          </cell>
          <cell r="F318">
            <v>78.94</v>
          </cell>
          <cell r="G318" t="str">
            <v>EUR</v>
          </cell>
          <cell r="H318" t="e">
            <v>#VALUE!</v>
          </cell>
          <cell r="I318" t="str">
            <v>DEVTYPELBLA</v>
          </cell>
        </row>
        <row r="319">
          <cell r="D319">
            <v>887954</v>
          </cell>
          <cell r="E319" t="str">
            <v>EUR</v>
          </cell>
          <cell r="F319">
            <v>63.14</v>
          </cell>
          <cell r="G319" t="str">
            <v>EUR</v>
          </cell>
          <cell r="H319" t="e">
            <v>#VALUE!</v>
          </cell>
          <cell r="I319" t="str">
            <v>DEVTYPELCYN</v>
          </cell>
        </row>
        <row r="320">
          <cell r="D320">
            <v>887953</v>
          </cell>
          <cell r="E320" t="str">
            <v>EUR</v>
          </cell>
          <cell r="F320">
            <v>63.14</v>
          </cell>
          <cell r="G320" t="str">
            <v>EUR</v>
          </cell>
          <cell r="H320" t="e">
            <v>#VALUE!</v>
          </cell>
          <cell r="I320" t="str">
            <v>DEVTYPELMAG</v>
          </cell>
        </row>
        <row r="321">
          <cell r="D321">
            <v>887952</v>
          </cell>
          <cell r="E321" t="str">
            <v>EUR</v>
          </cell>
          <cell r="F321">
            <v>63.14</v>
          </cell>
          <cell r="G321" t="str">
            <v>EUR</v>
          </cell>
          <cell r="H321" t="e">
            <v>#VALUE!</v>
          </cell>
          <cell r="I321" t="str">
            <v>DEVTYPELYLW</v>
          </cell>
        </row>
        <row r="322">
          <cell r="D322">
            <v>889455</v>
          </cell>
          <cell r="E322" t="str">
            <v>EUR</v>
          </cell>
          <cell r="F322">
            <v>77.13</v>
          </cell>
          <cell r="G322" t="e">
            <v>#N/A</v>
          </cell>
          <cell r="H322" t="e">
            <v>#N/A</v>
          </cell>
          <cell r="I322" t="str">
            <v>DEVTYPE1</v>
          </cell>
        </row>
        <row r="323">
          <cell r="D323">
            <v>885176</v>
          </cell>
          <cell r="E323" t="str">
            <v>EUR</v>
          </cell>
          <cell r="F323">
            <v>77.14</v>
          </cell>
          <cell r="G323" t="e">
            <v>#N/A</v>
          </cell>
          <cell r="H323" t="e">
            <v>#N/A</v>
          </cell>
          <cell r="I323" t="str">
            <v>DEVTYPE1USA</v>
          </cell>
        </row>
        <row r="324">
          <cell r="D324">
            <v>888010</v>
          </cell>
          <cell r="E324" t="str">
            <v>EUR</v>
          </cell>
          <cell r="F324">
            <v>81.510000000000005</v>
          </cell>
          <cell r="G324" t="str">
            <v>EUR</v>
          </cell>
          <cell r="H324" t="e">
            <v>#VALUE!</v>
          </cell>
          <cell r="I324" t="str">
            <v>DEVTYPE14</v>
          </cell>
        </row>
        <row r="325">
          <cell r="D325">
            <v>888002</v>
          </cell>
          <cell r="E325" t="str">
            <v>EUR</v>
          </cell>
          <cell r="F325">
            <v>197.91</v>
          </cell>
          <cell r="G325" t="str">
            <v>EUR</v>
          </cell>
          <cell r="H325" t="e">
            <v>#VALUE!</v>
          </cell>
          <cell r="I325" t="str">
            <v>DEVTYPE15</v>
          </cell>
        </row>
        <row r="326">
          <cell r="D326">
            <v>888114</v>
          </cell>
          <cell r="E326" t="str">
            <v>EUR</v>
          </cell>
          <cell r="F326">
            <v>37.68</v>
          </cell>
          <cell r="G326" t="str">
            <v>EUR</v>
          </cell>
          <cell r="H326" t="e">
            <v>#VALUE!</v>
          </cell>
          <cell r="I326" t="str">
            <v>DEVTYPE16W</v>
          </cell>
        </row>
        <row r="327">
          <cell r="D327">
            <v>888073</v>
          </cell>
          <cell r="E327" t="str">
            <v>EUR</v>
          </cell>
          <cell r="F327">
            <v>52</v>
          </cell>
          <cell r="G327" t="str">
            <v>EUR</v>
          </cell>
          <cell r="H327" t="e">
            <v>#VALUE!</v>
          </cell>
          <cell r="I327" t="str">
            <v>DEVTYPE18</v>
          </cell>
        </row>
        <row r="328">
          <cell r="D328">
            <v>888095</v>
          </cell>
          <cell r="E328" t="str">
            <v>EUR</v>
          </cell>
          <cell r="F328">
            <v>20.88</v>
          </cell>
          <cell r="G328" t="str">
            <v>EUR</v>
          </cell>
          <cell r="H328" t="e">
            <v>#VALUE!</v>
          </cell>
          <cell r="I328" t="str">
            <v>DEVTYPE19</v>
          </cell>
        </row>
        <row r="329">
          <cell r="D329">
            <v>887637</v>
          </cell>
          <cell r="E329" t="str">
            <v>EUR</v>
          </cell>
          <cell r="F329">
            <v>247.17</v>
          </cell>
          <cell r="G329" t="str">
            <v>EUR</v>
          </cell>
          <cell r="H329" t="e">
            <v>#VALUE!</v>
          </cell>
          <cell r="I329" t="str">
            <v>DEVTYPE2</v>
          </cell>
        </row>
        <row r="330">
          <cell r="D330">
            <v>888164</v>
          </cell>
          <cell r="E330" t="str">
            <v>EUR</v>
          </cell>
          <cell r="F330">
            <v>15.67</v>
          </cell>
          <cell r="G330" t="str">
            <v>EUR</v>
          </cell>
          <cell r="H330" t="e">
            <v>#VALUE!</v>
          </cell>
          <cell r="I330" t="str">
            <v>DEVTYPE21</v>
          </cell>
        </row>
        <row r="331">
          <cell r="D331">
            <v>885281</v>
          </cell>
          <cell r="E331" t="str">
            <v>EUR</v>
          </cell>
          <cell r="F331">
            <v>62.07</v>
          </cell>
          <cell r="G331" t="e">
            <v>#N/A</v>
          </cell>
          <cell r="H331" t="e">
            <v>#N/A</v>
          </cell>
          <cell r="I331" t="str">
            <v>DEVTYPE24</v>
          </cell>
        </row>
        <row r="332">
          <cell r="D332">
            <v>889855</v>
          </cell>
          <cell r="E332" t="str">
            <v>EUR</v>
          </cell>
          <cell r="F332">
            <v>51.12</v>
          </cell>
          <cell r="G332" t="str">
            <v>EUR</v>
          </cell>
          <cell r="H332" t="e">
            <v>#VALUE!</v>
          </cell>
          <cell r="I332" t="str">
            <v>DEVTYPE3</v>
          </cell>
        </row>
        <row r="333">
          <cell r="D333">
            <v>887733</v>
          </cell>
          <cell r="E333" t="str">
            <v>EUR</v>
          </cell>
          <cell r="F333">
            <v>200.15</v>
          </cell>
          <cell r="G333" t="str">
            <v>EUR</v>
          </cell>
          <cell r="H333" t="e">
            <v>#VALUE!</v>
          </cell>
          <cell r="I333" t="str">
            <v>DEVTYPE5</v>
          </cell>
        </row>
        <row r="334">
          <cell r="D334">
            <v>887748</v>
          </cell>
          <cell r="E334" t="str">
            <v>EUR</v>
          </cell>
          <cell r="F334">
            <v>201.42</v>
          </cell>
          <cell r="G334" t="str">
            <v>EUR</v>
          </cell>
          <cell r="H334" t="e">
            <v>#VALUE!</v>
          </cell>
          <cell r="I334" t="str">
            <v>DEVTYPE7</v>
          </cell>
        </row>
        <row r="335">
          <cell r="D335">
            <v>885164</v>
          </cell>
          <cell r="E335" t="str">
            <v>EUR</v>
          </cell>
          <cell r="F335">
            <v>337.93</v>
          </cell>
          <cell r="G335" t="e">
            <v>#N/A</v>
          </cell>
          <cell r="H335" t="e">
            <v>#N/A</v>
          </cell>
          <cell r="I335" t="str">
            <v>DEVTYPE8</v>
          </cell>
        </row>
        <row r="336">
          <cell r="D336">
            <v>887797</v>
          </cell>
          <cell r="E336" t="str">
            <v>EUR</v>
          </cell>
          <cell r="F336">
            <v>209.48</v>
          </cell>
          <cell r="G336" t="str">
            <v>EUR</v>
          </cell>
          <cell r="H336" t="e">
            <v>#VALUE!</v>
          </cell>
          <cell r="I336" t="str">
            <v>DEVTYPE9</v>
          </cell>
        </row>
        <row r="337">
          <cell r="D337">
            <v>339032</v>
          </cell>
          <cell r="E337" t="str">
            <v>EUR</v>
          </cell>
          <cell r="F337">
            <v>49.69</v>
          </cell>
          <cell r="G337" t="e">
            <v>#N/A</v>
          </cell>
          <cell r="H337" t="e">
            <v>#N/A</v>
          </cell>
          <cell r="I337" t="str">
            <v>FAXCART1200</v>
          </cell>
        </row>
        <row r="338">
          <cell r="D338">
            <v>923180</v>
          </cell>
          <cell r="E338" t="str">
            <v>EUR</v>
          </cell>
          <cell r="F338">
            <v>86.59</v>
          </cell>
          <cell r="G338" t="e">
            <v>#N/A</v>
          </cell>
          <cell r="H338" t="e">
            <v>#N/A</v>
          </cell>
          <cell r="I338" t="str">
            <v>FAXCART61BLA</v>
          </cell>
        </row>
        <row r="339">
          <cell r="D339">
            <v>923181</v>
          </cell>
          <cell r="E339" t="str">
            <v>EUR</v>
          </cell>
          <cell r="F339">
            <v>86.59</v>
          </cell>
          <cell r="G339" t="e">
            <v>#N/A</v>
          </cell>
          <cell r="H339" t="e">
            <v>#N/A</v>
          </cell>
          <cell r="I339" t="str">
            <v>FAXCART61CLR</v>
          </cell>
        </row>
        <row r="340">
          <cell r="D340">
            <v>430013</v>
          </cell>
          <cell r="E340" t="str">
            <v>EUR</v>
          </cell>
          <cell r="F340">
            <v>17.38</v>
          </cell>
          <cell r="G340" t="str">
            <v>EUR</v>
          </cell>
          <cell r="H340" t="e">
            <v>#VALUE!</v>
          </cell>
          <cell r="I340" t="str">
            <v>FAXCART68BLA</v>
          </cell>
        </row>
        <row r="341">
          <cell r="D341">
            <v>430014</v>
          </cell>
          <cell r="E341" t="str">
            <v>EUR</v>
          </cell>
          <cell r="F341">
            <v>24.84</v>
          </cell>
          <cell r="G341" t="str">
            <v>EUR</v>
          </cell>
          <cell r="H341" t="e">
            <v>#VALUE!</v>
          </cell>
          <cell r="I341" t="str">
            <v>FAXCART68CLR</v>
          </cell>
        </row>
        <row r="342">
          <cell r="D342">
            <v>334238</v>
          </cell>
          <cell r="E342" t="str">
            <v>EUR</v>
          </cell>
          <cell r="F342">
            <v>670.99</v>
          </cell>
          <cell r="G342" t="e">
            <v>#N/A</v>
          </cell>
          <cell r="H342" t="e">
            <v>#N/A</v>
          </cell>
          <cell r="I342" t="str">
            <v>FAXCART800</v>
          </cell>
        </row>
        <row r="343">
          <cell r="D343">
            <v>339353</v>
          </cell>
          <cell r="E343" t="str">
            <v>EUR</v>
          </cell>
          <cell r="F343">
            <v>857.58</v>
          </cell>
          <cell r="G343" t="e">
            <v>#N/A</v>
          </cell>
          <cell r="H343" t="e">
            <v>#N/A</v>
          </cell>
          <cell r="I343" t="str">
            <v>FAXCART88BLA</v>
          </cell>
        </row>
        <row r="344">
          <cell r="D344">
            <v>339342</v>
          </cell>
          <cell r="E344" t="str">
            <v>EUR</v>
          </cell>
          <cell r="F344">
            <v>1106.52</v>
          </cell>
          <cell r="G344" t="e">
            <v>#N/A</v>
          </cell>
          <cell r="H344" t="e">
            <v>#N/A</v>
          </cell>
          <cell r="I344" t="str">
            <v>FAXCART88CLR</v>
          </cell>
        </row>
        <row r="345">
          <cell r="D345">
            <v>894716</v>
          </cell>
          <cell r="E345" t="str">
            <v>EUR</v>
          </cell>
          <cell r="F345">
            <v>239.38</v>
          </cell>
          <cell r="G345" t="str">
            <v>EUR</v>
          </cell>
          <cell r="H345" t="e">
            <v>#VALUE!</v>
          </cell>
          <cell r="I345" t="str">
            <v>FAXMASTER100</v>
          </cell>
        </row>
        <row r="346">
          <cell r="D346">
            <v>889347</v>
          </cell>
          <cell r="E346" t="str">
            <v>EUR</v>
          </cell>
          <cell r="F346">
            <v>238.47</v>
          </cell>
          <cell r="G346" t="str">
            <v>EUR</v>
          </cell>
          <cell r="H346" t="e">
            <v>#VALUE!</v>
          </cell>
          <cell r="I346" t="str">
            <v>FAXMASTER30</v>
          </cell>
        </row>
        <row r="347">
          <cell r="D347">
            <v>339472</v>
          </cell>
          <cell r="E347" t="str">
            <v>EUR</v>
          </cell>
          <cell r="F347">
            <v>177.42</v>
          </cell>
          <cell r="G347" t="str">
            <v>EUR</v>
          </cell>
          <cell r="H347" t="e">
            <v>#VALUE!</v>
          </cell>
          <cell r="I347" t="str">
            <v>FAXMAST70</v>
          </cell>
        </row>
        <row r="348">
          <cell r="D348">
            <v>587450</v>
          </cell>
          <cell r="E348" t="str">
            <v>EUR</v>
          </cell>
          <cell r="F348">
            <v>34.92</v>
          </cell>
          <cell r="G348" t="str">
            <v>EUR</v>
          </cell>
          <cell r="H348" t="e">
            <v>#VALUE!</v>
          </cell>
          <cell r="I348" t="str">
            <v>FAXPAPERPF1</v>
          </cell>
        </row>
        <row r="349">
          <cell r="D349">
            <v>339343</v>
          </cell>
          <cell r="E349" t="str">
            <v>EUR</v>
          </cell>
          <cell r="F349">
            <v>310.79000000000002</v>
          </cell>
          <cell r="G349" t="e">
            <v>#N/A</v>
          </cell>
          <cell r="H349" t="e">
            <v>#N/A</v>
          </cell>
          <cell r="I349" t="str">
            <v>FAXREF88BLA</v>
          </cell>
        </row>
        <row r="350">
          <cell r="D350">
            <v>339344</v>
          </cell>
          <cell r="E350" t="str">
            <v>EUR</v>
          </cell>
          <cell r="F350">
            <v>730.83</v>
          </cell>
          <cell r="G350" t="e">
            <v>#N/A</v>
          </cell>
          <cell r="H350" t="e">
            <v>#N/A</v>
          </cell>
          <cell r="I350" t="str">
            <v>FAXREF88CLR</v>
          </cell>
        </row>
        <row r="351">
          <cell r="D351">
            <v>920616</v>
          </cell>
          <cell r="E351" t="str">
            <v>EUR</v>
          </cell>
          <cell r="F351">
            <v>140.31</v>
          </cell>
          <cell r="G351" t="e">
            <v>#N/A</v>
          </cell>
          <cell r="H351" t="e">
            <v>#N/A</v>
          </cell>
          <cell r="I351" t="str">
            <v>FAXRIBBON500</v>
          </cell>
        </row>
        <row r="352">
          <cell r="D352">
            <v>430244</v>
          </cell>
          <cell r="E352" t="str">
            <v>EUR</v>
          </cell>
          <cell r="F352">
            <v>41.02</v>
          </cell>
          <cell r="G352" t="str">
            <v>EUR</v>
          </cell>
          <cell r="H352" t="e">
            <v>#VALUE!</v>
          </cell>
          <cell r="I352" t="str">
            <v>FAXTNR1435CN</v>
          </cell>
        </row>
        <row r="353">
          <cell r="D353">
            <v>430159</v>
          </cell>
          <cell r="E353" t="str">
            <v>EUR</v>
          </cell>
          <cell r="F353">
            <v>38.450000000000003</v>
          </cell>
          <cell r="G353" t="e">
            <v>#N/A</v>
          </cell>
          <cell r="H353" t="e">
            <v>#N/A</v>
          </cell>
          <cell r="I353" t="str">
            <v>FAXTONER1430</v>
          </cell>
        </row>
        <row r="354">
          <cell r="D354">
            <v>430245</v>
          </cell>
          <cell r="E354" t="str">
            <v>EUR</v>
          </cell>
          <cell r="F354">
            <v>74.95</v>
          </cell>
          <cell r="G354" t="str">
            <v>EUR</v>
          </cell>
          <cell r="H354" t="e">
            <v>#VALUE!</v>
          </cell>
          <cell r="I354" t="str">
            <v>FAXTONER5210</v>
          </cell>
        </row>
        <row r="355">
          <cell r="D355">
            <v>339474</v>
          </cell>
          <cell r="E355" t="str">
            <v>EUR</v>
          </cell>
          <cell r="F355">
            <v>202.86</v>
          </cell>
          <cell r="G355" t="str">
            <v>EUR</v>
          </cell>
          <cell r="H355" t="e">
            <v>#VALUE!</v>
          </cell>
          <cell r="I355" t="str">
            <v>FAXTONER70</v>
          </cell>
        </row>
        <row r="356">
          <cell r="D356">
            <v>593901</v>
          </cell>
          <cell r="E356" t="str">
            <v>EUR</v>
          </cell>
          <cell r="F356">
            <v>38.93</v>
          </cell>
          <cell r="G356" t="e">
            <v>#N/A</v>
          </cell>
          <cell r="H356" t="e">
            <v>#N/A</v>
          </cell>
          <cell r="I356" t="str">
            <v>FAXTON1000L</v>
          </cell>
        </row>
        <row r="357">
          <cell r="D357">
            <v>430278</v>
          </cell>
          <cell r="E357" t="str">
            <v>EUR</v>
          </cell>
          <cell r="F357">
            <v>43.76</v>
          </cell>
          <cell r="G357" t="str">
            <v>EUR</v>
          </cell>
          <cell r="H357" t="e">
            <v>#VALUE!</v>
          </cell>
          <cell r="I357" t="str">
            <v>FAXTON1240CN</v>
          </cell>
        </row>
        <row r="358">
          <cell r="D358">
            <v>430382</v>
          </cell>
          <cell r="E358" t="str">
            <v>EUR</v>
          </cell>
          <cell r="F358">
            <v>43.76</v>
          </cell>
          <cell r="G358" t="e">
            <v>#N/A</v>
          </cell>
          <cell r="H358" t="e">
            <v>#N/A</v>
          </cell>
          <cell r="I358" t="str">
            <v>FAXTON1240UK</v>
          </cell>
        </row>
        <row r="359">
          <cell r="D359">
            <v>430351</v>
          </cell>
          <cell r="E359" t="str">
            <v>EUR</v>
          </cell>
          <cell r="F359">
            <v>36.21</v>
          </cell>
          <cell r="G359" t="str">
            <v>EUR</v>
          </cell>
          <cell r="H359" t="e">
            <v>#VALUE!</v>
          </cell>
          <cell r="I359" t="str">
            <v>FAXTON1260CN</v>
          </cell>
        </row>
        <row r="360">
          <cell r="D360">
            <v>430225</v>
          </cell>
          <cell r="E360" t="str">
            <v>EUR</v>
          </cell>
          <cell r="F360">
            <v>42.13</v>
          </cell>
          <cell r="G360" t="str">
            <v>EUR</v>
          </cell>
          <cell r="H360" t="e">
            <v>#VALUE!</v>
          </cell>
          <cell r="I360" t="str">
            <v>FAXTON1435CN</v>
          </cell>
        </row>
        <row r="361">
          <cell r="D361">
            <v>339481</v>
          </cell>
          <cell r="E361" t="str">
            <v>EUR</v>
          </cell>
          <cell r="F361">
            <v>177.61</v>
          </cell>
          <cell r="G361" t="e">
            <v>#N/A</v>
          </cell>
          <cell r="H361" t="e">
            <v>#N/A</v>
          </cell>
          <cell r="I361" t="str">
            <v>FAXTON150FRA</v>
          </cell>
        </row>
        <row r="362">
          <cell r="D362">
            <v>889878</v>
          </cell>
          <cell r="E362" t="str">
            <v>EUR</v>
          </cell>
          <cell r="F362">
            <v>148.43</v>
          </cell>
          <cell r="G362" t="str">
            <v>EUR</v>
          </cell>
          <cell r="H362" t="e">
            <v>#VALUE!</v>
          </cell>
          <cell r="I362" t="str">
            <v>FAXTON30TWN</v>
          </cell>
        </row>
        <row r="363">
          <cell r="D363">
            <v>207946</v>
          </cell>
          <cell r="E363" t="str">
            <v>EUR</v>
          </cell>
          <cell r="F363">
            <v>25.6</v>
          </cell>
          <cell r="G363" t="e">
            <v>#N/A</v>
          </cell>
          <cell r="H363" t="e">
            <v>#N/A</v>
          </cell>
          <cell r="I363" t="str">
            <v>FUSERSHEET</v>
          </cell>
        </row>
        <row r="364">
          <cell r="D364">
            <v>400323</v>
          </cell>
          <cell r="E364" t="str">
            <v>EUR</v>
          </cell>
          <cell r="F364">
            <v>25.32</v>
          </cell>
          <cell r="G364" t="str">
            <v>EUR</v>
          </cell>
          <cell r="H364" t="e">
            <v>#VALUE!</v>
          </cell>
          <cell r="I364" t="str">
            <v>FUSER204</v>
          </cell>
        </row>
        <row r="365">
          <cell r="D365">
            <v>889782</v>
          </cell>
          <cell r="E365" t="str">
            <v>EUR</v>
          </cell>
          <cell r="F365">
            <v>111.27</v>
          </cell>
          <cell r="G365" t="str">
            <v>EUR</v>
          </cell>
          <cell r="H365" t="e">
            <v>#VALUE!</v>
          </cell>
          <cell r="I365" t="str">
            <v>IMAGEUNIT1</v>
          </cell>
        </row>
        <row r="366">
          <cell r="D366">
            <v>366490</v>
          </cell>
          <cell r="E366" t="str">
            <v>EUR</v>
          </cell>
          <cell r="F366">
            <v>181.62</v>
          </cell>
          <cell r="G366" t="e">
            <v>#N/A</v>
          </cell>
          <cell r="H366" t="e">
            <v>#N/A</v>
          </cell>
          <cell r="I366" t="str">
            <v>INKROLLED410</v>
          </cell>
        </row>
        <row r="367">
          <cell r="D367">
            <v>400441</v>
          </cell>
          <cell r="E367" t="str">
            <v>EUR</v>
          </cell>
          <cell r="F367">
            <v>163.19</v>
          </cell>
          <cell r="G367" t="str">
            <v>EUR</v>
          </cell>
          <cell r="H367" t="e">
            <v>#VALUE!</v>
          </cell>
          <cell r="I367" t="str">
            <v>INKROLLTYPEA</v>
          </cell>
        </row>
        <row r="368">
          <cell r="D368">
            <v>208050</v>
          </cell>
          <cell r="E368" t="str">
            <v>EUR</v>
          </cell>
          <cell r="F368">
            <v>310</v>
          </cell>
          <cell r="G368" t="e">
            <v>#N/A</v>
          </cell>
          <cell r="H368" t="e">
            <v>#N/A</v>
          </cell>
          <cell r="I368" t="str">
            <v>LR1TONERBLA</v>
          </cell>
        </row>
        <row r="369">
          <cell r="D369">
            <v>208047</v>
          </cell>
          <cell r="E369" t="str">
            <v>EUR</v>
          </cell>
          <cell r="F369">
            <v>211.28</v>
          </cell>
          <cell r="G369" t="e">
            <v>#N/A</v>
          </cell>
          <cell r="H369" t="e">
            <v>#N/A</v>
          </cell>
          <cell r="I369" t="str">
            <v>LR1TONERBLU</v>
          </cell>
        </row>
        <row r="370">
          <cell r="D370">
            <v>208048</v>
          </cell>
          <cell r="E370" t="str">
            <v>EUR</v>
          </cell>
          <cell r="F370">
            <v>211.28</v>
          </cell>
          <cell r="G370" t="e">
            <v>#N/A</v>
          </cell>
          <cell r="H370" t="e">
            <v>#N/A</v>
          </cell>
          <cell r="I370" t="str">
            <v>LR1TONERGRE</v>
          </cell>
        </row>
        <row r="371">
          <cell r="D371">
            <v>208046</v>
          </cell>
          <cell r="E371" t="str">
            <v>EUR</v>
          </cell>
          <cell r="F371">
            <v>211.28</v>
          </cell>
          <cell r="G371" t="e">
            <v>#N/A</v>
          </cell>
          <cell r="H371" t="e">
            <v>#N/A</v>
          </cell>
          <cell r="I371" t="str">
            <v>LR1TONERRED</v>
          </cell>
        </row>
        <row r="372">
          <cell r="D372">
            <v>208049</v>
          </cell>
          <cell r="E372" t="str">
            <v>EUR</v>
          </cell>
          <cell r="F372">
            <v>211.28</v>
          </cell>
          <cell r="G372" t="e">
            <v>#N/A</v>
          </cell>
          <cell r="H372" t="e">
            <v>#N/A</v>
          </cell>
          <cell r="I372" t="str">
            <v>LR1TONERSEP</v>
          </cell>
        </row>
        <row r="373">
          <cell r="D373">
            <v>400404</v>
          </cell>
          <cell r="E373" t="str">
            <v>EUR</v>
          </cell>
          <cell r="F373">
            <v>83.61</v>
          </cell>
          <cell r="G373" t="str">
            <v>EUR</v>
          </cell>
          <cell r="H373" t="e">
            <v>#VALUE!</v>
          </cell>
          <cell r="I373" t="str">
            <v>MAINTEN1400</v>
          </cell>
        </row>
        <row r="374">
          <cell r="D374">
            <v>400401</v>
          </cell>
          <cell r="E374" t="str">
            <v>EUR</v>
          </cell>
          <cell r="F374">
            <v>96.4</v>
          </cell>
          <cell r="G374" t="str">
            <v>EUR</v>
          </cell>
          <cell r="H374" t="e">
            <v>#VALUE!</v>
          </cell>
          <cell r="I374" t="str">
            <v>MAINTEN2000</v>
          </cell>
        </row>
        <row r="375">
          <cell r="D375">
            <v>400620</v>
          </cell>
          <cell r="E375" t="str">
            <v>EUR</v>
          </cell>
          <cell r="F375">
            <v>106.22</v>
          </cell>
          <cell r="G375" t="str">
            <v>EUR</v>
          </cell>
          <cell r="H375" t="e">
            <v>#VALUE!</v>
          </cell>
          <cell r="I375" t="str">
            <v>MAINT2600CHN</v>
          </cell>
        </row>
        <row r="376">
          <cell r="D376">
            <v>400594</v>
          </cell>
          <cell r="E376" t="str">
            <v>EUR</v>
          </cell>
          <cell r="F376">
            <v>93.2</v>
          </cell>
          <cell r="G376" t="str">
            <v>EUR</v>
          </cell>
          <cell r="H376" t="e">
            <v>#VALUE!</v>
          </cell>
          <cell r="I376" t="str">
            <v>MAINT3800A</v>
          </cell>
        </row>
        <row r="377">
          <cell r="D377">
            <v>400595</v>
          </cell>
          <cell r="E377" t="str">
            <v>EUR</v>
          </cell>
          <cell r="F377">
            <v>177.55</v>
          </cell>
          <cell r="G377" t="str">
            <v>EUR</v>
          </cell>
          <cell r="H377" t="e">
            <v>#VALUE!</v>
          </cell>
          <cell r="I377" t="str">
            <v>MAINT3800B</v>
          </cell>
        </row>
        <row r="378">
          <cell r="D378">
            <v>400569</v>
          </cell>
          <cell r="E378" t="str">
            <v>EUR</v>
          </cell>
          <cell r="F378">
            <v>195.76</v>
          </cell>
          <cell r="G378" t="str">
            <v>EUR</v>
          </cell>
          <cell r="H378" t="e">
            <v>#VALUE!</v>
          </cell>
          <cell r="I378" t="str">
            <v>MAINT3800C</v>
          </cell>
        </row>
        <row r="379">
          <cell r="D379">
            <v>400661</v>
          </cell>
          <cell r="E379" t="str">
            <v>EUR</v>
          </cell>
          <cell r="F379">
            <v>54.36</v>
          </cell>
          <cell r="G379" t="str">
            <v>EUR</v>
          </cell>
          <cell r="H379" t="e">
            <v>#VALUE!</v>
          </cell>
          <cell r="I379" t="str">
            <v>MAINT3800D</v>
          </cell>
        </row>
        <row r="380">
          <cell r="D380">
            <v>400662</v>
          </cell>
          <cell r="E380" t="str">
            <v>EUR</v>
          </cell>
          <cell r="F380">
            <v>5.19</v>
          </cell>
          <cell r="G380" t="str">
            <v>EUR</v>
          </cell>
          <cell r="H380" t="e">
            <v>#VALUE!</v>
          </cell>
          <cell r="I380" t="str">
            <v>MAINT3800E</v>
          </cell>
        </row>
        <row r="381">
          <cell r="D381">
            <v>400548</v>
          </cell>
          <cell r="E381" t="str">
            <v>EUR</v>
          </cell>
          <cell r="F381">
            <v>29.44</v>
          </cell>
          <cell r="G381" t="str">
            <v>EUR</v>
          </cell>
          <cell r="H381" t="e">
            <v>#VALUE!</v>
          </cell>
          <cell r="I381" t="str">
            <v>MAINT3800F</v>
          </cell>
        </row>
        <row r="382">
          <cell r="D382">
            <v>400549</v>
          </cell>
          <cell r="E382" t="str">
            <v>EUR</v>
          </cell>
          <cell r="F382">
            <v>27.51</v>
          </cell>
          <cell r="G382" t="str">
            <v>EUR</v>
          </cell>
          <cell r="H382" t="e">
            <v>#VALUE!</v>
          </cell>
          <cell r="I382" t="str">
            <v>MAINT3800G</v>
          </cell>
        </row>
        <row r="383">
          <cell r="D383">
            <v>400576</v>
          </cell>
          <cell r="E383" t="str">
            <v>EUR</v>
          </cell>
          <cell r="F383">
            <v>2.68</v>
          </cell>
          <cell r="G383" t="str">
            <v>EUR</v>
          </cell>
          <cell r="H383" t="e">
            <v>#VALUE!</v>
          </cell>
          <cell r="I383" t="str">
            <v>MAINT3800H</v>
          </cell>
        </row>
        <row r="384">
          <cell r="D384">
            <v>209911</v>
          </cell>
          <cell r="E384" t="str">
            <v>EUR</v>
          </cell>
          <cell r="F384">
            <v>104.21</v>
          </cell>
          <cell r="G384" t="str">
            <v>EUR</v>
          </cell>
          <cell r="H384" t="e">
            <v>#VALUE!</v>
          </cell>
          <cell r="I384" t="str">
            <v>MV250MAST</v>
          </cell>
        </row>
        <row r="385">
          <cell r="D385">
            <v>894718</v>
          </cell>
          <cell r="E385" t="str">
            <v>EUR</v>
          </cell>
          <cell r="F385">
            <v>239.38</v>
          </cell>
          <cell r="G385" t="str">
            <v>EUR</v>
          </cell>
          <cell r="H385" t="e">
            <v>#VALUE!</v>
          </cell>
          <cell r="I385" t="str">
            <v>MV300MAST</v>
          </cell>
        </row>
        <row r="386">
          <cell r="D386">
            <v>887675</v>
          </cell>
          <cell r="E386" t="str">
            <v>EUR</v>
          </cell>
          <cell r="F386">
            <v>222.79</v>
          </cell>
          <cell r="G386" t="str">
            <v>EUR</v>
          </cell>
          <cell r="H386" t="e">
            <v>#VALUE!</v>
          </cell>
          <cell r="I386" t="str">
            <v>MV300TONER</v>
          </cell>
        </row>
        <row r="387">
          <cell r="D387">
            <v>889606</v>
          </cell>
          <cell r="E387" t="str">
            <v>EUR</v>
          </cell>
          <cell r="F387">
            <v>104.03</v>
          </cell>
          <cell r="G387" t="str">
            <v>EUR</v>
          </cell>
          <cell r="H387" t="e">
            <v>#VALUE!</v>
          </cell>
          <cell r="I387" t="str">
            <v>MV80MAST</v>
          </cell>
        </row>
        <row r="388">
          <cell r="D388">
            <v>889744</v>
          </cell>
          <cell r="E388" t="str">
            <v>EUR</v>
          </cell>
          <cell r="F388">
            <v>55.01</v>
          </cell>
          <cell r="G388" t="str">
            <v>EUR</v>
          </cell>
          <cell r="H388" t="e">
            <v>#VALUE!</v>
          </cell>
          <cell r="I388" t="str">
            <v>MV80TONER</v>
          </cell>
        </row>
        <row r="389">
          <cell r="D389">
            <v>889015</v>
          </cell>
          <cell r="E389" t="str">
            <v>EUR</v>
          </cell>
          <cell r="F389">
            <v>126.4</v>
          </cell>
          <cell r="G389" t="e">
            <v>#N/A</v>
          </cell>
          <cell r="H389" t="e">
            <v>#N/A</v>
          </cell>
          <cell r="I389" t="str">
            <v>M10MASTUNT2</v>
          </cell>
        </row>
        <row r="390">
          <cell r="D390">
            <v>887660</v>
          </cell>
          <cell r="E390" t="str">
            <v>EUR</v>
          </cell>
          <cell r="F390">
            <v>23.58</v>
          </cell>
          <cell r="G390" t="e">
            <v>#N/A</v>
          </cell>
          <cell r="H390" t="e">
            <v>#N/A</v>
          </cell>
          <cell r="I390" t="str">
            <v>M10TONBLAUK</v>
          </cell>
        </row>
        <row r="391">
          <cell r="D391">
            <v>889351</v>
          </cell>
          <cell r="E391" t="str">
            <v>EUR</v>
          </cell>
          <cell r="F391">
            <v>128.18</v>
          </cell>
          <cell r="G391" t="str">
            <v>EUR</v>
          </cell>
          <cell r="H391" t="e">
            <v>#VALUE!</v>
          </cell>
          <cell r="I391" t="str">
            <v>M100MASTUNT2</v>
          </cell>
        </row>
        <row r="392">
          <cell r="D392">
            <v>889260</v>
          </cell>
          <cell r="E392" t="str">
            <v>EUR</v>
          </cell>
          <cell r="F392">
            <v>118.13</v>
          </cell>
          <cell r="G392" t="str">
            <v>EUR</v>
          </cell>
          <cell r="H392" t="e">
            <v>#VALUE!</v>
          </cell>
          <cell r="I392" t="str">
            <v>M5MASTUNT2</v>
          </cell>
        </row>
        <row r="393">
          <cell r="D393">
            <v>887659</v>
          </cell>
          <cell r="E393" t="str">
            <v>EUR</v>
          </cell>
          <cell r="F393">
            <v>23.58</v>
          </cell>
          <cell r="G393" t="e">
            <v>#N/A</v>
          </cell>
          <cell r="H393" t="e">
            <v>#N/A</v>
          </cell>
          <cell r="I393" t="str">
            <v>M5TONERBLAUK</v>
          </cell>
        </row>
        <row r="394">
          <cell r="D394">
            <v>882019</v>
          </cell>
          <cell r="E394" t="str">
            <v>EUR</v>
          </cell>
          <cell r="F394">
            <v>43.8</v>
          </cell>
          <cell r="G394" t="e">
            <v>#N/A</v>
          </cell>
          <cell r="H394" t="e">
            <v>#N/A</v>
          </cell>
          <cell r="I394" t="str">
            <v>M5TONERGRE</v>
          </cell>
        </row>
        <row r="395">
          <cell r="D395">
            <v>889207</v>
          </cell>
          <cell r="E395" t="str">
            <v>EUR</v>
          </cell>
          <cell r="F395">
            <v>40.51</v>
          </cell>
          <cell r="G395" t="str">
            <v>EUR</v>
          </cell>
          <cell r="H395" t="e">
            <v>#VALUE!</v>
          </cell>
          <cell r="I395" t="str">
            <v>M5TONERRED</v>
          </cell>
        </row>
        <row r="396">
          <cell r="D396">
            <v>887664</v>
          </cell>
          <cell r="E396" t="str">
            <v>EUR</v>
          </cell>
          <cell r="F396">
            <v>26.21</v>
          </cell>
          <cell r="G396" t="e">
            <v>#N/A</v>
          </cell>
          <cell r="H396" t="e">
            <v>#N/A</v>
          </cell>
          <cell r="I396" t="str">
            <v>M6TONERGER</v>
          </cell>
        </row>
        <row r="397">
          <cell r="D397">
            <v>889405</v>
          </cell>
          <cell r="E397" t="str">
            <v>EUR</v>
          </cell>
          <cell r="F397">
            <v>113.23</v>
          </cell>
          <cell r="G397" t="str">
            <v>EUR</v>
          </cell>
          <cell r="H397" t="e">
            <v>#VALUE!</v>
          </cell>
          <cell r="I397" t="str">
            <v>NC11DEVBLA</v>
          </cell>
        </row>
        <row r="398">
          <cell r="D398">
            <v>889408</v>
          </cell>
          <cell r="E398" t="str">
            <v>EUR</v>
          </cell>
          <cell r="F398">
            <v>48.52</v>
          </cell>
          <cell r="G398" t="str">
            <v>EUR</v>
          </cell>
          <cell r="H398" t="e">
            <v>#VALUE!</v>
          </cell>
          <cell r="I398" t="str">
            <v>NC11DEVCYN</v>
          </cell>
        </row>
        <row r="399">
          <cell r="D399">
            <v>889407</v>
          </cell>
          <cell r="E399" t="str">
            <v>EUR</v>
          </cell>
          <cell r="F399">
            <v>48.52</v>
          </cell>
          <cell r="G399" t="str">
            <v>EUR</v>
          </cell>
          <cell r="H399" t="e">
            <v>#VALUE!</v>
          </cell>
          <cell r="I399" t="str">
            <v>NC11DEVMAG</v>
          </cell>
        </row>
        <row r="400">
          <cell r="D400">
            <v>889406</v>
          </cell>
          <cell r="E400" t="str">
            <v>EUR</v>
          </cell>
          <cell r="F400">
            <v>48.52</v>
          </cell>
          <cell r="G400" t="str">
            <v>EUR</v>
          </cell>
          <cell r="H400" t="e">
            <v>#VALUE!</v>
          </cell>
          <cell r="I400" t="str">
            <v>NC11DEVYLW</v>
          </cell>
        </row>
        <row r="401">
          <cell r="D401">
            <v>887481</v>
          </cell>
          <cell r="E401" t="str">
            <v>EUR</v>
          </cell>
          <cell r="F401">
            <v>131.30000000000001</v>
          </cell>
          <cell r="G401" t="e">
            <v>#N/A</v>
          </cell>
          <cell r="H401" t="e">
            <v>#N/A</v>
          </cell>
          <cell r="I401" t="str">
            <v>NC11TONERBLA</v>
          </cell>
        </row>
        <row r="402">
          <cell r="D402">
            <v>887487</v>
          </cell>
          <cell r="E402" t="str">
            <v>EUR</v>
          </cell>
          <cell r="F402">
            <v>75.459999999999994</v>
          </cell>
          <cell r="G402" t="str">
            <v>EUR</v>
          </cell>
          <cell r="H402" t="e">
            <v>#VALUE!</v>
          </cell>
          <cell r="I402" t="str">
            <v>NC11TONERCYN</v>
          </cell>
        </row>
        <row r="403">
          <cell r="D403">
            <v>887485</v>
          </cell>
          <cell r="E403" t="str">
            <v>EUR</v>
          </cell>
          <cell r="F403">
            <v>75.459999999999994</v>
          </cell>
          <cell r="G403" t="str">
            <v>EUR</v>
          </cell>
          <cell r="H403" t="e">
            <v>#VALUE!</v>
          </cell>
          <cell r="I403" t="str">
            <v>NC11TONERMAG</v>
          </cell>
        </row>
        <row r="404">
          <cell r="D404">
            <v>887483</v>
          </cell>
          <cell r="E404" t="str">
            <v>EUR</v>
          </cell>
          <cell r="F404">
            <v>75.459999999999994</v>
          </cell>
          <cell r="G404" t="str">
            <v>EUR</v>
          </cell>
          <cell r="H404" t="e">
            <v>#VALUE!</v>
          </cell>
          <cell r="I404" t="str">
            <v>NC11TONERYLW</v>
          </cell>
        </row>
        <row r="405">
          <cell r="D405">
            <v>889526</v>
          </cell>
          <cell r="E405" t="str">
            <v>EUR</v>
          </cell>
          <cell r="F405">
            <v>98.77</v>
          </cell>
          <cell r="G405" t="str">
            <v>EUR</v>
          </cell>
          <cell r="H405" t="e">
            <v>#VALUE!</v>
          </cell>
          <cell r="I405" t="str">
            <v>NC305DEVBLA</v>
          </cell>
        </row>
        <row r="406">
          <cell r="D406">
            <v>394800</v>
          </cell>
          <cell r="E406" t="str">
            <v>EUR</v>
          </cell>
          <cell r="F406">
            <v>94.42</v>
          </cell>
          <cell r="G406" t="str">
            <v>EUR</v>
          </cell>
          <cell r="H406" t="e">
            <v>#VALUE!</v>
          </cell>
          <cell r="I406" t="str">
            <v>OPCCARTTYP12</v>
          </cell>
        </row>
        <row r="407">
          <cell r="D407">
            <v>352912</v>
          </cell>
          <cell r="E407" t="str">
            <v>EUR</v>
          </cell>
          <cell r="F407">
            <v>198.86</v>
          </cell>
          <cell r="G407" t="str">
            <v>EUR</v>
          </cell>
          <cell r="H407" t="e">
            <v>#VALUE!</v>
          </cell>
          <cell r="I407" t="str">
            <v>OPCCHARGERM2</v>
          </cell>
        </row>
        <row r="408">
          <cell r="D408">
            <v>394600</v>
          </cell>
          <cell r="E408" t="str">
            <v>EUR</v>
          </cell>
          <cell r="F408">
            <v>103.26</v>
          </cell>
          <cell r="G408" t="str">
            <v>EUR</v>
          </cell>
          <cell r="H408" t="e">
            <v>#VALUE!</v>
          </cell>
          <cell r="I408" t="str">
            <v>OPCKITM</v>
          </cell>
        </row>
        <row r="409">
          <cell r="D409">
            <v>357270</v>
          </cell>
          <cell r="E409" t="str">
            <v>EUR</v>
          </cell>
          <cell r="F409">
            <v>86.89</v>
          </cell>
          <cell r="G409" t="e">
            <v>#N/A</v>
          </cell>
          <cell r="H409" t="e">
            <v>#N/A</v>
          </cell>
          <cell r="I409" t="str">
            <v>OPCKIT150RB</v>
          </cell>
        </row>
        <row r="410">
          <cell r="D410">
            <v>357136</v>
          </cell>
          <cell r="E410" t="str">
            <v>EUR</v>
          </cell>
          <cell r="F410">
            <v>86.89</v>
          </cell>
          <cell r="G410" t="e">
            <v>#N/A</v>
          </cell>
          <cell r="H410" t="e">
            <v>#N/A</v>
          </cell>
          <cell r="I410" t="str">
            <v>OPCKIT80RB</v>
          </cell>
        </row>
        <row r="411">
          <cell r="D411">
            <v>358652</v>
          </cell>
          <cell r="E411" t="str">
            <v>EUR</v>
          </cell>
          <cell r="F411">
            <v>86.89</v>
          </cell>
          <cell r="G411" t="e">
            <v>#N/A</v>
          </cell>
          <cell r="H411" t="e">
            <v>#N/A</v>
          </cell>
          <cell r="I411" t="str">
            <v>OPCKIT81RB</v>
          </cell>
        </row>
        <row r="412">
          <cell r="D412">
            <v>358800</v>
          </cell>
          <cell r="E412" t="str">
            <v>EUR</v>
          </cell>
          <cell r="F412">
            <v>71.53</v>
          </cell>
          <cell r="G412" t="e">
            <v>#N/A</v>
          </cell>
          <cell r="H412" t="e">
            <v>#N/A</v>
          </cell>
          <cell r="I412" t="str">
            <v>OPC6000</v>
          </cell>
        </row>
        <row r="413">
          <cell r="D413">
            <v>411113</v>
          </cell>
          <cell r="E413" t="str">
            <v>EUR</v>
          </cell>
          <cell r="F413">
            <v>62.01</v>
          </cell>
          <cell r="G413" t="str">
            <v>EUR</v>
          </cell>
          <cell r="H413" t="e">
            <v>#VALUE!</v>
          </cell>
          <cell r="I413" t="str">
            <v>PCU1013CHN</v>
          </cell>
        </row>
        <row r="414">
          <cell r="D414">
            <v>411018</v>
          </cell>
          <cell r="E414" t="str">
            <v>EUR</v>
          </cell>
          <cell r="F414">
            <v>117.67</v>
          </cell>
          <cell r="G414" t="str">
            <v>EUR</v>
          </cell>
          <cell r="H414" t="e">
            <v>#VALUE!</v>
          </cell>
          <cell r="I414" t="str">
            <v>PCU1027</v>
          </cell>
        </row>
        <row r="415">
          <cell r="D415">
            <v>410423</v>
          </cell>
          <cell r="E415" t="str">
            <v>EUR</v>
          </cell>
          <cell r="F415">
            <v>125.26</v>
          </cell>
          <cell r="G415" t="str">
            <v>EUR</v>
          </cell>
          <cell r="H415" t="e">
            <v>#VALUE!</v>
          </cell>
          <cell r="I415" t="str">
            <v>PCU270</v>
          </cell>
        </row>
        <row r="416">
          <cell r="D416">
            <v>400633</v>
          </cell>
          <cell r="E416" t="str">
            <v>EUR</v>
          </cell>
          <cell r="F416">
            <v>117.67</v>
          </cell>
          <cell r="G416" t="str">
            <v>EUR</v>
          </cell>
          <cell r="H416" t="e">
            <v>#VALUE!</v>
          </cell>
          <cell r="I416" t="str">
            <v>PCU320</v>
          </cell>
        </row>
        <row r="417">
          <cell r="D417">
            <v>410509</v>
          </cell>
          <cell r="E417" t="str">
            <v>EUR</v>
          </cell>
          <cell r="F417">
            <v>57.52</v>
          </cell>
          <cell r="G417" t="str">
            <v>EUR</v>
          </cell>
          <cell r="H417" t="e">
            <v>#VALUE!</v>
          </cell>
          <cell r="I417" t="str">
            <v>STAPLEREFH</v>
          </cell>
        </row>
        <row r="418">
          <cell r="D418">
            <v>410802</v>
          </cell>
          <cell r="E418" t="str">
            <v>EUR</v>
          </cell>
          <cell r="F418">
            <v>28.15</v>
          </cell>
          <cell r="G418" t="str">
            <v>EUR</v>
          </cell>
          <cell r="H418" t="e">
            <v>#VALUE!</v>
          </cell>
          <cell r="I418" t="str">
            <v>STAPLEREFK</v>
          </cell>
        </row>
        <row r="419">
          <cell r="D419">
            <v>411241</v>
          </cell>
          <cell r="E419" t="str">
            <v>EUR</v>
          </cell>
          <cell r="F419">
            <v>19.75</v>
          </cell>
          <cell r="G419" t="e">
            <v>#N/A</v>
          </cell>
          <cell r="H419" t="e">
            <v>#N/A</v>
          </cell>
          <cell r="I419" t="str">
            <v>STAPLEREFL</v>
          </cell>
        </row>
        <row r="420">
          <cell r="D420">
            <v>207866</v>
          </cell>
          <cell r="E420" t="str">
            <v>EUR</v>
          </cell>
          <cell r="F420">
            <v>29.36</v>
          </cell>
          <cell r="G420" t="e">
            <v>#N/A</v>
          </cell>
          <cell r="H420" t="e">
            <v>#N/A</v>
          </cell>
          <cell r="I420" t="str">
            <v>STAPLETYPEB</v>
          </cell>
        </row>
        <row r="421">
          <cell r="D421">
            <v>208171</v>
          </cell>
          <cell r="E421" t="str">
            <v>EUR</v>
          </cell>
          <cell r="F421">
            <v>22.06</v>
          </cell>
          <cell r="G421" t="str">
            <v>EUR</v>
          </cell>
          <cell r="H421" t="e">
            <v>#VALUE!</v>
          </cell>
          <cell r="I421" t="str">
            <v>STAPLETYPEC</v>
          </cell>
        </row>
        <row r="422">
          <cell r="D422">
            <v>208532</v>
          </cell>
          <cell r="E422" t="str">
            <v>EUR</v>
          </cell>
          <cell r="F422">
            <v>17.64</v>
          </cell>
          <cell r="G422" t="str">
            <v>EUR</v>
          </cell>
          <cell r="H422" t="e">
            <v>#VALUE!</v>
          </cell>
          <cell r="I422" t="str">
            <v>STAPLETYPED</v>
          </cell>
        </row>
        <row r="423">
          <cell r="D423">
            <v>317927</v>
          </cell>
          <cell r="E423" t="str">
            <v>EUR</v>
          </cell>
          <cell r="F423">
            <v>16.03</v>
          </cell>
          <cell r="G423" t="str">
            <v>EUR</v>
          </cell>
          <cell r="H423" t="e">
            <v>#VALUE!</v>
          </cell>
          <cell r="I423" t="str">
            <v>STAPLETYPEE</v>
          </cell>
        </row>
        <row r="424">
          <cell r="D424">
            <v>209307</v>
          </cell>
          <cell r="E424" t="str">
            <v>EUR</v>
          </cell>
          <cell r="F424">
            <v>24.08</v>
          </cell>
          <cell r="G424" t="str">
            <v>EUR</v>
          </cell>
          <cell r="H424" t="e">
            <v>#VALUE!</v>
          </cell>
          <cell r="I424" t="str">
            <v>STAPLETYPEF</v>
          </cell>
        </row>
        <row r="425">
          <cell r="D425">
            <v>410133</v>
          </cell>
          <cell r="E425" t="str">
            <v>EUR</v>
          </cell>
          <cell r="F425">
            <v>24.08</v>
          </cell>
          <cell r="G425" t="str">
            <v>EUR</v>
          </cell>
          <cell r="H425" t="e">
            <v>#VALUE!</v>
          </cell>
          <cell r="I425" t="str">
            <v>STAPLETYPEG</v>
          </cell>
        </row>
        <row r="426">
          <cell r="D426">
            <v>410508</v>
          </cell>
          <cell r="E426" t="str">
            <v>EUR</v>
          </cell>
          <cell r="F426">
            <v>25.55</v>
          </cell>
          <cell r="G426" t="str">
            <v>EUR</v>
          </cell>
          <cell r="H426" t="e">
            <v>#VALUE!</v>
          </cell>
          <cell r="I426" t="str">
            <v>STAPLETYPEH</v>
          </cell>
        </row>
        <row r="427">
          <cell r="D427">
            <v>410597</v>
          </cell>
          <cell r="E427" t="str">
            <v>EUR</v>
          </cell>
          <cell r="F427">
            <v>29.56</v>
          </cell>
          <cell r="G427" t="str">
            <v>EUR</v>
          </cell>
          <cell r="H427" t="e">
            <v>#VALUE!</v>
          </cell>
          <cell r="I427" t="str">
            <v>STAPLETYPEJ</v>
          </cell>
        </row>
        <row r="428">
          <cell r="D428">
            <v>410801</v>
          </cell>
          <cell r="E428" t="str">
            <v>EUR</v>
          </cell>
          <cell r="F428">
            <v>16.09</v>
          </cell>
          <cell r="G428" t="e">
            <v>#N/A</v>
          </cell>
          <cell r="H428" t="e">
            <v>#N/A</v>
          </cell>
          <cell r="I428" t="str">
            <v>STAPLETYPEK</v>
          </cell>
        </row>
        <row r="429">
          <cell r="D429">
            <v>411240</v>
          </cell>
          <cell r="E429" t="str">
            <v>EUR</v>
          </cell>
          <cell r="F429">
            <v>11.82</v>
          </cell>
          <cell r="G429" t="str">
            <v>EUR</v>
          </cell>
          <cell r="H429" t="e">
            <v>#VALUE!</v>
          </cell>
          <cell r="I429" t="str">
            <v>STAPLETYPEL</v>
          </cell>
        </row>
        <row r="430">
          <cell r="D430">
            <v>922479</v>
          </cell>
          <cell r="E430" t="str">
            <v>EUR</v>
          </cell>
          <cell r="F430">
            <v>36.880000000000003</v>
          </cell>
          <cell r="G430" t="e">
            <v>#N/A</v>
          </cell>
          <cell r="H430" t="e">
            <v>#N/A</v>
          </cell>
          <cell r="I430" t="str">
            <v>STAPLE85SWE</v>
          </cell>
        </row>
        <row r="431">
          <cell r="D431">
            <v>889341</v>
          </cell>
          <cell r="E431" t="str">
            <v>EUR</v>
          </cell>
          <cell r="F431">
            <v>70.180000000000007</v>
          </cell>
          <cell r="G431" t="str">
            <v>EUR</v>
          </cell>
          <cell r="H431" t="e">
            <v>#VALUE!</v>
          </cell>
          <cell r="I431" t="str">
            <v>TONCOLLUN</v>
          </cell>
        </row>
        <row r="432">
          <cell r="D432">
            <v>887669</v>
          </cell>
          <cell r="E432" t="str">
            <v>EUR</v>
          </cell>
          <cell r="F432">
            <v>54.47</v>
          </cell>
          <cell r="G432" t="e">
            <v>#N/A</v>
          </cell>
          <cell r="H432" t="e">
            <v>#N/A</v>
          </cell>
          <cell r="I432" t="str">
            <v>TONERKITM</v>
          </cell>
        </row>
        <row r="433">
          <cell r="D433">
            <v>394700</v>
          </cell>
          <cell r="E433" t="str">
            <v>EUR</v>
          </cell>
          <cell r="F433">
            <v>50.3</v>
          </cell>
          <cell r="G433" t="e">
            <v>#N/A</v>
          </cell>
          <cell r="H433" t="e">
            <v>#N/A</v>
          </cell>
          <cell r="I433" t="str">
            <v>TONERKITMN</v>
          </cell>
        </row>
        <row r="434">
          <cell r="D434">
            <v>357126</v>
          </cell>
          <cell r="E434" t="str">
            <v>EUR</v>
          </cell>
          <cell r="F434">
            <v>20.100000000000001</v>
          </cell>
          <cell r="G434" t="e">
            <v>#N/A</v>
          </cell>
          <cell r="H434" t="e">
            <v>#N/A</v>
          </cell>
          <cell r="I434" t="str">
            <v>TONERKIT80RB</v>
          </cell>
        </row>
        <row r="435">
          <cell r="D435">
            <v>887670</v>
          </cell>
          <cell r="E435" t="str">
            <v>EUR</v>
          </cell>
          <cell r="F435">
            <v>74.95</v>
          </cell>
          <cell r="G435" t="e">
            <v>#N/A</v>
          </cell>
          <cell r="H435" t="e">
            <v>#N/A</v>
          </cell>
          <cell r="I435" t="str">
            <v>TONERM2</v>
          </cell>
        </row>
        <row r="436">
          <cell r="D436">
            <v>394712</v>
          </cell>
          <cell r="E436" t="str">
            <v>EUR</v>
          </cell>
          <cell r="F436">
            <v>68.25</v>
          </cell>
          <cell r="G436" t="e">
            <v>#N/A</v>
          </cell>
          <cell r="H436" t="e">
            <v>#N/A</v>
          </cell>
          <cell r="I436" t="str">
            <v>TONERM2N</v>
          </cell>
        </row>
        <row r="437">
          <cell r="D437">
            <v>885104</v>
          </cell>
          <cell r="E437" t="str">
            <v>EUR</v>
          </cell>
          <cell r="F437">
            <v>65.459999999999994</v>
          </cell>
          <cell r="G437" t="e">
            <v>#N/A</v>
          </cell>
          <cell r="H437" t="e">
            <v>#N/A</v>
          </cell>
          <cell r="I437" t="str">
            <v>TONER10DFRA</v>
          </cell>
        </row>
        <row r="438">
          <cell r="D438">
            <v>888037</v>
          </cell>
          <cell r="E438" t="str">
            <v>EUR</v>
          </cell>
          <cell r="F438">
            <v>104.94</v>
          </cell>
          <cell r="G438" t="str">
            <v>EUR</v>
          </cell>
          <cell r="H438" t="e">
            <v>#VALUE!</v>
          </cell>
          <cell r="I438" t="str">
            <v>TONER105CYN</v>
          </cell>
        </row>
        <row r="439">
          <cell r="D439">
            <v>888036</v>
          </cell>
          <cell r="E439" t="str">
            <v>EUR</v>
          </cell>
          <cell r="F439">
            <v>104.94</v>
          </cell>
          <cell r="G439" t="str">
            <v>EUR</v>
          </cell>
          <cell r="H439" t="e">
            <v>#VALUE!</v>
          </cell>
          <cell r="I439" t="str">
            <v>TONER105MAG</v>
          </cell>
        </row>
        <row r="440">
          <cell r="D440">
            <v>888035</v>
          </cell>
          <cell r="E440" t="str">
            <v>EUR</v>
          </cell>
          <cell r="F440">
            <v>104.94</v>
          </cell>
          <cell r="G440" t="str">
            <v>EUR</v>
          </cell>
          <cell r="H440" t="e">
            <v>#VALUE!</v>
          </cell>
          <cell r="I440" t="str">
            <v>TONER105YLW</v>
          </cell>
        </row>
        <row r="441">
          <cell r="D441">
            <v>885109</v>
          </cell>
          <cell r="E441" t="str">
            <v>EUR</v>
          </cell>
          <cell r="F441">
            <v>47.4</v>
          </cell>
          <cell r="G441" t="e">
            <v>#N/A</v>
          </cell>
          <cell r="H441" t="e">
            <v>#N/A</v>
          </cell>
          <cell r="I441" t="str">
            <v>TONER20DEFRA</v>
          </cell>
        </row>
        <row r="442">
          <cell r="D442">
            <v>888032</v>
          </cell>
          <cell r="E442" t="str">
            <v>EUR</v>
          </cell>
          <cell r="F442">
            <v>41.79</v>
          </cell>
          <cell r="G442" t="str">
            <v>EUR</v>
          </cell>
          <cell r="H442" t="e">
            <v>#VALUE!</v>
          </cell>
          <cell r="I442" t="str">
            <v>TONER205BLA</v>
          </cell>
        </row>
        <row r="443">
          <cell r="D443">
            <v>887849</v>
          </cell>
          <cell r="E443" t="str">
            <v>EUR</v>
          </cell>
          <cell r="F443">
            <v>75.05</v>
          </cell>
          <cell r="G443" t="str">
            <v>EUR</v>
          </cell>
          <cell r="H443" t="e">
            <v>#VALUE!</v>
          </cell>
          <cell r="I443" t="str">
            <v>TONTYPEHCYN</v>
          </cell>
        </row>
        <row r="444">
          <cell r="D444">
            <v>887848</v>
          </cell>
          <cell r="E444" t="str">
            <v>EUR</v>
          </cell>
          <cell r="F444">
            <v>75.05</v>
          </cell>
          <cell r="G444" t="str">
            <v>EUR</v>
          </cell>
          <cell r="H444" t="e">
            <v>#VALUE!</v>
          </cell>
          <cell r="I444" t="str">
            <v>TONTYPEHMAG</v>
          </cell>
        </row>
        <row r="445">
          <cell r="D445">
            <v>887845</v>
          </cell>
          <cell r="E445" t="str">
            <v>EUR</v>
          </cell>
          <cell r="F445">
            <v>79.05</v>
          </cell>
          <cell r="G445" t="str">
            <v>EUR</v>
          </cell>
          <cell r="H445" t="e">
            <v>#VALUE!</v>
          </cell>
          <cell r="I445" t="str">
            <v>TONTYPEHXBLA</v>
          </cell>
        </row>
        <row r="446">
          <cell r="D446">
            <v>887847</v>
          </cell>
          <cell r="E446" t="str">
            <v>EUR</v>
          </cell>
          <cell r="F446">
            <v>75.05</v>
          </cell>
          <cell r="G446" t="str">
            <v>EUR</v>
          </cell>
          <cell r="H446" t="e">
            <v>#VALUE!</v>
          </cell>
          <cell r="I446" t="str">
            <v>TONTYPEHYLW</v>
          </cell>
        </row>
        <row r="447">
          <cell r="D447">
            <v>887813</v>
          </cell>
          <cell r="E447" t="str">
            <v>EUR</v>
          </cell>
          <cell r="F447">
            <v>86.89</v>
          </cell>
          <cell r="G447" t="str">
            <v>EUR</v>
          </cell>
          <cell r="H447" t="e">
            <v>#VALUE!</v>
          </cell>
          <cell r="I447" t="str">
            <v>TONTYPEJBLA</v>
          </cell>
        </row>
        <row r="448">
          <cell r="D448">
            <v>887816</v>
          </cell>
          <cell r="E448" t="str">
            <v>EUR</v>
          </cell>
          <cell r="F448">
            <v>96.58</v>
          </cell>
          <cell r="G448" t="str">
            <v>EUR</v>
          </cell>
          <cell r="H448" t="e">
            <v>#VALUE!</v>
          </cell>
          <cell r="I448" t="str">
            <v>TONTYPEJCYN</v>
          </cell>
        </row>
        <row r="449">
          <cell r="D449">
            <v>887815</v>
          </cell>
          <cell r="E449" t="str">
            <v>EUR</v>
          </cell>
          <cell r="F449">
            <v>96.58</v>
          </cell>
          <cell r="G449" t="str">
            <v>EUR</v>
          </cell>
          <cell r="H449" t="e">
            <v>#VALUE!</v>
          </cell>
          <cell r="I449" t="str">
            <v>TONTYPEJMAG</v>
          </cell>
        </row>
        <row r="450">
          <cell r="D450">
            <v>887814</v>
          </cell>
          <cell r="E450" t="str">
            <v>EUR</v>
          </cell>
          <cell r="F450">
            <v>96.57</v>
          </cell>
          <cell r="G450" t="str">
            <v>EUR</v>
          </cell>
          <cell r="H450" t="e">
            <v>#VALUE!</v>
          </cell>
          <cell r="I450" t="str">
            <v>TONTYPEJYLW</v>
          </cell>
        </row>
        <row r="451">
          <cell r="D451">
            <v>887914</v>
          </cell>
          <cell r="E451" t="str">
            <v>EUR</v>
          </cell>
          <cell r="F451">
            <v>49.16</v>
          </cell>
          <cell r="G451" t="str">
            <v>EUR</v>
          </cell>
          <cell r="H451" t="e">
            <v>#VALUE!</v>
          </cell>
          <cell r="I451" t="str">
            <v>TONTYPEK1BLA</v>
          </cell>
        </row>
        <row r="452">
          <cell r="D452">
            <v>887933</v>
          </cell>
          <cell r="E452" t="str">
            <v>EUR</v>
          </cell>
          <cell r="F452">
            <v>125.61</v>
          </cell>
          <cell r="G452" t="str">
            <v>EUR</v>
          </cell>
          <cell r="H452" t="e">
            <v>#VALUE!</v>
          </cell>
          <cell r="I452" t="str">
            <v>TONTYPEK1CYN</v>
          </cell>
        </row>
        <row r="453">
          <cell r="D453">
            <v>887927</v>
          </cell>
          <cell r="E453" t="str">
            <v>EUR</v>
          </cell>
          <cell r="F453">
            <v>125.61</v>
          </cell>
          <cell r="G453" t="str">
            <v>EUR</v>
          </cell>
          <cell r="H453" t="e">
            <v>#VALUE!</v>
          </cell>
          <cell r="I453" t="str">
            <v>TONTYPEK1MAG</v>
          </cell>
        </row>
        <row r="454">
          <cell r="D454">
            <v>887921</v>
          </cell>
          <cell r="E454" t="str">
            <v>EUR</v>
          </cell>
          <cell r="F454">
            <v>125.61</v>
          </cell>
          <cell r="G454" t="str">
            <v>EUR</v>
          </cell>
          <cell r="H454" t="e">
            <v>#VALUE!</v>
          </cell>
          <cell r="I454" t="str">
            <v>TONTYPEK1YLW</v>
          </cell>
        </row>
        <row r="455">
          <cell r="D455">
            <v>887890</v>
          </cell>
          <cell r="E455" t="str">
            <v>EUR</v>
          </cell>
          <cell r="F455">
            <v>131.54</v>
          </cell>
          <cell r="G455" t="str">
            <v>EUR</v>
          </cell>
          <cell r="H455" t="e">
            <v>#VALUE!</v>
          </cell>
          <cell r="I455" t="str">
            <v>TONTYPEL1BLA</v>
          </cell>
        </row>
        <row r="456">
          <cell r="D456">
            <v>887908</v>
          </cell>
          <cell r="E456" t="str">
            <v>EUR</v>
          </cell>
          <cell r="F456">
            <v>149.5</v>
          </cell>
          <cell r="G456" t="str">
            <v>EUR</v>
          </cell>
          <cell r="H456" t="e">
            <v>#VALUE!</v>
          </cell>
          <cell r="I456" t="str">
            <v>TONTYPEL1CYN</v>
          </cell>
        </row>
        <row r="457">
          <cell r="D457">
            <v>887902</v>
          </cell>
          <cell r="E457" t="str">
            <v>EUR</v>
          </cell>
          <cell r="F457">
            <v>149.5</v>
          </cell>
          <cell r="G457" t="str">
            <v>EUR</v>
          </cell>
          <cell r="H457" t="e">
            <v>#VALUE!</v>
          </cell>
          <cell r="I457" t="str">
            <v>TONTYPEL1MAG</v>
          </cell>
        </row>
        <row r="458">
          <cell r="D458">
            <v>887896</v>
          </cell>
          <cell r="E458" t="str">
            <v>EUR</v>
          </cell>
          <cell r="F458">
            <v>149.5</v>
          </cell>
          <cell r="G458" t="str">
            <v>EUR</v>
          </cell>
          <cell r="H458" t="e">
            <v>#VALUE!</v>
          </cell>
          <cell r="I458" t="str">
            <v>TONTYPEL1YLW</v>
          </cell>
        </row>
        <row r="459">
          <cell r="D459">
            <v>885165</v>
          </cell>
          <cell r="E459" t="str">
            <v>EUR</v>
          </cell>
          <cell r="F459">
            <v>53.65</v>
          </cell>
          <cell r="G459" t="e">
            <v>#N/A</v>
          </cell>
          <cell r="H459" t="e">
            <v>#N/A</v>
          </cell>
          <cell r="I459" t="str">
            <v>TONTYPE1100W</v>
          </cell>
        </row>
        <row r="460">
          <cell r="D460">
            <v>410303</v>
          </cell>
          <cell r="E460" t="str">
            <v>EUR</v>
          </cell>
          <cell r="F460">
            <v>73.39</v>
          </cell>
          <cell r="G460" t="str">
            <v>EUR</v>
          </cell>
          <cell r="H460" t="e">
            <v>#VALUE!</v>
          </cell>
          <cell r="I460" t="str">
            <v>TONTYPE185</v>
          </cell>
        </row>
        <row r="461">
          <cell r="D461">
            <v>394002</v>
          </cell>
          <cell r="E461" t="str">
            <v>EUR</v>
          </cell>
          <cell r="F461">
            <v>8.65</v>
          </cell>
          <cell r="G461" t="e">
            <v>#N/A</v>
          </cell>
          <cell r="H461" t="e">
            <v>#N/A</v>
          </cell>
          <cell r="I461" t="str">
            <v>TON6000P02CH</v>
          </cell>
        </row>
        <row r="462">
          <cell r="D462">
            <v>885195</v>
          </cell>
          <cell r="E462" t="str">
            <v>EUR</v>
          </cell>
          <cell r="F462">
            <v>141.65</v>
          </cell>
          <cell r="G462" t="e">
            <v>#N/A</v>
          </cell>
          <cell r="H462" t="e">
            <v>#N/A</v>
          </cell>
          <cell r="I462" t="str">
            <v>TON6205FRA</v>
          </cell>
        </row>
        <row r="463">
          <cell r="D463">
            <v>401092</v>
          </cell>
          <cell r="E463" t="str">
            <v>EUR</v>
          </cell>
          <cell r="F463">
            <v>43.4</v>
          </cell>
          <cell r="G463" t="e">
            <v>#N/A</v>
          </cell>
          <cell r="H463" t="e">
            <v>#N/A</v>
          </cell>
          <cell r="I463" t="str">
            <v>1120DTONER</v>
          </cell>
        </row>
        <row r="464">
          <cell r="D464">
            <v>401129</v>
          </cell>
          <cell r="E464" t="str">
            <v>EUR</v>
          </cell>
          <cell r="F464">
            <v>56.73</v>
          </cell>
          <cell r="G464" t="e">
            <v>#N/A</v>
          </cell>
          <cell r="H464" t="e">
            <v>#N/A</v>
          </cell>
          <cell r="I464" t="str">
            <v>1125DTONUK</v>
          </cell>
        </row>
        <row r="465">
          <cell r="D465">
            <v>888029</v>
          </cell>
          <cell r="E465" t="str">
            <v>EUR</v>
          </cell>
          <cell r="F465">
            <v>65.010000000000005</v>
          </cell>
          <cell r="G465" t="str">
            <v>EUR</v>
          </cell>
          <cell r="H465" t="e">
            <v>#VALUE!</v>
          </cell>
          <cell r="I465" t="str">
            <v>1160WTONER</v>
          </cell>
        </row>
        <row r="466">
          <cell r="D466">
            <v>885122</v>
          </cell>
          <cell r="E466" t="str">
            <v>EUR</v>
          </cell>
          <cell r="F466">
            <v>45.24</v>
          </cell>
          <cell r="G466" t="e">
            <v>#N/A</v>
          </cell>
          <cell r="H466" t="e">
            <v>#N/A</v>
          </cell>
          <cell r="I466" t="str">
            <v>1205TONERUK</v>
          </cell>
        </row>
        <row r="467">
          <cell r="D467">
            <v>339588</v>
          </cell>
          <cell r="E467" t="str">
            <v>EUR</v>
          </cell>
          <cell r="F467">
            <v>150.01</v>
          </cell>
          <cell r="G467" t="str">
            <v>EUR</v>
          </cell>
          <cell r="H467" t="e">
            <v>#VALUE!</v>
          </cell>
          <cell r="I467" t="str">
            <v>1210DTONER</v>
          </cell>
        </row>
        <row r="468">
          <cell r="D468">
            <v>887754</v>
          </cell>
          <cell r="E468" t="str">
            <v>EUR</v>
          </cell>
          <cell r="F468">
            <v>40.42</v>
          </cell>
          <cell r="G468" t="e">
            <v>#N/A</v>
          </cell>
          <cell r="H468" t="e">
            <v>#N/A</v>
          </cell>
          <cell r="I468" t="str">
            <v>1215TONER</v>
          </cell>
        </row>
        <row r="469">
          <cell r="D469">
            <v>888078</v>
          </cell>
          <cell r="E469" t="str">
            <v>EUR</v>
          </cell>
          <cell r="F469">
            <v>39.21</v>
          </cell>
          <cell r="G469" t="str">
            <v>EUR</v>
          </cell>
          <cell r="H469" t="e">
            <v>#VALUE!</v>
          </cell>
          <cell r="I469" t="str">
            <v>1215TONERKOR</v>
          </cell>
        </row>
        <row r="470">
          <cell r="D470">
            <v>888087</v>
          </cell>
          <cell r="E470" t="str">
            <v>EUR</v>
          </cell>
          <cell r="F470">
            <v>13.03</v>
          </cell>
          <cell r="G470" t="str">
            <v>EUR</v>
          </cell>
          <cell r="H470" t="e">
            <v>#VALUE!</v>
          </cell>
          <cell r="I470" t="str">
            <v>1220DTONER</v>
          </cell>
        </row>
        <row r="471">
          <cell r="D471">
            <v>885258</v>
          </cell>
          <cell r="E471" t="str">
            <v>EUR</v>
          </cell>
          <cell r="F471">
            <v>9.33</v>
          </cell>
          <cell r="G471" t="e">
            <v>#N/A</v>
          </cell>
          <cell r="H471" t="e">
            <v>#N/A</v>
          </cell>
          <cell r="I471" t="str">
            <v>1250DTONER</v>
          </cell>
        </row>
        <row r="472">
          <cell r="D472">
            <v>411073</v>
          </cell>
          <cell r="E472" t="str">
            <v>EUR</v>
          </cell>
          <cell r="F472">
            <v>45.56</v>
          </cell>
          <cell r="G472" t="str">
            <v>EUR</v>
          </cell>
          <cell r="H472" t="e">
            <v>#VALUE!</v>
          </cell>
          <cell r="I472" t="str">
            <v>1255DTONCHN</v>
          </cell>
        </row>
        <row r="473">
          <cell r="D473">
            <v>887661</v>
          </cell>
          <cell r="E473" t="str">
            <v>EUR</v>
          </cell>
          <cell r="F473">
            <v>25.3</v>
          </cell>
          <cell r="G473" t="e">
            <v>#N/A</v>
          </cell>
          <cell r="H473" t="e">
            <v>#N/A</v>
          </cell>
          <cell r="I473" t="str">
            <v>2050TONBLAUK</v>
          </cell>
        </row>
        <row r="474">
          <cell r="D474">
            <v>889309</v>
          </cell>
          <cell r="E474" t="str">
            <v>EUR</v>
          </cell>
          <cell r="F474">
            <v>50.9</v>
          </cell>
          <cell r="G474" t="e">
            <v>#N/A</v>
          </cell>
          <cell r="H474" t="e">
            <v>#N/A</v>
          </cell>
          <cell r="I474" t="str">
            <v>2050TONERBLU</v>
          </cell>
        </row>
        <row r="475">
          <cell r="D475">
            <v>889313</v>
          </cell>
          <cell r="E475" t="str">
            <v>EUR</v>
          </cell>
          <cell r="F475">
            <v>50.9</v>
          </cell>
          <cell r="G475" t="e">
            <v>#N/A</v>
          </cell>
          <cell r="H475" t="e">
            <v>#N/A</v>
          </cell>
          <cell r="I475" t="str">
            <v>2050TONERGRE</v>
          </cell>
        </row>
        <row r="476">
          <cell r="D476">
            <v>889776</v>
          </cell>
          <cell r="E476" t="str">
            <v>EUR</v>
          </cell>
          <cell r="F476">
            <v>195.44</v>
          </cell>
          <cell r="G476" t="str">
            <v>EUR</v>
          </cell>
          <cell r="H476" t="e">
            <v>#VALUE!</v>
          </cell>
          <cell r="I476" t="str">
            <v>2200EXTONER</v>
          </cell>
        </row>
        <row r="477">
          <cell r="D477">
            <v>889614</v>
          </cell>
          <cell r="E477" t="str">
            <v>EUR</v>
          </cell>
          <cell r="F477">
            <v>50.52</v>
          </cell>
          <cell r="G477" t="str">
            <v>EUR</v>
          </cell>
          <cell r="H477" t="e">
            <v>#VALUE!</v>
          </cell>
          <cell r="I477" t="str">
            <v>2205DTONER</v>
          </cell>
        </row>
        <row r="478">
          <cell r="D478">
            <v>887977</v>
          </cell>
          <cell r="E478" t="str">
            <v>EUR</v>
          </cell>
          <cell r="F478">
            <v>75.930000000000007</v>
          </cell>
          <cell r="G478" t="e">
            <v>#N/A</v>
          </cell>
          <cell r="H478" t="e">
            <v>#N/A</v>
          </cell>
          <cell r="I478" t="str">
            <v>2210DTONER</v>
          </cell>
        </row>
        <row r="479">
          <cell r="D479">
            <v>885229</v>
          </cell>
          <cell r="E479" t="str">
            <v>EUR</v>
          </cell>
          <cell r="F479">
            <v>73.7</v>
          </cell>
          <cell r="G479" t="e">
            <v>#N/A</v>
          </cell>
          <cell r="H479" t="e">
            <v>#N/A</v>
          </cell>
          <cell r="I479" t="str">
            <v>2210DTONER2</v>
          </cell>
        </row>
        <row r="480">
          <cell r="D480">
            <v>885266</v>
          </cell>
          <cell r="E480" t="str">
            <v>EUR</v>
          </cell>
          <cell r="F480">
            <v>12.21</v>
          </cell>
          <cell r="G480" t="e">
            <v>#N/A</v>
          </cell>
          <cell r="H480" t="e">
            <v>#N/A</v>
          </cell>
          <cell r="I480" t="str">
            <v>2220DTONFRA</v>
          </cell>
        </row>
        <row r="481">
          <cell r="D481">
            <v>887620</v>
          </cell>
          <cell r="E481" t="str">
            <v>EUR</v>
          </cell>
          <cell r="F481">
            <v>28.01</v>
          </cell>
          <cell r="G481" t="e">
            <v>#N/A</v>
          </cell>
          <cell r="H481" t="e">
            <v>#N/A</v>
          </cell>
          <cell r="I481" t="str">
            <v>3000TONERUK</v>
          </cell>
        </row>
        <row r="482">
          <cell r="D482">
            <v>889268</v>
          </cell>
          <cell r="E482" t="str">
            <v>EUR</v>
          </cell>
          <cell r="F482">
            <v>34.42</v>
          </cell>
          <cell r="G482" t="str">
            <v>EUR</v>
          </cell>
          <cell r="H482" t="e">
            <v>#VALUE!</v>
          </cell>
          <cell r="I482" t="str">
            <v>310DEV</v>
          </cell>
        </row>
        <row r="483">
          <cell r="D483">
            <v>887612</v>
          </cell>
          <cell r="E483" t="str">
            <v>EUR</v>
          </cell>
          <cell r="F483">
            <v>18.059999999999999</v>
          </cell>
          <cell r="G483" t="e">
            <v>#N/A</v>
          </cell>
          <cell r="H483" t="e">
            <v>#N/A</v>
          </cell>
          <cell r="I483" t="str">
            <v>310TONERUK</v>
          </cell>
        </row>
        <row r="484">
          <cell r="D484">
            <v>887681</v>
          </cell>
          <cell r="E484" t="str">
            <v>EUR</v>
          </cell>
          <cell r="F484">
            <v>18.059999999999999</v>
          </cell>
          <cell r="G484" t="e">
            <v>#N/A</v>
          </cell>
          <cell r="H484" t="e">
            <v>#N/A</v>
          </cell>
          <cell r="I484" t="str">
            <v>320TONERUK</v>
          </cell>
        </row>
        <row r="485">
          <cell r="D485">
            <v>885137</v>
          </cell>
          <cell r="E485" t="str">
            <v>EUR</v>
          </cell>
          <cell r="F485">
            <v>97.05</v>
          </cell>
          <cell r="G485" t="e">
            <v>#N/A</v>
          </cell>
          <cell r="H485" t="e">
            <v>#N/A</v>
          </cell>
          <cell r="I485" t="str">
            <v>3200DTONFRA</v>
          </cell>
        </row>
        <row r="486">
          <cell r="D486">
            <v>885180</v>
          </cell>
          <cell r="E486" t="str">
            <v>EUR</v>
          </cell>
          <cell r="F486">
            <v>97.05</v>
          </cell>
          <cell r="G486" t="e">
            <v>#N/A</v>
          </cell>
          <cell r="H486" t="e">
            <v>#N/A</v>
          </cell>
          <cell r="I486" t="str">
            <v>3200DTONUK</v>
          </cell>
        </row>
        <row r="487">
          <cell r="D487">
            <v>888063</v>
          </cell>
          <cell r="E487" t="str">
            <v>EUR</v>
          </cell>
          <cell r="F487">
            <v>21.92</v>
          </cell>
          <cell r="G487" t="e">
            <v>#N/A</v>
          </cell>
          <cell r="H487" t="e">
            <v>#N/A</v>
          </cell>
          <cell r="I487" t="str">
            <v>3205DTONER</v>
          </cell>
        </row>
        <row r="488">
          <cell r="D488">
            <v>885251</v>
          </cell>
          <cell r="E488" t="str">
            <v>EUR</v>
          </cell>
          <cell r="F488">
            <v>20.74</v>
          </cell>
          <cell r="G488" t="e">
            <v>#N/A</v>
          </cell>
          <cell r="H488" t="e">
            <v>#N/A</v>
          </cell>
          <cell r="I488" t="str">
            <v>3205DTONFRA</v>
          </cell>
        </row>
        <row r="489">
          <cell r="D489">
            <v>889415</v>
          </cell>
          <cell r="E489" t="str">
            <v>EUR</v>
          </cell>
          <cell r="F489">
            <v>35.96</v>
          </cell>
          <cell r="G489" t="e">
            <v>#N/A</v>
          </cell>
          <cell r="H489" t="e">
            <v>#N/A</v>
          </cell>
          <cell r="I489" t="str">
            <v>3300DEVUSA</v>
          </cell>
        </row>
        <row r="490">
          <cell r="D490">
            <v>889411</v>
          </cell>
          <cell r="E490" t="str">
            <v>EUR</v>
          </cell>
          <cell r="F490">
            <v>43.24</v>
          </cell>
          <cell r="G490" t="e">
            <v>#N/A</v>
          </cell>
          <cell r="H490" t="e">
            <v>#N/A</v>
          </cell>
          <cell r="I490" t="str">
            <v>3300TONERUK</v>
          </cell>
        </row>
        <row r="491">
          <cell r="D491">
            <v>887133</v>
          </cell>
          <cell r="E491" t="str">
            <v>EUR</v>
          </cell>
          <cell r="F491">
            <v>51.95</v>
          </cell>
          <cell r="G491" t="e">
            <v>#N/A</v>
          </cell>
          <cell r="H491" t="e">
            <v>#N/A</v>
          </cell>
          <cell r="I491" t="str">
            <v>4000DEVUSA</v>
          </cell>
        </row>
        <row r="492">
          <cell r="D492">
            <v>887621</v>
          </cell>
          <cell r="E492" t="str">
            <v>EUR</v>
          </cell>
          <cell r="F492">
            <v>36.85</v>
          </cell>
          <cell r="G492" t="e">
            <v>#N/A</v>
          </cell>
          <cell r="H492" t="e">
            <v>#N/A</v>
          </cell>
          <cell r="I492" t="str">
            <v>4000TONERUK</v>
          </cell>
        </row>
        <row r="493">
          <cell r="D493">
            <v>887564</v>
          </cell>
          <cell r="E493" t="str">
            <v>EUR</v>
          </cell>
          <cell r="F493">
            <v>32.520000000000003</v>
          </cell>
          <cell r="G493" t="str">
            <v>EUR</v>
          </cell>
          <cell r="H493" t="e">
            <v>#VALUE!</v>
          </cell>
          <cell r="I493" t="str">
            <v>4418DEVBLA</v>
          </cell>
        </row>
        <row r="494">
          <cell r="D494">
            <v>887566</v>
          </cell>
          <cell r="E494" t="str">
            <v>EUR</v>
          </cell>
          <cell r="F494">
            <v>67.45</v>
          </cell>
          <cell r="G494" t="str">
            <v>EUR</v>
          </cell>
          <cell r="H494" t="e">
            <v>#VALUE!</v>
          </cell>
          <cell r="I494" t="str">
            <v>4418DEVBLU</v>
          </cell>
        </row>
        <row r="495">
          <cell r="D495">
            <v>887567</v>
          </cell>
          <cell r="E495" t="str">
            <v>EUR</v>
          </cell>
          <cell r="F495">
            <v>67.45</v>
          </cell>
          <cell r="G495" t="str">
            <v>EUR</v>
          </cell>
          <cell r="H495" t="e">
            <v>#VALUE!</v>
          </cell>
          <cell r="I495" t="str">
            <v>4418DEVGRE</v>
          </cell>
        </row>
        <row r="496">
          <cell r="D496">
            <v>887565</v>
          </cell>
          <cell r="E496" t="str">
            <v>EUR</v>
          </cell>
          <cell r="F496">
            <v>64.11</v>
          </cell>
          <cell r="G496" t="str">
            <v>EUR</v>
          </cell>
          <cell r="H496" t="e">
            <v>#VALUE!</v>
          </cell>
          <cell r="I496" t="str">
            <v>4418DEVRED</v>
          </cell>
        </row>
        <row r="497">
          <cell r="D497">
            <v>887610</v>
          </cell>
          <cell r="E497" t="str">
            <v>EUR</v>
          </cell>
          <cell r="F497">
            <v>37.840000000000003</v>
          </cell>
          <cell r="G497" t="e">
            <v>#N/A</v>
          </cell>
          <cell r="H497" t="e">
            <v>#N/A</v>
          </cell>
          <cell r="I497" t="str">
            <v>4418TONBLAUK</v>
          </cell>
        </row>
        <row r="498">
          <cell r="D498">
            <v>887530</v>
          </cell>
          <cell r="E498" t="str">
            <v>EUR</v>
          </cell>
          <cell r="F498">
            <v>45.58</v>
          </cell>
          <cell r="G498" t="str">
            <v>EUR</v>
          </cell>
          <cell r="H498" t="e">
            <v>#VALUE!</v>
          </cell>
          <cell r="I498" t="str">
            <v>4418TONERBLU</v>
          </cell>
        </row>
        <row r="499">
          <cell r="D499">
            <v>887533</v>
          </cell>
          <cell r="E499" t="str">
            <v>EUR</v>
          </cell>
          <cell r="F499">
            <v>45.58</v>
          </cell>
          <cell r="G499" t="str">
            <v>EUR</v>
          </cell>
          <cell r="H499" t="e">
            <v>#VALUE!</v>
          </cell>
          <cell r="I499" t="str">
            <v>4418TONERGRE</v>
          </cell>
        </row>
        <row r="500">
          <cell r="D500">
            <v>887527</v>
          </cell>
          <cell r="E500" t="str">
            <v>EUR</v>
          </cell>
          <cell r="F500">
            <v>45.58</v>
          </cell>
          <cell r="G500" t="str">
            <v>EUR</v>
          </cell>
          <cell r="H500" t="e">
            <v>#VALUE!</v>
          </cell>
          <cell r="I500" t="str">
            <v>4418TONERRED</v>
          </cell>
        </row>
        <row r="501">
          <cell r="D501">
            <v>887459</v>
          </cell>
          <cell r="E501" t="str">
            <v>EUR</v>
          </cell>
          <cell r="F501">
            <v>136.13</v>
          </cell>
          <cell r="G501" t="str">
            <v>EUR</v>
          </cell>
          <cell r="H501" t="e">
            <v>#VALUE!</v>
          </cell>
          <cell r="I501" t="str">
            <v>4460TONERBLA</v>
          </cell>
        </row>
        <row r="502">
          <cell r="D502">
            <v>887453</v>
          </cell>
          <cell r="E502" t="str">
            <v>EUR</v>
          </cell>
          <cell r="F502">
            <v>39.21</v>
          </cell>
          <cell r="G502" t="str">
            <v>EUR</v>
          </cell>
          <cell r="H502" t="e">
            <v>#VALUE!</v>
          </cell>
          <cell r="I502" t="str">
            <v>4460TONERBLU</v>
          </cell>
        </row>
        <row r="503">
          <cell r="D503">
            <v>887454</v>
          </cell>
          <cell r="E503" t="str">
            <v>EUR</v>
          </cell>
          <cell r="F503">
            <v>39.21</v>
          </cell>
          <cell r="G503" t="str">
            <v>EUR</v>
          </cell>
          <cell r="H503" t="e">
            <v>#VALUE!</v>
          </cell>
          <cell r="I503" t="str">
            <v>4460TONERGRE</v>
          </cell>
        </row>
        <row r="504">
          <cell r="D504">
            <v>887454</v>
          </cell>
          <cell r="E504" t="str">
            <v>EUR</v>
          </cell>
          <cell r="F504">
            <v>39.21</v>
          </cell>
          <cell r="G504" t="str">
            <v>EUR</v>
          </cell>
          <cell r="H504" t="e">
            <v>#VALUE!</v>
          </cell>
          <cell r="I504" t="str">
            <v>4460TONERGRE</v>
          </cell>
        </row>
        <row r="505">
          <cell r="D505">
            <v>887452</v>
          </cell>
          <cell r="E505" t="str">
            <v>EUR</v>
          </cell>
          <cell r="F505">
            <v>39.21</v>
          </cell>
          <cell r="G505" t="str">
            <v>EUR</v>
          </cell>
          <cell r="H505" t="e">
            <v>#VALUE!</v>
          </cell>
          <cell r="I505" t="str">
            <v>4460TONERRED</v>
          </cell>
        </row>
        <row r="506">
          <cell r="D506">
            <v>887452</v>
          </cell>
          <cell r="E506" t="str">
            <v>EUR</v>
          </cell>
          <cell r="F506">
            <v>39.21</v>
          </cell>
          <cell r="G506" t="str">
            <v>EUR</v>
          </cell>
          <cell r="H506" t="e">
            <v>#VALUE!</v>
          </cell>
          <cell r="I506" t="str">
            <v>4460TONERRED</v>
          </cell>
        </row>
        <row r="507">
          <cell r="D507">
            <v>889490</v>
          </cell>
          <cell r="E507" t="str">
            <v>EUR</v>
          </cell>
          <cell r="F507">
            <v>31.21</v>
          </cell>
          <cell r="G507" t="e">
            <v>#N/A</v>
          </cell>
          <cell r="H507" t="e">
            <v>#N/A</v>
          </cell>
          <cell r="I507" t="str">
            <v>450TONERUK</v>
          </cell>
        </row>
        <row r="508">
          <cell r="D508">
            <v>887622</v>
          </cell>
          <cell r="E508" t="str">
            <v>EUR</v>
          </cell>
          <cell r="F508">
            <v>33.9</v>
          </cell>
          <cell r="G508" t="e">
            <v>#N/A</v>
          </cell>
          <cell r="H508" t="e">
            <v>#N/A</v>
          </cell>
          <cell r="I508" t="str">
            <v>5000TONERUK</v>
          </cell>
        </row>
        <row r="509">
          <cell r="D509">
            <v>887655</v>
          </cell>
          <cell r="E509" t="str">
            <v>EUR</v>
          </cell>
          <cell r="F509">
            <v>56.5</v>
          </cell>
          <cell r="G509" t="e">
            <v>#N/A</v>
          </cell>
          <cell r="H509" t="e">
            <v>#N/A</v>
          </cell>
          <cell r="I509" t="str">
            <v>5010TONBLUK</v>
          </cell>
        </row>
        <row r="510">
          <cell r="D510">
            <v>889292</v>
          </cell>
          <cell r="E510" t="str">
            <v>EUR</v>
          </cell>
          <cell r="F510">
            <v>24.9</v>
          </cell>
          <cell r="G510" t="str">
            <v>EUR</v>
          </cell>
          <cell r="H510" t="e">
            <v>#VALUE!</v>
          </cell>
          <cell r="I510" t="str">
            <v>510DEVBLU</v>
          </cell>
        </row>
        <row r="511">
          <cell r="D511">
            <v>889289</v>
          </cell>
          <cell r="E511" t="str">
            <v>EUR</v>
          </cell>
          <cell r="F511">
            <v>24.9</v>
          </cell>
          <cell r="G511" t="str">
            <v>EUR</v>
          </cell>
          <cell r="H511" t="e">
            <v>#VALUE!</v>
          </cell>
          <cell r="I511" t="str">
            <v>510DEVRED</v>
          </cell>
        </row>
        <row r="512">
          <cell r="D512">
            <v>887616</v>
          </cell>
          <cell r="E512" t="str">
            <v>EUR</v>
          </cell>
          <cell r="F512">
            <v>37.54</v>
          </cell>
          <cell r="G512" t="e">
            <v>#N/A</v>
          </cell>
          <cell r="H512" t="e">
            <v>#N/A</v>
          </cell>
          <cell r="I512" t="str">
            <v>510TONBLAUK</v>
          </cell>
        </row>
        <row r="513">
          <cell r="D513">
            <v>889283</v>
          </cell>
          <cell r="E513" t="str">
            <v>EUR</v>
          </cell>
          <cell r="F513">
            <v>44.42</v>
          </cell>
          <cell r="G513" t="str">
            <v>EUR</v>
          </cell>
          <cell r="H513" t="e">
            <v>#VALUE!</v>
          </cell>
          <cell r="I513" t="str">
            <v>510TONERBLU</v>
          </cell>
        </row>
        <row r="514">
          <cell r="D514">
            <v>889286</v>
          </cell>
          <cell r="E514" t="str">
            <v>EUR</v>
          </cell>
          <cell r="F514">
            <v>44.42</v>
          </cell>
          <cell r="G514" t="str">
            <v>EUR</v>
          </cell>
          <cell r="H514" t="e">
            <v>#VALUE!</v>
          </cell>
          <cell r="I514" t="str">
            <v>510TONERGRE</v>
          </cell>
        </row>
        <row r="515">
          <cell r="D515">
            <v>889280</v>
          </cell>
          <cell r="E515" t="str">
            <v>EUR</v>
          </cell>
          <cell r="F515">
            <v>44.42</v>
          </cell>
          <cell r="G515" t="str">
            <v>EUR</v>
          </cell>
          <cell r="H515" t="e">
            <v>#VALUE!</v>
          </cell>
          <cell r="I515" t="str">
            <v>510TONERRED</v>
          </cell>
        </row>
        <row r="516">
          <cell r="D516">
            <v>887741</v>
          </cell>
          <cell r="E516" t="str">
            <v>EUR</v>
          </cell>
          <cell r="F516">
            <v>121</v>
          </cell>
          <cell r="G516" t="e">
            <v>#N/A</v>
          </cell>
          <cell r="H516" t="e">
            <v>#N/A</v>
          </cell>
          <cell r="I516" t="str">
            <v>5200DTONER</v>
          </cell>
        </row>
        <row r="517">
          <cell r="D517">
            <v>885190</v>
          </cell>
          <cell r="E517" t="str">
            <v>EUR</v>
          </cell>
          <cell r="F517">
            <v>117.3</v>
          </cell>
          <cell r="G517" t="e">
            <v>#N/A</v>
          </cell>
          <cell r="H517" t="e">
            <v>#N/A</v>
          </cell>
          <cell r="I517" t="str">
            <v>5200DTONFRA</v>
          </cell>
        </row>
        <row r="518">
          <cell r="D518">
            <v>887995</v>
          </cell>
          <cell r="E518" t="str">
            <v>EUR</v>
          </cell>
          <cell r="F518">
            <v>130.72</v>
          </cell>
          <cell r="G518" t="e">
            <v>#N/A</v>
          </cell>
          <cell r="H518" t="e">
            <v>#N/A</v>
          </cell>
          <cell r="I518" t="str">
            <v>5205DTONER</v>
          </cell>
        </row>
        <row r="519">
          <cell r="D519">
            <v>885241</v>
          </cell>
          <cell r="E519" t="str">
            <v>EUR</v>
          </cell>
          <cell r="F519">
            <v>123.32</v>
          </cell>
          <cell r="G519" t="e">
            <v>#N/A</v>
          </cell>
          <cell r="H519" t="e">
            <v>#N/A</v>
          </cell>
          <cell r="I519" t="str">
            <v>5205DTONER2</v>
          </cell>
        </row>
        <row r="520">
          <cell r="D520">
            <v>887642</v>
          </cell>
          <cell r="E520" t="str">
            <v>EUR</v>
          </cell>
          <cell r="F520">
            <v>113.22</v>
          </cell>
          <cell r="G520" t="e">
            <v>#N/A</v>
          </cell>
          <cell r="H520" t="e">
            <v>#N/A</v>
          </cell>
          <cell r="I520" t="str">
            <v>610TONERUK</v>
          </cell>
        </row>
        <row r="521">
          <cell r="D521">
            <v>885274</v>
          </cell>
          <cell r="E521" t="str">
            <v>EUR</v>
          </cell>
          <cell r="F521">
            <v>31.58</v>
          </cell>
          <cell r="G521" t="e">
            <v>#N/A</v>
          </cell>
          <cell r="H521" t="e">
            <v>#N/A</v>
          </cell>
          <cell r="I521" t="str">
            <v>6210DTONER</v>
          </cell>
        </row>
        <row r="522">
          <cell r="D522">
            <v>887576</v>
          </cell>
          <cell r="E522" t="str">
            <v>EUR</v>
          </cell>
          <cell r="F522">
            <v>67.430000000000007</v>
          </cell>
          <cell r="G522" t="str">
            <v>EUR</v>
          </cell>
          <cell r="H522" t="e">
            <v>#VALUE!</v>
          </cell>
          <cell r="I522" t="str">
            <v>670DEV</v>
          </cell>
        </row>
        <row r="523">
          <cell r="D523">
            <v>887571</v>
          </cell>
          <cell r="E523" t="str">
            <v>EUR</v>
          </cell>
          <cell r="F523">
            <v>47.81</v>
          </cell>
          <cell r="G523" t="e">
            <v>#N/A</v>
          </cell>
          <cell r="H523" t="e">
            <v>#N/A</v>
          </cell>
          <cell r="I523" t="str">
            <v>670TONERUSA</v>
          </cell>
        </row>
        <row r="524">
          <cell r="D524">
            <v>887656</v>
          </cell>
          <cell r="E524" t="str">
            <v>EUR</v>
          </cell>
          <cell r="F524">
            <v>69.62</v>
          </cell>
          <cell r="G524" t="e">
            <v>#N/A</v>
          </cell>
          <cell r="H524" t="e">
            <v>#N/A</v>
          </cell>
          <cell r="I524" t="str">
            <v>7770TONERUK</v>
          </cell>
        </row>
        <row r="525">
          <cell r="D525">
            <v>887447</v>
          </cell>
          <cell r="E525" t="str">
            <v>EUR</v>
          </cell>
          <cell r="F525">
            <v>495.57</v>
          </cell>
          <cell r="G525" t="str">
            <v>EUR</v>
          </cell>
          <cell r="H525" t="e">
            <v>#VALUE!</v>
          </cell>
          <cell r="I525" t="str">
            <v>800TONERBLA</v>
          </cell>
        </row>
        <row r="526">
          <cell r="D526">
            <v>887188</v>
          </cell>
          <cell r="E526" t="str">
            <v>EUR</v>
          </cell>
          <cell r="F526">
            <v>162.24</v>
          </cell>
          <cell r="G526" t="str">
            <v>EUR</v>
          </cell>
          <cell r="H526" t="e">
            <v>#VALUE!</v>
          </cell>
          <cell r="I526" t="str">
            <v>820DEV</v>
          </cell>
        </row>
        <row r="527">
          <cell r="D527">
            <v>888009</v>
          </cell>
          <cell r="E527" t="str">
            <v>EUR</v>
          </cell>
          <cell r="F527">
            <v>139.9</v>
          </cell>
          <cell r="G527" t="str">
            <v>EUR</v>
          </cell>
          <cell r="H527" t="e">
            <v>#VALUE!</v>
          </cell>
          <cell r="I527" t="str">
            <v>8200DTONER</v>
          </cell>
        </row>
        <row r="528">
          <cell r="D528">
            <v>888157</v>
          </cell>
          <cell r="E528" t="str">
            <v>EUR</v>
          </cell>
          <cell r="F528">
            <v>36.28</v>
          </cell>
          <cell r="G528" t="e">
            <v>#N/A</v>
          </cell>
          <cell r="H528" t="e">
            <v>#N/A</v>
          </cell>
          <cell r="I528" t="str">
            <v>8205DTONER</v>
          </cell>
        </row>
        <row r="529">
          <cell r="D529">
            <v>885344</v>
          </cell>
          <cell r="E529" t="str">
            <v>EUR</v>
          </cell>
          <cell r="F529">
            <v>34.229999999999997</v>
          </cell>
          <cell r="G529" t="e">
            <v>#N/A</v>
          </cell>
          <cell r="H529" t="e">
            <v>#N/A</v>
          </cell>
          <cell r="I529" t="str">
            <v>8205DTONFRA</v>
          </cell>
        </row>
        <row r="530">
          <cell r="D530">
            <v>889580</v>
          </cell>
          <cell r="E530" t="str">
            <v>EUR</v>
          </cell>
          <cell r="F530">
            <v>145.87</v>
          </cell>
          <cell r="G530" t="str">
            <v>EUR</v>
          </cell>
          <cell r="H530" t="e">
            <v>#VALUE!</v>
          </cell>
          <cell r="I530" t="str">
            <v>8800DEVBLA</v>
          </cell>
        </row>
        <row r="531">
          <cell r="D531">
            <v>887695</v>
          </cell>
          <cell r="E531" t="str">
            <v>EUR</v>
          </cell>
          <cell r="F531">
            <v>238.17</v>
          </cell>
          <cell r="G531" t="e">
            <v>#N/A</v>
          </cell>
          <cell r="H531" t="e">
            <v>#N/A</v>
          </cell>
          <cell r="I531" t="str">
            <v>8800TONERUK</v>
          </cell>
        </row>
        <row r="532">
          <cell r="D532">
            <v>209890</v>
          </cell>
          <cell r="E532" t="str">
            <v>EUR</v>
          </cell>
          <cell r="F532">
            <v>104.21</v>
          </cell>
          <cell r="G532" t="str">
            <v>EUR</v>
          </cell>
          <cell r="H532" t="e">
            <v>#VALUE!</v>
          </cell>
          <cell r="I532" t="str">
            <v>AF251MAST</v>
          </cell>
        </row>
        <row r="533">
          <cell r="D533">
            <v>400398</v>
          </cell>
          <cell r="E533" t="str">
            <v>EUR</v>
          </cell>
          <cell r="F533">
            <v>57.15</v>
          </cell>
          <cell r="G533" t="str">
            <v>EUR</v>
          </cell>
          <cell r="H533" t="e">
            <v>#VALUE!</v>
          </cell>
          <cell r="I533" t="str">
            <v>AP1400TONER</v>
          </cell>
        </row>
        <row r="534">
          <cell r="D534">
            <v>400679</v>
          </cell>
          <cell r="E534" t="str">
            <v>EUR</v>
          </cell>
          <cell r="F534">
            <v>147.27000000000001</v>
          </cell>
          <cell r="G534" t="e">
            <v>#N/A</v>
          </cell>
          <cell r="H534" t="e">
            <v>#N/A</v>
          </cell>
          <cell r="I534" t="str">
            <v>AP200TONCHN</v>
          </cell>
        </row>
        <row r="535">
          <cell r="D535">
            <v>400618</v>
          </cell>
          <cell r="E535" t="str">
            <v>EUR</v>
          </cell>
          <cell r="F535">
            <v>147.27000000000001</v>
          </cell>
          <cell r="G535" t="e">
            <v>#N/A</v>
          </cell>
          <cell r="H535" t="e">
            <v>#N/A</v>
          </cell>
          <cell r="I535" t="str">
            <v>AP200TONER</v>
          </cell>
        </row>
        <row r="536">
          <cell r="D536">
            <v>400395</v>
          </cell>
          <cell r="E536" t="str">
            <v>EUR</v>
          </cell>
          <cell r="F536">
            <v>95.43</v>
          </cell>
          <cell r="G536" t="str">
            <v>EUR</v>
          </cell>
          <cell r="H536" t="e">
            <v>#VALUE!</v>
          </cell>
          <cell r="I536" t="str">
            <v>AP2000TONER</v>
          </cell>
        </row>
        <row r="537">
          <cell r="D537">
            <v>400321</v>
          </cell>
          <cell r="E537" t="str">
            <v>EUR</v>
          </cell>
          <cell r="F537">
            <v>25.22</v>
          </cell>
          <cell r="G537" t="str">
            <v>EUR</v>
          </cell>
          <cell r="H537" t="e">
            <v>#VALUE!</v>
          </cell>
          <cell r="I537" t="str">
            <v>AP204OIL</v>
          </cell>
        </row>
        <row r="538">
          <cell r="D538">
            <v>400320</v>
          </cell>
          <cell r="E538" t="str">
            <v>EUR</v>
          </cell>
          <cell r="F538">
            <v>136.46</v>
          </cell>
          <cell r="G538" t="str">
            <v>EUR</v>
          </cell>
          <cell r="H538" t="e">
            <v>#VALUE!</v>
          </cell>
          <cell r="I538" t="str">
            <v>AP204PCU</v>
          </cell>
        </row>
        <row r="539">
          <cell r="D539">
            <v>400316</v>
          </cell>
          <cell r="E539" t="str">
            <v>EUR</v>
          </cell>
          <cell r="F539">
            <v>63.16</v>
          </cell>
          <cell r="G539" t="str">
            <v>EUR</v>
          </cell>
          <cell r="H539" t="e">
            <v>#VALUE!</v>
          </cell>
          <cell r="I539" t="str">
            <v>AP204TONBLA</v>
          </cell>
        </row>
        <row r="540">
          <cell r="D540">
            <v>400317</v>
          </cell>
          <cell r="E540" t="str">
            <v>EUR</v>
          </cell>
          <cell r="F540">
            <v>56.38</v>
          </cell>
          <cell r="G540" t="str">
            <v>EUR</v>
          </cell>
          <cell r="H540" t="e">
            <v>#VALUE!</v>
          </cell>
          <cell r="I540" t="str">
            <v>AP204TONCYN</v>
          </cell>
        </row>
        <row r="541">
          <cell r="D541">
            <v>400318</v>
          </cell>
          <cell r="E541" t="str">
            <v>EUR</v>
          </cell>
          <cell r="F541">
            <v>56.38</v>
          </cell>
          <cell r="G541" t="str">
            <v>EUR</v>
          </cell>
          <cell r="H541" t="e">
            <v>#VALUE!</v>
          </cell>
          <cell r="I541" t="str">
            <v>AP204TONMAG</v>
          </cell>
        </row>
        <row r="542">
          <cell r="D542">
            <v>400319</v>
          </cell>
          <cell r="E542" t="str">
            <v>EUR</v>
          </cell>
          <cell r="F542">
            <v>56.38</v>
          </cell>
          <cell r="G542" t="str">
            <v>EUR</v>
          </cell>
          <cell r="H542" t="e">
            <v>#VALUE!</v>
          </cell>
          <cell r="I542" t="str">
            <v>AP204TONYLW</v>
          </cell>
        </row>
        <row r="543">
          <cell r="D543">
            <v>400322</v>
          </cell>
          <cell r="E543" t="str">
            <v>EUR</v>
          </cell>
          <cell r="F543">
            <v>8.2799999999999994</v>
          </cell>
          <cell r="G543" t="str">
            <v>EUR</v>
          </cell>
          <cell r="H543" t="e">
            <v>#VALUE!</v>
          </cell>
          <cell r="I543" t="str">
            <v>AP204WASTE</v>
          </cell>
        </row>
        <row r="544">
          <cell r="D544">
            <v>400514</v>
          </cell>
          <cell r="E544" t="str">
            <v>EUR</v>
          </cell>
          <cell r="F544">
            <v>25.32</v>
          </cell>
          <cell r="G544" t="str">
            <v>EUR</v>
          </cell>
          <cell r="H544" t="e">
            <v>#VALUE!</v>
          </cell>
          <cell r="I544" t="str">
            <v>AP206FUSER</v>
          </cell>
        </row>
        <row r="545">
          <cell r="D545">
            <v>400511</v>
          </cell>
          <cell r="E545" t="str">
            <v>EUR</v>
          </cell>
          <cell r="F545">
            <v>151.63</v>
          </cell>
          <cell r="G545" t="str">
            <v>EUR</v>
          </cell>
          <cell r="H545" t="e">
            <v>#VALUE!</v>
          </cell>
          <cell r="I545" t="str">
            <v>AP206PCU</v>
          </cell>
        </row>
        <row r="546">
          <cell r="D546">
            <v>400507</v>
          </cell>
          <cell r="E546" t="str">
            <v>EUR</v>
          </cell>
          <cell r="F546">
            <v>73.680000000000007</v>
          </cell>
          <cell r="G546" t="str">
            <v>EUR</v>
          </cell>
          <cell r="H546" t="e">
            <v>#VALUE!</v>
          </cell>
          <cell r="I546" t="str">
            <v>AP206TONBLA</v>
          </cell>
        </row>
        <row r="547">
          <cell r="D547">
            <v>400508</v>
          </cell>
          <cell r="E547" t="str">
            <v>EUR</v>
          </cell>
          <cell r="F547">
            <v>69.739999999999995</v>
          </cell>
          <cell r="G547" t="str">
            <v>EUR</v>
          </cell>
          <cell r="H547" t="e">
            <v>#VALUE!</v>
          </cell>
          <cell r="I547" t="str">
            <v>AP206TONCYN</v>
          </cell>
        </row>
        <row r="548">
          <cell r="D548">
            <v>400509</v>
          </cell>
          <cell r="E548" t="str">
            <v>EUR</v>
          </cell>
          <cell r="F548">
            <v>69.739999999999995</v>
          </cell>
          <cell r="G548" t="str">
            <v>EUR</v>
          </cell>
          <cell r="H548" t="e">
            <v>#VALUE!</v>
          </cell>
          <cell r="I548" t="str">
            <v>AP206TONMAG</v>
          </cell>
        </row>
        <row r="549">
          <cell r="D549">
            <v>400510</v>
          </cell>
          <cell r="E549" t="str">
            <v>EUR</v>
          </cell>
          <cell r="F549">
            <v>69.739999999999995</v>
          </cell>
          <cell r="G549" t="str">
            <v>EUR</v>
          </cell>
          <cell r="H549" t="e">
            <v>#VALUE!</v>
          </cell>
          <cell r="I549" t="str">
            <v>AP206TONYLW</v>
          </cell>
        </row>
        <row r="550">
          <cell r="D550">
            <v>400513</v>
          </cell>
          <cell r="E550" t="str">
            <v>EUR</v>
          </cell>
          <cell r="F550">
            <v>8.2799999999999994</v>
          </cell>
          <cell r="G550" t="e">
            <v>#N/A</v>
          </cell>
          <cell r="H550" t="e">
            <v>#N/A</v>
          </cell>
          <cell r="I550" t="str">
            <v>AP206WASTE</v>
          </cell>
        </row>
        <row r="551">
          <cell r="D551">
            <v>400760</v>
          </cell>
          <cell r="E551" t="str">
            <v>EUR</v>
          </cell>
          <cell r="F551">
            <v>147.27000000000001</v>
          </cell>
          <cell r="G551" t="str">
            <v>EUR</v>
          </cell>
          <cell r="H551" t="e">
            <v>#VALUE!</v>
          </cell>
          <cell r="I551" t="str">
            <v>AP215TONCHN</v>
          </cell>
        </row>
        <row r="552">
          <cell r="D552">
            <v>400342</v>
          </cell>
          <cell r="E552" t="str">
            <v>EUR</v>
          </cell>
          <cell r="F552">
            <v>17.45</v>
          </cell>
          <cell r="G552" t="e">
            <v>#N/A</v>
          </cell>
          <cell r="H552" t="e">
            <v>#N/A</v>
          </cell>
          <cell r="I552" t="str">
            <v>AP305OIL</v>
          </cell>
        </row>
        <row r="553">
          <cell r="D553">
            <v>400344</v>
          </cell>
          <cell r="E553" t="str">
            <v>EUR</v>
          </cell>
          <cell r="F553">
            <v>231.68</v>
          </cell>
          <cell r="G553" t="str">
            <v>EUR</v>
          </cell>
          <cell r="H553" t="e">
            <v>#VALUE!</v>
          </cell>
          <cell r="I553" t="str">
            <v>AP305PCU</v>
          </cell>
        </row>
        <row r="554">
          <cell r="D554">
            <v>400338</v>
          </cell>
          <cell r="E554" t="str">
            <v>EUR</v>
          </cell>
          <cell r="F554">
            <v>81</v>
          </cell>
          <cell r="G554" t="e">
            <v>#N/A</v>
          </cell>
          <cell r="H554" t="e">
            <v>#N/A</v>
          </cell>
          <cell r="I554" t="str">
            <v>AP305TONBLA</v>
          </cell>
        </row>
        <row r="555">
          <cell r="D555">
            <v>400339</v>
          </cell>
          <cell r="E555" t="str">
            <v>EUR</v>
          </cell>
          <cell r="F555">
            <v>100</v>
          </cell>
          <cell r="G555" t="e">
            <v>#N/A</v>
          </cell>
          <cell r="H555" t="e">
            <v>#N/A</v>
          </cell>
          <cell r="I555" t="str">
            <v>AP305TONCYN</v>
          </cell>
        </row>
        <row r="556">
          <cell r="D556">
            <v>400340</v>
          </cell>
          <cell r="E556" t="str">
            <v>EUR</v>
          </cell>
          <cell r="F556">
            <v>100</v>
          </cell>
          <cell r="G556" t="e">
            <v>#N/A</v>
          </cell>
          <cell r="H556" t="e">
            <v>#N/A</v>
          </cell>
          <cell r="I556" t="str">
            <v>AP305TONMAG</v>
          </cell>
        </row>
        <row r="557">
          <cell r="D557">
            <v>400341</v>
          </cell>
          <cell r="E557" t="str">
            <v>EUR</v>
          </cell>
          <cell r="F557">
            <v>100</v>
          </cell>
          <cell r="G557" t="e">
            <v>#N/A</v>
          </cell>
          <cell r="H557" t="e">
            <v>#N/A</v>
          </cell>
          <cell r="I557" t="str">
            <v>AP305TONYLW</v>
          </cell>
        </row>
        <row r="558">
          <cell r="D558">
            <v>400343</v>
          </cell>
          <cell r="E558" t="str">
            <v>EUR</v>
          </cell>
          <cell r="F558">
            <v>10.66</v>
          </cell>
          <cell r="G558" t="str">
            <v>EUR</v>
          </cell>
          <cell r="H558" t="e">
            <v>#VALUE!</v>
          </cell>
          <cell r="I558" t="str">
            <v>AP305WASTE</v>
          </cell>
        </row>
        <row r="559">
          <cell r="D559">
            <v>400496</v>
          </cell>
          <cell r="E559" t="str">
            <v>EUR</v>
          </cell>
          <cell r="F559">
            <v>14.96</v>
          </cell>
          <cell r="G559" t="str">
            <v>EUR</v>
          </cell>
          <cell r="H559" t="e">
            <v>#VALUE!</v>
          </cell>
          <cell r="I559" t="str">
            <v>AP306CHARGER</v>
          </cell>
        </row>
        <row r="560">
          <cell r="D560">
            <v>400497</v>
          </cell>
          <cell r="E560" t="str">
            <v>EUR</v>
          </cell>
          <cell r="F560">
            <v>16.7</v>
          </cell>
          <cell r="G560" t="str">
            <v>EUR</v>
          </cell>
          <cell r="H560" t="e">
            <v>#VALUE!</v>
          </cell>
          <cell r="I560" t="str">
            <v>AP306OIL</v>
          </cell>
        </row>
        <row r="561">
          <cell r="D561">
            <v>400490</v>
          </cell>
          <cell r="E561" t="str">
            <v>EUR</v>
          </cell>
          <cell r="F561">
            <v>272.57</v>
          </cell>
          <cell r="G561" t="str">
            <v>EUR</v>
          </cell>
          <cell r="H561" t="e">
            <v>#VALUE!</v>
          </cell>
          <cell r="I561" t="str">
            <v>AP306PCU</v>
          </cell>
        </row>
        <row r="562">
          <cell r="D562">
            <v>400491</v>
          </cell>
          <cell r="E562" t="str">
            <v>EUR</v>
          </cell>
          <cell r="F562">
            <v>89.65</v>
          </cell>
          <cell r="G562" t="str">
            <v>EUR</v>
          </cell>
          <cell r="H562" t="e">
            <v>#VALUE!</v>
          </cell>
          <cell r="I562" t="str">
            <v>AP306TONBLA</v>
          </cell>
        </row>
        <row r="563">
          <cell r="D563">
            <v>400492</v>
          </cell>
          <cell r="E563" t="str">
            <v>EUR</v>
          </cell>
          <cell r="F563">
            <v>110.67</v>
          </cell>
          <cell r="G563" t="str">
            <v>EUR</v>
          </cell>
          <cell r="H563" t="e">
            <v>#VALUE!</v>
          </cell>
          <cell r="I563" t="str">
            <v>AP306TONCYN</v>
          </cell>
        </row>
        <row r="564">
          <cell r="D564">
            <v>400493</v>
          </cell>
          <cell r="E564" t="str">
            <v>EUR</v>
          </cell>
          <cell r="F564">
            <v>110.67</v>
          </cell>
          <cell r="G564" t="str">
            <v>EUR</v>
          </cell>
          <cell r="H564" t="e">
            <v>#VALUE!</v>
          </cell>
          <cell r="I564" t="str">
            <v>AP306TONMAG</v>
          </cell>
        </row>
        <row r="565">
          <cell r="D565">
            <v>400494</v>
          </cell>
          <cell r="E565" t="str">
            <v>EUR</v>
          </cell>
          <cell r="F565">
            <v>110.67</v>
          </cell>
          <cell r="G565" t="str">
            <v>EUR</v>
          </cell>
          <cell r="H565" t="e">
            <v>#VALUE!</v>
          </cell>
          <cell r="I565" t="str">
            <v>AP306TONYLW</v>
          </cell>
        </row>
        <row r="566">
          <cell r="D566">
            <v>400495</v>
          </cell>
          <cell r="E566" t="str">
            <v>EUR</v>
          </cell>
          <cell r="F566">
            <v>10.45</v>
          </cell>
          <cell r="G566" t="str">
            <v>EUR</v>
          </cell>
          <cell r="H566" t="e">
            <v>#VALUE!</v>
          </cell>
          <cell r="I566" t="str">
            <v>AP306WASTE</v>
          </cell>
        </row>
        <row r="567">
          <cell r="D567">
            <v>889409</v>
          </cell>
          <cell r="E567" t="str">
            <v>EUR</v>
          </cell>
          <cell r="F567">
            <v>28.91</v>
          </cell>
          <cell r="G567" t="str">
            <v>EUR</v>
          </cell>
          <cell r="H567" t="e">
            <v>#VALUE!</v>
          </cell>
          <cell r="I567" t="str">
            <v>CLEANCARRIER</v>
          </cell>
        </row>
        <row r="568">
          <cell r="D568">
            <v>392000</v>
          </cell>
          <cell r="E568" t="str">
            <v>EUR</v>
          </cell>
          <cell r="F568">
            <v>64.36</v>
          </cell>
          <cell r="G568" t="str">
            <v>EUR</v>
          </cell>
          <cell r="H568" t="e">
            <v>#VALUE!</v>
          </cell>
          <cell r="I568" t="str">
            <v>DEVCART12PLS</v>
          </cell>
        </row>
        <row r="569">
          <cell r="D569">
            <v>889759</v>
          </cell>
          <cell r="E569" t="str">
            <v>EUR</v>
          </cell>
          <cell r="F569">
            <v>27.9</v>
          </cell>
          <cell r="G569" t="str">
            <v>EUR</v>
          </cell>
          <cell r="H569" t="e">
            <v>#VALUE!</v>
          </cell>
          <cell r="I569" t="str">
            <v>DEVTYPEFBLA</v>
          </cell>
        </row>
        <row r="570">
          <cell r="D570">
            <v>889762</v>
          </cell>
          <cell r="E570" t="str">
            <v>EUR</v>
          </cell>
          <cell r="F570">
            <v>27.9</v>
          </cell>
          <cell r="G570" t="str">
            <v>EUR</v>
          </cell>
          <cell r="H570" t="e">
            <v>#VALUE!</v>
          </cell>
          <cell r="I570" t="str">
            <v>DEVTYPEFCYN</v>
          </cell>
        </row>
        <row r="571">
          <cell r="D571">
            <v>889761</v>
          </cell>
          <cell r="E571" t="str">
            <v>EUR</v>
          </cell>
          <cell r="F571">
            <v>27.9</v>
          </cell>
          <cell r="G571" t="str">
            <v>EUR</v>
          </cell>
          <cell r="H571" t="e">
            <v>#VALUE!</v>
          </cell>
          <cell r="I571" t="str">
            <v>DEVTYPEFMAG</v>
          </cell>
        </row>
        <row r="572">
          <cell r="D572">
            <v>889760</v>
          </cell>
          <cell r="E572" t="str">
            <v>EUR</v>
          </cell>
          <cell r="F572">
            <v>27.9</v>
          </cell>
          <cell r="G572" t="str">
            <v>EUR</v>
          </cell>
          <cell r="H572" t="e">
            <v>#VALUE!</v>
          </cell>
          <cell r="I572" t="str">
            <v>DEVTYPEFYLW</v>
          </cell>
        </row>
        <row r="573">
          <cell r="D573">
            <v>889882</v>
          </cell>
          <cell r="E573" t="str">
            <v>EUR</v>
          </cell>
          <cell r="F573">
            <v>27.9</v>
          </cell>
          <cell r="G573" t="str">
            <v>EUR</v>
          </cell>
          <cell r="H573" t="e">
            <v>#VALUE!</v>
          </cell>
          <cell r="I573" t="str">
            <v>DEVTYPEGCYN</v>
          </cell>
        </row>
        <row r="574">
          <cell r="D574">
            <v>889881</v>
          </cell>
          <cell r="E574" t="str">
            <v>EUR</v>
          </cell>
          <cell r="F574">
            <v>27.9</v>
          </cell>
          <cell r="G574" t="str">
            <v>EUR</v>
          </cell>
          <cell r="H574" t="e">
            <v>#VALUE!</v>
          </cell>
          <cell r="I574" t="str">
            <v>DEVTYPEGMAG</v>
          </cell>
        </row>
        <row r="575">
          <cell r="D575">
            <v>889880</v>
          </cell>
          <cell r="E575" t="str">
            <v>EUR</v>
          </cell>
          <cell r="F575">
            <v>27.9</v>
          </cell>
          <cell r="G575" t="str">
            <v>EUR</v>
          </cell>
          <cell r="H575" t="e">
            <v>#VALUE!</v>
          </cell>
          <cell r="I575" t="str">
            <v>DEVTYPEGYLW</v>
          </cell>
        </row>
        <row r="576">
          <cell r="D576">
            <v>887880</v>
          </cell>
          <cell r="E576" t="str">
            <v>EUR</v>
          </cell>
          <cell r="F576">
            <v>22.82</v>
          </cell>
          <cell r="G576" t="str">
            <v>EUR</v>
          </cell>
          <cell r="H576" t="e">
            <v>#VALUE!</v>
          </cell>
          <cell r="I576" t="str">
            <v>DEVTYPEKBLA</v>
          </cell>
        </row>
        <row r="577">
          <cell r="D577">
            <v>887883</v>
          </cell>
          <cell r="E577" t="str">
            <v>EUR</v>
          </cell>
          <cell r="F577">
            <v>57.22</v>
          </cell>
          <cell r="G577" t="str">
            <v>EUR</v>
          </cell>
          <cell r="H577" t="e">
            <v>#VALUE!</v>
          </cell>
          <cell r="I577" t="str">
            <v>DEVTYPEKCYN</v>
          </cell>
        </row>
        <row r="578">
          <cell r="D578">
            <v>887882</v>
          </cell>
          <cell r="E578" t="str">
            <v>EUR</v>
          </cell>
          <cell r="F578">
            <v>57.22</v>
          </cell>
          <cell r="G578" t="str">
            <v>EUR</v>
          </cell>
          <cell r="H578" t="e">
            <v>#VALUE!</v>
          </cell>
          <cell r="I578" t="str">
            <v>DEVTYPEKMAG</v>
          </cell>
        </row>
        <row r="579">
          <cell r="D579">
            <v>887881</v>
          </cell>
          <cell r="E579" t="str">
            <v>EUR</v>
          </cell>
          <cell r="F579">
            <v>57.22</v>
          </cell>
          <cell r="G579" t="str">
            <v>EUR</v>
          </cell>
          <cell r="H579" t="e">
            <v>#VALUE!</v>
          </cell>
          <cell r="I579" t="str">
            <v>DEVTYPEKYLW</v>
          </cell>
        </row>
        <row r="580">
          <cell r="D580">
            <v>887951</v>
          </cell>
          <cell r="E580" t="str">
            <v>EUR</v>
          </cell>
          <cell r="F580">
            <v>78.94</v>
          </cell>
          <cell r="G580" t="str">
            <v>EUR</v>
          </cell>
          <cell r="H580" t="e">
            <v>#VALUE!</v>
          </cell>
          <cell r="I580" t="str">
            <v>DEVTYPELBLA</v>
          </cell>
        </row>
        <row r="581">
          <cell r="D581">
            <v>887954</v>
          </cell>
          <cell r="E581" t="str">
            <v>EUR</v>
          </cell>
          <cell r="F581">
            <v>63.14</v>
          </cell>
          <cell r="G581" t="str">
            <v>EUR</v>
          </cell>
          <cell r="H581" t="e">
            <v>#VALUE!</v>
          </cell>
          <cell r="I581" t="str">
            <v>DEVTYPELCYN</v>
          </cell>
        </row>
        <row r="582">
          <cell r="D582">
            <v>887953</v>
          </cell>
          <cell r="E582" t="str">
            <v>EUR</v>
          </cell>
          <cell r="F582">
            <v>63.14</v>
          </cell>
          <cell r="G582" t="str">
            <v>EUR</v>
          </cell>
          <cell r="H582" t="e">
            <v>#VALUE!</v>
          </cell>
          <cell r="I582" t="str">
            <v>DEVTYPELMAG</v>
          </cell>
        </row>
        <row r="583">
          <cell r="D583">
            <v>887952</v>
          </cell>
          <cell r="E583" t="str">
            <v>EUR</v>
          </cell>
          <cell r="F583">
            <v>63.14</v>
          </cell>
          <cell r="G583" t="str">
            <v>EUR</v>
          </cell>
          <cell r="H583" t="e">
            <v>#VALUE!</v>
          </cell>
          <cell r="I583" t="str">
            <v>DEVTYPELYLW</v>
          </cell>
        </row>
        <row r="584">
          <cell r="D584">
            <v>889455</v>
          </cell>
          <cell r="E584" t="str">
            <v>EUR</v>
          </cell>
          <cell r="F584">
            <v>76.8</v>
          </cell>
          <cell r="G584" t="e">
            <v>#N/A</v>
          </cell>
          <cell r="H584" t="e">
            <v>#N/A</v>
          </cell>
          <cell r="I584" t="str">
            <v>DEVTYPE1</v>
          </cell>
        </row>
        <row r="585">
          <cell r="D585">
            <v>885176</v>
          </cell>
          <cell r="E585" t="str">
            <v>EUR</v>
          </cell>
          <cell r="F585">
            <v>77.14</v>
          </cell>
          <cell r="G585" t="e">
            <v>#N/A</v>
          </cell>
          <cell r="H585" t="e">
            <v>#N/A</v>
          </cell>
          <cell r="I585" t="str">
            <v>DEVTYPE1USA</v>
          </cell>
        </row>
        <row r="586">
          <cell r="D586">
            <v>888010</v>
          </cell>
          <cell r="E586" t="str">
            <v>EUR</v>
          </cell>
          <cell r="F586">
            <v>81.510000000000005</v>
          </cell>
          <cell r="G586" t="str">
            <v>EUR</v>
          </cell>
          <cell r="H586" t="e">
            <v>#VALUE!</v>
          </cell>
          <cell r="I586" t="str">
            <v>DEVTYPE14</v>
          </cell>
        </row>
        <row r="587">
          <cell r="D587">
            <v>888002</v>
          </cell>
          <cell r="E587" t="str">
            <v>EUR</v>
          </cell>
          <cell r="F587">
            <v>197.91</v>
          </cell>
          <cell r="G587" t="str">
            <v>EUR</v>
          </cell>
          <cell r="H587" t="e">
            <v>#VALUE!</v>
          </cell>
          <cell r="I587" t="str">
            <v>DEVTYPE15</v>
          </cell>
        </row>
        <row r="588">
          <cell r="D588">
            <v>888114</v>
          </cell>
          <cell r="E588" t="str">
            <v>EUR</v>
          </cell>
          <cell r="F588">
            <v>37.68</v>
          </cell>
          <cell r="G588" t="str">
            <v>EUR</v>
          </cell>
          <cell r="H588" t="e">
            <v>#VALUE!</v>
          </cell>
          <cell r="I588" t="str">
            <v>DEVTYPE16W</v>
          </cell>
        </row>
        <row r="589">
          <cell r="D589">
            <v>888073</v>
          </cell>
          <cell r="E589" t="str">
            <v>EUR</v>
          </cell>
          <cell r="F589">
            <v>52</v>
          </cell>
          <cell r="G589" t="str">
            <v>EUR</v>
          </cell>
          <cell r="H589" t="e">
            <v>#VALUE!</v>
          </cell>
          <cell r="I589" t="str">
            <v>DEVTYPE18</v>
          </cell>
        </row>
        <row r="590">
          <cell r="D590">
            <v>888095</v>
          </cell>
          <cell r="E590" t="str">
            <v>EUR</v>
          </cell>
          <cell r="F590">
            <v>20.88</v>
          </cell>
          <cell r="G590" t="str">
            <v>EUR</v>
          </cell>
          <cell r="H590" t="e">
            <v>#VALUE!</v>
          </cell>
          <cell r="I590" t="str">
            <v>DEVTYPE19</v>
          </cell>
        </row>
        <row r="591">
          <cell r="D591">
            <v>887637</v>
          </cell>
          <cell r="E591" t="str">
            <v>EUR</v>
          </cell>
          <cell r="F591">
            <v>247.17</v>
          </cell>
          <cell r="G591" t="str">
            <v>EUR</v>
          </cell>
          <cell r="H591" t="e">
            <v>#VALUE!</v>
          </cell>
          <cell r="I591" t="str">
            <v>DEVTYPE2</v>
          </cell>
        </row>
        <row r="592">
          <cell r="D592">
            <v>888164</v>
          </cell>
          <cell r="E592" t="str">
            <v>EUR</v>
          </cell>
          <cell r="F592">
            <v>15.67</v>
          </cell>
          <cell r="G592" t="str">
            <v>EUR</v>
          </cell>
          <cell r="H592" t="e">
            <v>#VALUE!</v>
          </cell>
          <cell r="I592" t="str">
            <v>DEVTYPE21</v>
          </cell>
        </row>
        <row r="593">
          <cell r="D593">
            <v>885281</v>
          </cell>
          <cell r="E593" t="str">
            <v>EUR</v>
          </cell>
          <cell r="F593">
            <v>62.07</v>
          </cell>
          <cell r="G593" t="e">
            <v>#N/A</v>
          </cell>
          <cell r="H593" t="e">
            <v>#N/A</v>
          </cell>
          <cell r="I593" t="str">
            <v>DEVTYPE24</v>
          </cell>
        </row>
        <row r="594">
          <cell r="D594">
            <v>889855</v>
          </cell>
          <cell r="E594" t="str">
            <v>EUR</v>
          </cell>
          <cell r="F594">
            <v>51.12</v>
          </cell>
          <cell r="G594" t="str">
            <v>EUR</v>
          </cell>
          <cell r="H594" t="e">
            <v>#VALUE!</v>
          </cell>
          <cell r="I594" t="str">
            <v>DEVTYPE3</v>
          </cell>
        </row>
        <row r="595">
          <cell r="D595">
            <v>887733</v>
          </cell>
          <cell r="E595" t="str">
            <v>EUR</v>
          </cell>
          <cell r="F595">
            <v>200.15</v>
          </cell>
          <cell r="G595" t="str">
            <v>EUR</v>
          </cell>
          <cell r="H595" t="e">
            <v>#VALUE!</v>
          </cell>
          <cell r="I595" t="str">
            <v>DEVTYPE5</v>
          </cell>
        </row>
        <row r="596">
          <cell r="D596">
            <v>887748</v>
          </cell>
          <cell r="E596" t="str">
            <v>EUR</v>
          </cell>
          <cell r="F596">
            <v>201.42</v>
          </cell>
          <cell r="G596" t="str">
            <v>EUR</v>
          </cell>
          <cell r="H596" t="e">
            <v>#VALUE!</v>
          </cell>
          <cell r="I596" t="str">
            <v>DEVTYPE7</v>
          </cell>
        </row>
        <row r="597">
          <cell r="D597">
            <v>887797</v>
          </cell>
          <cell r="E597" t="str">
            <v>EUR</v>
          </cell>
          <cell r="F597">
            <v>209.48</v>
          </cell>
          <cell r="G597" t="str">
            <v>EUR</v>
          </cell>
          <cell r="H597" t="e">
            <v>#VALUE!</v>
          </cell>
          <cell r="I597" t="str">
            <v>DEVTYPE9</v>
          </cell>
        </row>
        <row r="598">
          <cell r="D598">
            <v>339032</v>
          </cell>
          <cell r="E598" t="str">
            <v>EUR</v>
          </cell>
          <cell r="F598">
            <v>49.68</v>
          </cell>
          <cell r="G598" t="e">
            <v>#N/A</v>
          </cell>
          <cell r="H598" t="e">
            <v>#N/A</v>
          </cell>
          <cell r="I598" t="str">
            <v>FAXCART1200</v>
          </cell>
        </row>
        <row r="599">
          <cell r="D599">
            <v>923180</v>
          </cell>
          <cell r="E599" t="str">
            <v>EUR</v>
          </cell>
          <cell r="F599">
            <v>86.59</v>
          </cell>
          <cell r="G599" t="e">
            <v>#N/A</v>
          </cell>
          <cell r="H599" t="e">
            <v>#N/A</v>
          </cell>
          <cell r="I599" t="str">
            <v>FAXCART61BLA</v>
          </cell>
        </row>
        <row r="600">
          <cell r="D600">
            <v>923181</v>
          </cell>
          <cell r="E600" t="str">
            <v>EUR</v>
          </cell>
          <cell r="F600">
            <v>86.59</v>
          </cell>
          <cell r="G600" t="e">
            <v>#N/A</v>
          </cell>
          <cell r="H600" t="e">
            <v>#N/A</v>
          </cell>
          <cell r="I600" t="str">
            <v>FAXCART61CLR</v>
          </cell>
        </row>
        <row r="601">
          <cell r="D601">
            <v>430013</v>
          </cell>
          <cell r="E601" t="str">
            <v>EUR</v>
          </cell>
          <cell r="F601">
            <v>17.38</v>
          </cell>
          <cell r="G601" t="str">
            <v>EUR</v>
          </cell>
          <cell r="H601" t="e">
            <v>#VALUE!</v>
          </cell>
          <cell r="I601" t="str">
            <v>FAXCART68BLA</v>
          </cell>
        </row>
        <row r="602">
          <cell r="D602">
            <v>430014</v>
          </cell>
          <cell r="E602" t="str">
            <v>EUR</v>
          </cell>
          <cell r="F602">
            <v>24.84</v>
          </cell>
          <cell r="G602" t="str">
            <v>EUR</v>
          </cell>
          <cell r="H602" t="e">
            <v>#VALUE!</v>
          </cell>
          <cell r="I602" t="str">
            <v>FAXCART68CLR</v>
          </cell>
        </row>
        <row r="603">
          <cell r="D603">
            <v>334238</v>
          </cell>
          <cell r="E603" t="str">
            <v>EUR</v>
          </cell>
          <cell r="F603">
            <v>670.99</v>
          </cell>
          <cell r="G603" t="e">
            <v>#N/A</v>
          </cell>
          <cell r="H603" t="e">
            <v>#N/A</v>
          </cell>
          <cell r="I603" t="str">
            <v>FAXCART800</v>
          </cell>
        </row>
        <row r="604">
          <cell r="D604">
            <v>339353</v>
          </cell>
          <cell r="E604" t="str">
            <v>EUR</v>
          </cell>
          <cell r="F604">
            <v>857.58</v>
          </cell>
          <cell r="G604" t="e">
            <v>#N/A</v>
          </cell>
          <cell r="H604" t="e">
            <v>#N/A</v>
          </cell>
          <cell r="I604" t="str">
            <v>FAXCART88BLA</v>
          </cell>
        </row>
        <row r="605">
          <cell r="D605">
            <v>339342</v>
          </cell>
          <cell r="E605" t="str">
            <v>EUR</v>
          </cell>
          <cell r="F605">
            <v>1200.95</v>
          </cell>
          <cell r="G605" t="e">
            <v>#N/A</v>
          </cell>
          <cell r="H605" t="e">
            <v>#N/A</v>
          </cell>
          <cell r="I605" t="str">
            <v>FAXCART88CLR</v>
          </cell>
        </row>
        <row r="606">
          <cell r="D606">
            <v>894716</v>
          </cell>
          <cell r="E606" t="str">
            <v>EUR</v>
          </cell>
          <cell r="F606">
            <v>239.38</v>
          </cell>
          <cell r="G606" t="str">
            <v>EUR</v>
          </cell>
          <cell r="H606" t="e">
            <v>#VALUE!</v>
          </cell>
          <cell r="I606" t="str">
            <v>FAXMASTER100</v>
          </cell>
        </row>
        <row r="607">
          <cell r="D607">
            <v>889347</v>
          </cell>
          <cell r="E607" t="str">
            <v>EUR</v>
          </cell>
          <cell r="F607">
            <v>238.47</v>
          </cell>
          <cell r="G607" t="str">
            <v>EUR</v>
          </cell>
          <cell r="H607" t="e">
            <v>#VALUE!</v>
          </cell>
          <cell r="I607" t="str">
            <v>FAXMASTER30</v>
          </cell>
        </row>
        <row r="608">
          <cell r="D608">
            <v>593928</v>
          </cell>
          <cell r="E608" t="str">
            <v>EUR</v>
          </cell>
          <cell r="F608">
            <v>450.76</v>
          </cell>
          <cell r="G608" t="str">
            <v>EUR</v>
          </cell>
          <cell r="H608" t="e">
            <v>#VALUE!</v>
          </cell>
          <cell r="I608" t="str">
            <v>FAXMAST1000L</v>
          </cell>
        </row>
        <row r="609">
          <cell r="D609">
            <v>339472</v>
          </cell>
          <cell r="E609" t="str">
            <v>EUR</v>
          </cell>
          <cell r="F609">
            <v>177.42</v>
          </cell>
          <cell r="G609" t="str">
            <v>EUR</v>
          </cell>
          <cell r="H609" t="e">
            <v>#VALUE!</v>
          </cell>
          <cell r="I609" t="str">
            <v>FAXMAST70</v>
          </cell>
        </row>
        <row r="610">
          <cell r="D610">
            <v>339343</v>
          </cell>
          <cell r="E610" t="str">
            <v>EUR</v>
          </cell>
          <cell r="F610">
            <v>343.62</v>
          </cell>
          <cell r="G610" t="e">
            <v>#N/A</v>
          </cell>
          <cell r="H610" t="e">
            <v>#N/A</v>
          </cell>
          <cell r="I610" t="str">
            <v>FAXREF88BLA</v>
          </cell>
        </row>
        <row r="611">
          <cell r="D611">
            <v>339344</v>
          </cell>
          <cell r="E611" t="str">
            <v>EUR</v>
          </cell>
          <cell r="F611">
            <v>816.99</v>
          </cell>
          <cell r="G611" t="e">
            <v>#N/A</v>
          </cell>
          <cell r="H611" t="e">
            <v>#N/A</v>
          </cell>
          <cell r="I611" t="str">
            <v>FAXREF88CLR</v>
          </cell>
        </row>
        <row r="612">
          <cell r="D612">
            <v>920616</v>
          </cell>
          <cell r="E612" t="str">
            <v>EUR</v>
          </cell>
          <cell r="F612">
            <v>140.31</v>
          </cell>
          <cell r="G612" t="e">
            <v>#N/A</v>
          </cell>
          <cell r="H612" t="e">
            <v>#N/A</v>
          </cell>
          <cell r="I612" t="str">
            <v>FAXRIBBON500</v>
          </cell>
        </row>
        <row r="613">
          <cell r="D613">
            <v>430244</v>
          </cell>
          <cell r="E613" t="str">
            <v>EUR</v>
          </cell>
          <cell r="F613">
            <v>41.02</v>
          </cell>
          <cell r="G613" t="str">
            <v>EUR</v>
          </cell>
          <cell r="H613" t="e">
            <v>#VALUE!</v>
          </cell>
          <cell r="I613" t="str">
            <v>FAXTNR1435CN</v>
          </cell>
        </row>
        <row r="614">
          <cell r="D614">
            <v>430400</v>
          </cell>
          <cell r="E614" t="str">
            <v>EUR</v>
          </cell>
          <cell r="F614">
            <v>54.83</v>
          </cell>
          <cell r="G614" t="e">
            <v>#N/A</v>
          </cell>
          <cell r="H614" t="e">
            <v>#N/A</v>
          </cell>
          <cell r="I614" t="str">
            <v>FAXTN1265KOR</v>
          </cell>
        </row>
        <row r="615">
          <cell r="D615">
            <v>430159</v>
          </cell>
          <cell r="E615" t="str">
            <v>EUR</v>
          </cell>
          <cell r="F615">
            <v>38.450000000000003</v>
          </cell>
          <cell r="G615" t="e">
            <v>#N/A</v>
          </cell>
          <cell r="H615" t="e">
            <v>#N/A</v>
          </cell>
          <cell r="I615" t="str">
            <v>FAXTONER1430</v>
          </cell>
        </row>
        <row r="616">
          <cell r="D616">
            <v>430245</v>
          </cell>
          <cell r="E616" t="str">
            <v>EUR</v>
          </cell>
          <cell r="F616">
            <v>74.95</v>
          </cell>
          <cell r="G616" t="str">
            <v>EUR</v>
          </cell>
          <cell r="H616" t="e">
            <v>#VALUE!</v>
          </cell>
          <cell r="I616" t="str">
            <v>FAXTONER5210</v>
          </cell>
        </row>
        <row r="617">
          <cell r="D617">
            <v>339474</v>
          </cell>
          <cell r="E617" t="str">
            <v>EUR</v>
          </cell>
          <cell r="F617">
            <v>202.86</v>
          </cell>
          <cell r="G617" t="str">
            <v>EUR</v>
          </cell>
          <cell r="H617" t="e">
            <v>#VALUE!</v>
          </cell>
          <cell r="I617" t="str">
            <v>FAXTONER70</v>
          </cell>
        </row>
        <row r="618">
          <cell r="D618">
            <v>593901</v>
          </cell>
          <cell r="E618" t="str">
            <v>EUR</v>
          </cell>
          <cell r="F618">
            <v>51.32</v>
          </cell>
          <cell r="G618" t="e">
            <v>#N/A</v>
          </cell>
          <cell r="H618" t="e">
            <v>#N/A</v>
          </cell>
          <cell r="I618" t="str">
            <v>FAXTON1000L</v>
          </cell>
        </row>
        <row r="619">
          <cell r="D619">
            <v>430278</v>
          </cell>
          <cell r="E619" t="str">
            <v>EUR</v>
          </cell>
          <cell r="F619">
            <v>43.76</v>
          </cell>
          <cell r="G619" t="str">
            <v>EUR</v>
          </cell>
          <cell r="H619" t="e">
            <v>#VALUE!</v>
          </cell>
          <cell r="I619" t="str">
            <v>FAXTON1240CN</v>
          </cell>
        </row>
        <row r="620">
          <cell r="D620">
            <v>430351</v>
          </cell>
          <cell r="E620" t="str">
            <v>EUR</v>
          </cell>
          <cell r="F620">
            <v>36.21</v>
          </cell>
          <cell r="G620" t="str">
            <v>EUR</v>
          </cell>
          <cell r="H620" t="e">
            <v>#VALUE!</v>
          </cell>
          <cell r="I620" t="str">
            <v>FAXTON1260CN</v>
          </cell>
        </row>
        <row r="621">
          <cell r="D621">
            <v>430225</v>
          </cell>
          <cell r="E621" t="str">
            <v>EUR</v>
          </cell>
          <cell r="F621">
            <v>42.13</v>
          </cell>
          <cell r="G621" t="str">
            <v>EUR</v>
          </cell>
          <cell r="H621" t="e">
            <v>#VALUE!</v>
          </cell>
          <cell r="I621" t="str">
            <v>FAXTON1435CN</v>
          </cell>
        </row>
        <row r="622">
          <cell r="D622">
            <v>339481</v>
          </cell>
          <cell r="E622" t="str">
            <v>EUR</v>
          </cell>
          <cell r="F622">
            <v>177.61</v>
          </cell>
          <cell r="G622" t="e">
            <v>#N/A</v>
          </cell>
          <cell r="H622" t="e">
            <v>#N/A</v>
          </cell>
          <cell r="I622" t="str">
            <v>FAXTON150FRA</v>
          </cell>
        </row>
        <row r="623">
          <cell r="D623">
            <v>889878</v>
          </cell>
          <cell r="E623" t="str">
            <v>EUR</v>
          </cell>
          <cell r="F623">
            <v>148.43</v>
          </cell>
          <cell r="G623" t="str">
            <v>EUR</v>
          </cell>
          <cell r="H623" t="e">
            <v>#VALUE!</v>
          </cell>
          <cell r="I623" t="str">
            <v>FAXTON30TWN</v>
          </cell>
        </row>
        <row r="624">
          <cell r="D624">
            <v>400323</v>
          </cell>
          <cell r="E624" t="str">
            <v>EUR</v>
          </cell>
          <cell r="F624">
            <v>25.32</v>
          </cell>
          <cell r="G624" t="str">
            <v>EUR</v>
          </cell>
          <cell r="H624" t="e">
            <v>#VALUE!</v>
          </cell>
          <cell r="I624" t="str">
            <v>FUSER204</v>
          </cell>
        </row>
        <row r="625">
          <cell r="D625">
            <v>889782</v>
          </cell>
          <cell r="E625" t="str">
            <v>EUR</v>
          </cell>
          <cell r="F625">
            <v>111.27</v>
          </cell>
          <cell r="G625" t="str">
            <v>EUR</v>
          </cell>
          <cell r="H625" t="e">
            <v>#VALUE!</v>
          </cell>
          <cell r="I625" t="str">
            <v>IMAGEUNIT1</v>
          </cell>
        </row>
        <row r="626">
          <cell r="D626">
            <v>208050</v>
          </cell>
          <cell r="E626" t="str">
            <v>EUR</v>
          </cell>
          <cell r="F626">
            <v>309.99</v>
          </cell>
          <cell r="G626" t="e">
            <v>#N/A</v>
          </cell>
          <cell r="H626" t="e">
            <v>#N/A</v>
          </cell>
          <cell r="I626" t="str">
            <v>LR1TONERBLA</v>
          </cell>
        </row>
        <row r="627">
          <cell r="D627">
            <v>400404</v>
          </cell>
          <cell r="E627" t="str">
            <v>EUR</v>
          </cell>
          <cell r="F627">
            <v>83.61</v>
          </cell>
          <cell r="G627" t="str">
            <v>EUR</v>
          </cell>
          <cell r="H627" t="e">
            <v>#VALUE!</v>
          </cell>
          <cell r="I627" t="str">
            <v>MAINTEN1400</v>
          </cell>
        </row>
        <row r="628">
          <cell r="D628">
            <v>400401</v>
          </cell>
          <cell r="E628" t="str">
            <v>EUR</v>
          </cell>
          <cell r="F628">
            <v>96.4</v>
          </cell>
          <cell r="G628" t="str">
            <v>EUR</v>
          </cell>
          <cell r="H628" t="e">
            <v>#VALUE!</v>
          </cell>
          <cell r="I628" t="str">
            <v>MAINTEN2000</v>
          </cell>
        </row>
        <row r="629">
          <cell r="D629">
            <v>400620</v>
          </cell>
          <cell r="E629" t="str">
            <v>EUR</v>
          </cell>
          <cell r="F629">
            <v>106.22</v>
          </cell>
          <cell r="G629" t="str">
            <v>EUR</v>
          </cell>
          <cell r="H629" t="e">
            <v>#VALUE!</v>
          </cell>
          <cell r="I629" t="str">
            <v>MAINT2600CHN</v>
          </cell>
        </row>
        <row r="630">
          <cell r="D630">
            <v>400594</v>
          </cell>
          <cell r="E630" t="str">
            <v>EUR</v>
          </cell>
          <cell r="F630">
            <v>93.2</v>
          </cell>
          <cell r="G630" t="str">
            <v>EUR</v>
          </cell>
          <cell r="H630" t="e">
            <v>#VALUE!</v>
          </cell>
          <cell r="I630" t="str">
            <v>MAINT3800A</v>
          </cell>
        </row>
        <row r="631">
          <cell r="D631">
            <v>400595</v>
          </cell>
          <cell r="E631" t="str">
            <v>EUR</v>
          </cell>
          <cell r="F631">
            <v>177.55</v>
          </cell>
          <cell r="G631" t="str">
            <v>EUR</v>
          </cell>
          <cell r="H631" t="e">
            <v>#VALUE!</v>
          </cell>
          <cell r="I631" t="str">
            <v>MAINT3800B</v>
          </cell>
        </row>
        <row r="632">
          <cell r="D632">
            <v>400569</v>
          </cell>
          <cell r="E632" t="str">
            <v>EUR</v>
          </cell>
          <cell r="F632">
            <v>195.76</v>
          </cell>
          <cell r="G632" t="str">
            <v>EUR</v>
          </cell>
          <cell r="H632" t="e">
            <v>#VALUE!</v>
          </cell>
          <cell r="I632" t="str">
            <v>MAINT3800C</v>
          </cell>
        </row>
        <row r="633">
          <cell r="D633">
            <v>400661</v>
          </cell>
          <cell r="E633" t="str">
            <v>EUR</v>
          </cell>
          <cell r="F633">
            <v>54.36</v>
          </cell>
          <cell r="G633" t="str">
            <v>EUR</v>
          </cell>
          <cell r="H633" t="e">
            <v>#VALUE!</v>
          </cell>
          <cell r="I633" t="str">
            <v>MAINT3800D</v>
          </cell>
        </row>
        <row r="634">
          <cell r="D634">
            <v>400662</v>
          </cell>
          <cell r="E634" t="str">
            <v>EUR</v>
          </cell>
          <cell r="F634">
            <v>5.19</v>
          </cell>
          <cell r="G634" t="str">
            <v>EUR</v>
          </cell>
          <cell r="H634" t="e">
            <v>#VALUE!</v>
          </cell>
          <cell r="I634" t="str">
            <v>MAINT3800E</v>
          </cell>
        </row>
        <row r="635">
          <cell r="D635">
            <v>400548</v>
          </cell>
          <cell r="E635" t="str">
            <v>EUR</v>
          </cell>
          <cell r="F635">
            <v>29.44</v>
          </cell>
          <cell r="G635" t="str">
            <v>EUR</v>
          </cell>
          <cell r="H635" t="e">
            <v>#VALUE!</v>
          </cell>
          <cell r="I635" t="str">
            <v>MAINT3800F</v>
          </cell>
        </row>
        <row r="636">
          <cell r="D636">
            <v>400549</v>
          </cell>
          <cell r="E636" t="str">
            <v>EUR</v>
          </cell>
          <cell r="F636">
            <v>27.51</v>
          </cell>
          <cell r="G636" t="str">
            <v>EUR</v>
          </cell>
          <cell r="H636" t="e">
            <v>#VALUE!</v>
          </cell>
          <cell r="I636" t="str">
            <v>MAINT3800G</v>
          </cell>
        </row>
        <row r="637">
          <cell r="D637">
            <v>400576</v>
          </cell>
          <cell r="E637" t="str">
            <v>EUR</v>
          </cell>
          <cell r="F637">
            <v>2.68</v>
          </cell>
          <cell r="G637" t="str">
            <v>EUR</v>
          </cell>
          <cell r="H637" t="e">
            <v>#VALUE!</v>
          </cell>
          <cell r="I637" t="str">
            <v>MAINT3800H</v>
          </cell>
        </row>
        <row r="638">
          <cell r="D638">
            <v>209911</v>
          </cell>
          <cell r="E638" t="str">
            <v>EUR</v>
          </cell>
          <cell r="F638">
            <v>104.21</v>
          </cell>
          <cell r="G638" t="str">
            <v>EUR</v>
          </cell>
          <cell r="H638" t="e">
            <v>#VALUE!</v>
          </cell>
          <cell r="I638" t="str">
            <v>MV250MAST</v>
          </cell>
        </row>
        <row r="639">
          <cell r="D639">
            <v>894718</v>
          </cell>
          <cell r="E639" t="str">
            <v>EUR</v>
          </cell>
          <cell r="F639">
            <v>239.38</v>
          </cell>
          <cell r="G639" t="str">
            <v>EUR</v>
          </cell>
          <cell r="H639" t="e">
            <v>#VALUE!</v>
          </cell>
          <cell r="I639" t="str">
            <v>MV300MAST</v>
          </cell>
        </row>
        <row r="640">
          <cell r="D640">
            <v>887675</v>
          </cell>
          <cell r="E640" t="str">
            <v>EUR</v>
          </cell>
          <cell r="F640">
            <v>222.79</v>
          </cell>
          <cell r="G640" t="str">
            <v>EUR</v>
          </cell>
          <cell r="H640" t="e">
            <v>#VALUE!</v>
          </cell>
          <cell r="I640" t="str">
            <v>MV300TONER</v>
          </cell>
        </row>
        <row r="641">
          <cell r="D641">
            <v>889606</v>
          </cell>
          <cell r="E641" t="str">
            <v>EUR</v>
          </cell>
          <cell r="F641">
            <v>104.03</v>
          </cell>
          <cell r="G641" t="str">
            <v>EUR</v>
          </cell>
          <cell r="H641" t="e">
            <v>#VALUE!</v>
          </cell>
          <cell r="I641" t="str">
            <v>MV80MAST</v>
          </cell>
        </row>
        <row r="642">
          <cell r="D642">
            <v>889744</v>
          </cell>
          <cell r="E642" t="str">
            <v>EUR</v>
          </cell>
          <cell r="F642">
            <v>55.01</v>
          </cell>
          <cell r="G642" t="str">
            <v>EUR</v>
          </cell>
          <cell r="H642" t="e">
            <v>#VALUE!</v>
          </cell>
          <cell r="I642" t="str">
            <v>MV80TONER</v>
          </cell>
        </row>
        <row r="643">
          <cell r="D643">
            <v>889015</v>
          </cell>
          <cell r="E643" t="str">
            <v>EUR</v>
          </cell>
          <cell r="F643">
            <v>126.4</v>
          </cell>
          <cell r="G643" t="e">
            <v>#N/A</v>
          </cell>
          <cell r="H643" t="e">
            <v>#N/A</v>
          </cell>
          <cell r="I643" t="str">
            <v>M10MASTUNT2</v>
          </cell>
        </row>
        <row r="644">
          <cell r="D644">
            <v>887660</v>
          </cell>
          <cell r="E644" t="str">
            <v>EUR</v>
          </cell>
          <cell r="F644">
            <v>23.59</v>
          </cell>
          <cell r="G644" t="e">
            <v>#N/A</v>
          </cell>
          <cell r="H644" t="e">
            <v>#N/A</v>
          </cell>
          <cell r="I644" t="str">
            <v>M10TONBLAUK</v>
          </cell>
        </row>
        <row r="645">
          <cell r="D645">
            <v>889351</v>
          </cell>
          <cell r="E645" t="str">
            <v>EUR</v>
          </cell>
          <cell r="F645">
            <v>128.18</v>
          </cell>
          <cell r="G645" t="str">
            <v>EUR</v>
          </cell>
          <cell r="H645" t="e">
            <v>#VALUE!</v>
          </cell>
          <cell r="I645" t="str">
            <v>M100MASTUNT2</v>
          </cell>
        </row>
        <row r="646">
          <cell r="D646">
            <v>889260</v>
          </cell>
          <cell r="E646" t="str">
            <v>EUR</v>
          </cell>
          <cell r="F646">
            <v>118.13</v>
          </cell>
          <cell r="G646" t="str">
            <v>EUR</v>
          </cell>
          <cell r="H646" t="e">
            <v>#VALUE!</v>
          </cell>
          <cell r="I646" t="str">
            <v>M5MASTUNT2</v>
          </cell>
        </row>
        <row r="647">
          <cell r="D647">
            <v>887659</v>
          </cell>
          <cell r="E647" t="str">
            <v>EUR</v>
          </cell>
          <cell r="F647">
            <v>23.59</v>
          </cell>
          <cell r="G647" t="e">
            <v>#N/A</v>
          </cell>
          <cell r="H647" t="e">
            <v>#N/A</v>
          </cell>
          <cell r="I647" t="str">
            <v>M5TONERBLAUK</v>
          </cell>
        </row>
        <row r="648">
          <cell r="D648">
            <v>882019</v>
          </cell>
          <cell r="E648" t="str">
            <v>EUR</v>
          </cell>
          <cell r="F648">
            <v>43.8</v>
          </cell>
          <cell r="G648" t="e">
            <v>#N/A</v>
          </cell>
          <cell r="H648" t="e">
            <v>#N/A</v>
          </cell>
          <cell r="I648" t="str">
            <v>M5TONERGRE</v>
          </cell>
        </row>
        <row r="649">
          <cell r="D649">
            <v>889207</v>
          </cell>
          <cell r="E649" t="str">
            <v>EUR</v>
          </cell>
          <cell r="F649">
            <v>40.51</v>
          </cell>
          <cell r="G649" t="str">
            <v>EUR</v>
          </cell>
          <cell r="H649" t="e">
            <v>#VALUE!</v>
          </cell>
          <cell r="I649" t="str">
            <v>M5TONERRED</v>
          </cell>
        </row>
        <row r="650">
          <cell r="D650">
            <v>887664</v>
          </cell>
          <cell r="E650" t="str">
            <v>EUR</v>
          </cell>
          <cell r="F650">
            <v>26.21</v>
          </cell>
          <cell r="G650" t="e">
            <v>#N/A</v>
          </cell>
          <cell r="H650" t="e">
            <v>#N/A</v>
          </cell>
          <cell r="I650" t="str">
            <v>M6TONERGER</v>
          </cell>
        </row>
        <row r="651">
          <cell r="D651">
            <v>889408</v>
          </cell>
          <cell r="E651" t="str">
            <v>EUR</v>
          </cell>
          <cell r="F651">
            <v>48.52</v>
          </cell>
          <cell r="G651" t="str">
            <v>EUR</v>
          </cell>
          <cell r="H651" t="e">
            <v>#VALUE!</v>
          </cell>
          <cell r="I651" t="str">
            <v>NC11DEVCYN</v>
          </cell>
        </row>
        <row r="652">
          <cell r="D652">
            <v>889407</v>
          </cell>
          <cell r="E652" t="str">
            <v>EUR</v>
          </cell>
          <cell r="F652">
            <v>48.52</v>
          </cell>
          <cell r="G652" t="str">
            <v>EUR</v>
          </cell>
          <cell r="H652" t="e">
            <v>#VALUE!</v>
          </cell>
          <cell r="I652" t="str">
            <v>NC11DEVMAG</v>
          </cell>
        </row>
        <row r="653">
          <cell r="D653">
            <v>889406</v>
          </cell>
          <cell r="E653" t="str">
            <v>EUR</v>
          </cell>
          <cell r="F653">
            <v>48.52</v>
          </cell>
          <cell r="G653" t="str">
            <v>EUR</v>
          </cell>
          <cell r="H653" t="e">
            <v>#VALUE!</v>
          </cell>
          <cell r="I653" t="str">
            <v>NC11DEVYLW</v>
          </cell>
        </row>
        <row r="654">
          <cell r="D654">
            <v>887481</v>
          </cell>
          <cell r="E654" t="str">
            <v>EUR</v>
          </cell>
          <cell r="F654">
            <v>134.29</v>
          </cell>
          <cell r="G654" t="e">
            <v>#N/A</v>
          </cell>
          <cell r="H654" t="e">
            <v>#N/A</v>
          </cell>
          <cell r="I654" t="str">
            <v>NC11TONERBLA</v>
          </cell>
        </row>
        <row r="655">
          <cell r="D655">
            <v>887487</v>
          </cell>
          <cell r="E655" t="str">
            <v>EUR</v>
          </cell>
          <cell r="F655">
            <v>75.459999999999994</v>
          </cell>
          <cell r="G655" t="str">
            <v>EUR</v>
          </cell>
          <cell r="H655" t="e">
            <v>#VALUE!</v>
          </cell>
          <cell r="I655" t="str">
            <v>NC11TONERCYN</v>
          </cell>
        </row>
        <row r="656">
          <cell r="D656">
            <v>887485</v>
          </cell>
          <cell r="E656" t="str">
            <v>EUR</v>
          </cell>
          <cell r="F656">
            <v>75.459999999999994</v>
          </cell>
          <cell r="G656" t="str">
            <v>EUR</v>
          </cell>
          <cell r="H656" t="e">
            <v>#VALUE!</v>
          </cell>
          <cell r="I656" t="str">
            <v>NC11TONERMAG</v>
          </cell>
        </row>
        <row r="657">
          <cell r="D657">
            <v>887483</v>
          </cell>
          <cell r="E657" t="str">
            <v>EUR</v>
          </cell>
          <cell r="F657">
            <v>75.459999999999994</v>
          </cell>
          <cell r="G657" t="str">
            <v>EUR</v>
          </cell>
          <cell r="H657" t="e">
            <v>#VALUE!</v>
          </cell>
          <cell r="I657" t="str">
            <v>NC11TONERYLW</v>
          </cell>
        </row>
        <row r="658">
          <cell r="D658">
            <v>889526</v>
          </cell>
          <cell r="E658" t="str">
            <v>EUR</v>
          </cell>
          <cell r="F658">
            <v>98.77</v>
          </cell>
          <cell r="G658" t="str">
            <v>EUR</v>
          </cell>
          <cell r="H658" t="e">
            <v>#VALUE!</v>
          </cell>
          <cell r="I658" t="str">
            <v>NC305DEVBLA</v>
          </cell>
        </row>
        <row r="659">
          <cell r="D659">
            <v>394800</v>
          </cell>
          <cell r="E659" t="str">
            <v>EUR</v>
          </cell>
          <cell r="F659">
            <v>94.42</v>
          </cell>
          <cell r="G659" t="str">
            <v>EUR</v>
          </cell>
          <cell r="H659" t="e">
            <v>#VALUE!</v>
          </cell>
          <cell r="I659" t="str">
            <v>OPCCARTTYP12</v>
          </cell>
        </row>
        <row r="660">
          <cell r="D660">
            <v>411113</v>
          </cell>
          <cell r="E660" t="str">
            <v>EUR</v>
          </cell>
          <cell r="F660">
            <v>62.01</v>
          </cell>
          <cell r="G660" t="str">
            <v>EUR</v>
          </cell>
          <cell r="H660" t="e">
            <v>#VALUE!</v>
          </cell>
          <cell r="I660" t="str">
            <v>PCU1013CHN</v>
          </cell>
        </row>
        <row r="661">
          <cell r="D661">
            <v>411018</v>
          </cell>
          <cell r="E661" t="str">
            <v>EUR</v>
          </cell>
          <cell r="F661">
            <v>117.67</v>
          </cell>
          <cell r="G661" t="str">
            <v>EUR</v>
          </cell>
          <cell r="H661" t="e">
            <v>#VALUE!</v>
          </cell>
          <cell r="I661" t="str">
            <v>PCU1027</v>
          </cell>
        </row>
        <row r="662">
          <cell r="D662">
            <v>410423</v>
          </cell>
          <cell r="E662" t="str">
            <v>EUR</v>
          </cell>
          <cell r="F662">
            <v>125.26</v>
          </cell>
          <cell r="G662" t="str">
            <v>EUR</v>
          </cell>
          <cell r="H662" t="e">
            <v>#VALUE!</v>
          </cell>
          <cell r="I662" t="str">
            <v>PCU270</v>
          </cell>
        </row>
        <row r="663">
          <cell r="D663">
            <v>400633</v>
          </cell>
          <cell r="E663" t="str">
            <v>EUR</v>
          </cell>
          <cell r="F663">
            <v>117.67</v>
          </cell>
          <cell r="G663" t="str">
            <v>EUR</v>
          </cell>
          <cell r="H663" t="e">
            <v>#VALUE!</v>
          </cell>
          <cell r="I663" t="str">
            <v>PCU320</v>
          </cell>
        </row>
        <row r="664">
          <cell r="D664">
            <v>410509</v>
          </cell>
          <cell r="E664" t="str">
            <v>EUR</v>
          </cell>
          <cell r="F664">
            <v>57.77</v>
          </cell>
          <cell r="G664" t="str">
            <v>EUR</v>
          </cell>
          <cell r="H664" t="e">
            <v>#VALUE!</v>
          </cell>
          <cell r="I664" t="str">
            <v>STAPLEREFH</v>
          </cell>
        </row>
        <row r="665">
          <cell r="D665">
            <v>410509</v>
          </cell>
          <cell r="E665" t="str">
            <v>EUR</v>
          </cell>
          <cell r="F665">
            <v>57.52</v>
          </cell>
          <cell r="G665" t="str">
            <v>EUR</v>
          </cell>
          <cell r="H665" t="e">
            <v>#VALUE!</v>
          </cell>
          <cell r="I665" t="str">
            <v>STAPLEREFH</v>
          </cell>
        </row>
        <row r="666">
          <cell r="D666">
            <v>410802</v>
          </cell>
          <cell r="E666" t="str">
            <v>EUR</v>
          </cell>
          <cell r="F666">
            <v>27.48</v>
          </cell>
          <cell r="G666" t="str">
            <v>EUR</v>
          </cell>
          <cell r="H666" t="e">
            <v>#VALUE!</v>
          </cell>
          <cell r="I666" t="str">
            <v>STAPLEREFK</v>
          </cell>
        </row>
        <row r="667">
          <cell r="D667">
            <v>411241</v>
          </cell>
          <cell r="E667" t="str">
            <v>EUR</v>
          </cell>
          <cell r="F667">
            <v>19.75</v>
          </cell>
          <cell r="G667" t="str">
            <v>EUR</v>
          </cell>
          <cell r="H667" t="e">
            <v>#VALUE!</v>
          </cell>
          <cell r="I667" t="str">
            <v>STAPLEREFL</v>
          </cell>
        </row>
        <row r="668">
          <cell r="D668">
            <v>207866</v>
          </cell>
          <cell r="E668" t="str">
            <v>EUR</v>
          </cell>
          <cell r="F668">
            <v>29.36</v>
          </cell>
          <cell r="G668" t="e">
            <v>#N/A</v>
          </cell>
          <cell r="H668" t="e">
            <v>#N/A</v>
          </cell>
          <cell r="I668" t="str">
            <v>STAPLETYPEB</v>
          </cell>
        </row>
        <row r="669">
          <cell r="D669">
            <v>208171</v>
          </cell>
          <cell r="E669" t="str">
            <v>EUR</v>
          </cell>
          <cell r="F669">
            <v>22.06</v>
          </cell>
          <cell r="G669" t="str">
            <v>EUR</v>
          </cell>
          <cell r="H669" t="e">
            <v>#VALUE!</v>
          </cell>
          <cell r="I669" t="str">
            <v>STAPLETYPEC</v>
          </cell>
        </row>
        <row r="670">
          <cell r="D670">
            <v>208532</v>
          </cell>
          <cell r="E670" t="str">
            <v>EUR</v>
          </cell>
          <cell r="F670">
            <v>17.64</v>
          </cell>
          <cell r="G670" t="str">
            <v>EUR</v>
          </cell>
          <cell r="H670" t="e">
            <v>#VALUE!</v>
          </cell>
          <cell r="I670" t="str">
            <v>STAPLETYPED</v>
          </cell>
        </row>
        <row r="671">
          <cell r="D671">
            <v>317927</v>
          </cell>
          <cell r="E671" t="str">
            <v>EUR</v>
          </cell>
          <cell r="F671">
            <v>16.03</v>
          </cell>
          <cell r="G671" t="str">
            <v>EUR</v>
          </cell>
          <cell r="H671" t="e">
            <v>#VALUE!</v>
          </cell>
          <cell r="I671" t="str">
            <v>STAPLETYPEE</v>
          </cell>
        </row>
        <row r="672">
          <cell r="D672">
            <v>209307</v>
          </cell>
          <cell r="E672" t="str">
            <v>EUR</v>
          </cell>
          <cell r="F672">
            <v>24.08</v>
          </cell>
          <cell r="G672" t="str">
            <v>EUR</v>
          </cell>
          <cell r="H672" t="e">
            <v>#VALUE!</v>
          </cell>
          <cell r="I672" t="str">
            <v>STAPLETYPEF</v>
          </cell>
        </row>
        <row r="673">
          <cell r="D673">
            <v>410133</v>
          </cell>
          <cell r="E673" t="str">
            <v>EUR</v>
          </cell>
          <cell r="F673">
            <v>24.08</v>
          </cell>
          <cell r="G673" t="str">
            <v>EUR</v>
          </cell>
          <cell r="H673" t="e">
            <v>#VALUE!</v>
          </cell>
          <cell r="I673" t="str">
            <v>STAPLETYPEG</v>
          </cell>
        </row>
        <row r="674">
          <cell r="D674">
            <v>410508</v>
          </cell>
          <cell r="E674" t="str">
            <v>EUR</v>
          </cell>
          <cell r="F674">
            <v>25.55</v>
          </cell>
          <cell r="G674" t="str">
            <v>EUR</v>
          </cell>
          <cell r="H674" t="e">
            <v>#VALUE!</v>
          </cell>
          <cell r="I674" t="str">
            <v>STAPLETYPEH</v>
          </cell>
        </row>
        <row r="675">
          <cell r="D675">
            <v>410597</v>
          </cell>
          <cell r="E675" t="str">
            <v>EUR</v>
          </cell>
          <cell r="F675">
            <v>29.56</v>
          </cell>
          <cell r="G675" t="str">
            <v>EUR</v>
          </cell>
          <cell r="H675" t="e">
            <v>#VALUE!</v>
          </cell>
          <cell r="I675" t="str">
            <v>STAPLETYPEJ</v>
          </cell>
        </row>
        <row r="676">
          <cell r="D676">
            <v>410801</v>
          </cell>
          <cell r="E676" t="str">
            <v>EUR</v>
          </cell>
          <cell r="F676">
            <v>15.7</v>
          </cell>
          <cell r="G676" t="str">
            <v>EUR</v>
          </cell>
          <cell r="H676" t="e">
            <v>#VALUE!</v>
          </cell>
          <cell r="I676" t="str">
            <v>STAPLETYPEK</v>
          </cell>
        </row>
        <row r="677">
          <cell r="D677">
            <v>411240</v>
          </cell>
          <cell r="E677" t="str">
            <v>EUR</v>
          </cell>
          <cell r="F677">
            <v>11.82</v>
          </cell>
          <cell r="G677" t="str">
            <v>EUR</v>
          </cell>
          <cell r="H677" t="e">
            <v>#VALUE!</v>
          </cell>
          <cell r="I677" t="str">
            <v>STAPLETYPEL</v>
          </cell>
        </row>
        <row r="678">
          <cell r="D678">
            <v>923978</v>
          </cell>
          <cell r="E678" t="str">
            <v>EUR</v>
          </cell>
          <cell r="F678">
            <v>107.99</v>
          </cell>
          <cell r="G678" t="e">
            <v>#N/A</v>
          </cell>
          <cell r="H678" t="e">
            <v>#N/A</v>
          </cell>
          <cell r="I678" t="str">
            <v>TONAP1610USA</v>
          </cell>
        </row>
        <row r="679">
          <cell r="D679">
            <v>923978</v>
          </cell>
          <cell r="E679" t="str">
            <v>EUR</v>
          </cell>
          <cell r="F679">
            <v>107.99</v>
          </cell>
          <cell r="G679" t="e">
            <v>#N/A</v>
          </cell>
          <cell r="H679" t="e">
            <v>#N/A</v>
          </cell>
          <cell r="I679" t="str">
            <v>TONAP1610USA</v>
          </cell>
        </row>
        <row r="680">
          <cell r="D680">
            <v>889341</v>
          </cell>
          <cell r="E680" t="str">
            <v>EUR</v>
          </cell>
          <cell r="F680">
            <v>70.180000000000007</v>
          </cell>
          <cell r="G680" t="str">
            <v>EUR</v>
          </cell>
          <cell r="H680" t="e">
            <v>#VALUE!</v>
          </cell>
          <cell r="I680" t="str">
            <v>TONCOLLUN</v>
          </cell>
        </row>
        <row r="681">
          <cell r="D681">
            <v>885104</v>
          </cell>
          <cell r="E681" t="str">
            <v>EUR</v>
          </cell>
          <cell r="F681">
            <v>65.459999999999994</v>
          </cell>
          <cell r="G681" t="e">
            <v>#N/A</v>
          </cell>
          <cell r="H681" t="e">
            <v>#N/A</v>
          </cell>
          <cell r="I681" t="str">
            <v>TONER10DFRA</v>
          </cell>
        </row>
        <row r="682">
          <cell r="D682">
            <v>888037</v>
          </cell>
          <cell r="E682" t="str">
            <v>EUR</v>
          </cell>
          <cell r="F682">
            <v>104.94</v>
          </cell>
          <cell r="G682" t="str">
            <v>EUR</v>
          </cell>
          <cell r="H682" t="e">
            <v>#VALUE!</v>
          </cell>
          <cell r="I682" t="str">
            <v>TONER105CYN</v>
          </cell>
        </row>
        <row r="683">
          <cell r="D683">
            <v>888036</v>
          </cell>
          <cell r="E683" t="str">
            <v>EUR</v>
          </cell>
          <cell r="F683">
            <v>104.94</v>
          </cell>
          <cell r="G683" t="str">
            <v>EUR</v>
          </cell>
          <cell r="H683" t="e">
            <v>#VALUE!</v>
          </cell>
          <cell r="I683" t="str">
            <v>TONER105MAG</v>
          </cell>
        </row>
        <row r="684">
          <cell r="D684">
            <v>888035</v>
          </cell>
          <cell r="E684" t="str">
            <v>EUR</v>
          </cell>
          <cell r="F684">
            <v>104.94</v>
          </cell>
          <cell r="G684" t="str">
            <v>EUR</v>
          </cell>
          <cell r="H684" t="e">
            <v>#VALUE!</v>
          </cell>
          <cell r="I684" t="str">
            <v>TONER105YLW</v>
          </cell>
        </row>
        <row r="685">
          <cell r="D685">
            <v>885109</v>
          </cell>
          <cell r="E685" t="str">
            <v>EUR</v>
          </cell>
          <cell r="F685">
            <v>47.4</v>
          </cell>
          <cell r="G685" t="e">
            <v>#N/A</v>
          </cell>
          <cell r="H685" t="e">
            <v>#N/A</v>
          </cell>
          <cell r="I685" t="str">
            <v>TONER20DEFRA</v>
          </cell>
        </row>
        <row r="686">
          <cell r="D686">
            <v>888032</v>
          </cell>
          <cell r="E686" t="str">
            <v>EUR</v>
          </cell>
          <cell r="F686">
            <v>41.79</v>
          </cell>
          <cell r="G686" t="str">
            <v>EUR</v>
          </cell>
          <cell r="H686" t="e">
            <v>#VALUE!</v>
          </cell>
          <cell r="I686" t="str">
            <v>TONER205BLA</v>
          </cell>
        </row>
        <row r="687">
          <cell r="D687">
            <v>887849</v>
          </cell>
          <cell r="E687" t="str">
            <v>EUR</v>
          </cell>
          <cell r="F687">
            <v>75.05</v>
          </cell>
          <cell r="G687" t="str">
            <v>EUR</v>
          </cell>
          <cell r="H687" t="e">
            <v>#VALUE!</v>
          </cell>
          <cell r="I687" t="str">
            <v>TONTYPEHCYN</v>
          </cell>
        </row>
        <row r="688">
          <cell r="D688">
            <v>887848</v>
          </cell>
          <cell r="E688" t="str">
            <v>EUR</v>
          </cell>
          <cell r="F688">
            <v>75.05</v>
          </cell>
          <cell r="G688" t="str">
            <v>EUR</v>
          </cell>
          <cell r="H688" t="e">
            <v>#VALUE!</v>
          </cell>
          <cell r="I688" t="str">
            <v>TONTYPEHMAG</v>
          </cell>
        </row>
        <row r="689">
          <cell r="D689">
            <v>887845</v>
          </cell>
          <cell r="E689" t="str">
            <v>EUR</v>
          </cell>
          <cell r="F689">
            <v>79.05</v>
          </cell>
          <cell r="G689" t="str">
            <v>EUR</v>
          </cell>
          <cell r="H689" t="e">
            <v>#VALUE!</v>
          </cell>
          <cell r="I689" t="str">
            <v>TONTYPEHXBLA</v>
          </cell>
        </row>
        <row r="690">
          <cell r="D690">
            <v>887847</v>
          </cell>
          <cell r="E690" t="str">
            <v>EUR</v>
          </cell>
          <cell r="F690">
            <v>75.05</v>
          </cell>
          <cell r="G690" t="str">
            <v>EUR</v>
          </cell>
          <cell r="H690" t="e">
            <v>#VALUE!</v>
          </cell>
          <cell r="I690" t="str">
            <v>TONTYPEHYLW</v>
          </cell>
        </row>
        <row r="691">
          <cell r="D691">
            <v>887813</v>
          </cell>
          <cell r="E691" t="str">
            <v>EUR</v>
          </cell>
          <cell r="F691">
            <v>86.89</v>
          </cell>
          <cell r="G691" t="str">
            <v>EUR</v>
          </cell>
          <cell r="H691" t="e">
            <v>#VALUE!</v>
          </cell>
          <cell r="I691" t="str">
            <v>TONTYPEJBLA</v>
          </cell>
        </row>
        <row r="692">
          <cell r="D692">
            <v>887816</v>
          </cell>
          <cell r="E692" t="str">
            <v>EUR</v>
          </cell>
          <cell r="F692">
            <v>96.57</v>
          </cell>
          <cell r="G692" t="str">
            <v>EUR</v>
          </cell>
          <cell r="H692" t="e">
            <v>#VALUE!</v>
          </cell>
          <cell r="I692" t="str">
            <v>TONTYPEJCYN</v>
          </cell>
        </row>
        <row r="693">
          <cell r="D693">
            <v>887815</v>
          </cell>
          <cell r="E693" t="str">
            <v>EUR</v>
          </cell>
          <cell r="F693">
            <v>96.57</v>
          </cell>
          <cell r="G693" t="str">
            <v>EUR</v>
          </cell>
          <cell r="H693" t="e">
            <v>#VALUE!</v>
          </cell>
          <cell r="I693" t="str">
            <v>TONTYPEJMAG</v>
          </cell>
        </row>
        <row r="694">
          <cell r="D694">
            <v>887814</v>
          </cell>
          <cell r="E694" t="str">
            <v>EUR</v>
          </cell>
          <cell r="F694">
            <v>96.57</v>
          </cell>
          <cell r="G694" t="str">
            <v>EUR</v>
          </cell>
          <cell r="H694" t="e">
            <v>#VALUE!</v>
          </cell>
          <cell r="I694" t="str">
            <v>TONTYPEJYLW</v>
          </cell>
        </row>
        <row r="695">
          <cell r="D695">
            <v>887914</v>
          </cell>
          <cell r="E695" t="str">
            <v>EUR</v>
          </cell>
          <cell r="F695">
            <v>49.16</v>
          </cell>
          <cell r="G695" t="str">
            <v>EUR</v>
          </cell>
          <cell r="H695" t="e">
            <v>#VALUE!</v>
          </cell>
          <cell r="I695" t="str">
            <v>TONTYPEK1BLA</v>
          </cell>
        </row>
        <row r="696">
          <cell r="D696">
            <v>887933</v>
          </cell>
          <cell r="E696" t="str">
            <v>EUR</v>
          </cell>
          <cell r="F696">
            <v>125.61</v>
          </cell>
          <cell r="G696" t="str">
            <v>EUR</v>
          </cell>
          <cell r="H696" t="e">
            <v>#VALUE!</v>
          </cell>
          <cell r="I696" t="str">
            <v>TONTYPEK1CYN</v>
          </cell>
        </row>
        <row r="697">
          <cell r="D697">
            <v>887927</v>
          </cell>
          <cell r="E697" t="str">
            <v>EUR</v>
          </cell>
          <cell r="F697">
            <v>125.61</v>
          </cell>
          <cell r="G697" t="str">
            <v>EUR</v>
          </cell>
          <cell r="H697" t="e">
            <v>#VALUE!</v>
          </cell>
          <cell r="I697" t="str">
            <v>TONTYPEK1MAG</v>
          </cell>
        </row>
        <row r="698">
          <cell r="D698">
            <v>887921</v>
          </cell>
          <cell r="E698" t="str">
            <v>EUR</v>
          </cell>
          <cell r="F698">
            <v>125.61</v>
          </cell>
          <cell r="G698" t="str">
            <v>EUR</v>
          </cell>
          <cell r="H698" t="e">
            <v>#VALUE!</v>
          </cell>
          <cell r="I698" t="str">
            <v>TONTYPEK1YLW</v>
          </cell>
        </row>
        <row r="699">
          <cell r="D699">
            <v>887890</v>
          </cell>
          <cell r="E699" t="str">
            <v>EUR</v>
          </cell>
          <cell r="F699">
            <v>131.54</v>
          </cell>
          <cell r="G699" t="str">
            <v>EUR</v>
          </cell>
          <cell r="H699" t="e">
            <v>#VALUE!</v>
          </cell>
          <cell r="I699" t="str">
            <v>TONTYPEL1BLA</v>
          </cell>
        </row>
        <row r="700">
          <cell r="D700">
            <v>887908</v>
          </cell>
          <cell r="E700" t="str">
            <v>EUR</v>
          </cell>
          <cell r="F700">
            <v>149.5</v>
          </cell>
          <cell r="G700" t="str">
            <v>EUR</v>
          </cell>
          <cell r="H700" t="e">
            <v>#VALUE!</v>
          </cell>
          <cell r="I700" t="str">
            <v>TONTYPEL1CYN</v>
          </cell>
        </row>
        <row r="701">
          <cell r="D701">
            <v>887902</v>
          </cell>
          <cell r="E701" t="str">
            <v>EUR</v>
          </cell>
          <cell r="F701">
            <v>149.5</v>
          </cell>
          <cell r="G701" t="str">
            <v>EUR</v>
          </cell>
          <cell r="H701" t="e">
            <v>#VALUE!</v>
          </cell>
          <cell r="I701" t="str">
            <v>TONTYPEL1MAG</v>
          </cell>
        </row>
        <row r="702">
          <cell r="D702">
            <v>887896</v>
          </cell>
          <cell r="E702" t="str">
            <v>EUR</v>
          </cell>
          <cell r="F702">
            <v>149.5</v>
          </cell>
          <cell r="G702" t="str">
            <v>EUR</v>
          </cell>
          <cell r="H702" t="e">
            <v>#VALUE!</v>
          </cell>
          <cell r="I702" t="str">
            <v>TONTYPEL1YLW</v>
          </cell>
        </row>
        <row r="703">
          <cell r="D703">
            <v>410303</v>
          </cell>
          <cell r="E703" t="str">
            <v>EUR</v>
          </cell>
          <cell r="F703">
            <v>73.39</v>
          </cell>
          <cell r="G703" t="str">
            <v>EUR</v>
          </cell>
          <cell r="H703" t="e">
            <v>#VALUE!</v>
          </cell>
          <cell r="I703" t="str">
            <v>TONTYPE185</v>
          </cell>
        </row>
        <row r="704">
          <cell r="D704">
            <v>885195</v>
          </cell>
          <cell r="E704" t="str">
            <v>EUR</v>
          </cell>
          <cell r="F704">
            <v>141.65</v>
          </cell>
          <cell r="G704" t="e">
            <v>#N/A</v>
          </cell>
          <cell r="H704" t="e">
            <v>#N/A</v>
          </cell>
          <cell r="I704" t="str">
            <v>TON6205FRA</v>
          </cell>
        </row>
        <row r="705">
          <cell r="D705">
            <v>401092</v>
          </cell>
          <cell r="E705" t="str">
            <v>EUR</v>
          </cell>
          <cell r="F705">
            <v>43.4</v>
          </cell>
          <cell r="G705" t="e">
            <v>#N/A</v>
          </cell>
          <cell r="H705" t="e">
            <v>#N/A</v>
          </cell>
          <cell r="I705" t="str">
            <v>1120DTONER</v>
          </cell>
        </row>
        <row r="706">
          <cell r="D706">
            <v>888029</v>
          </cell>
          <cell r="E706" t="str">
            <v>EUR</v>
          </cell>
          <cell r="F706">
            <v>65.010000000000005</v>
          </cell>
          <cell r="G706" t="str">
            <v>EUR</v>
          </cell>
          <cell r="H706" t="e">
            <v>#VALUE!</v>
          </cell>
          <cell r="I706" t="str">
            <v>1160WTONER</v>
          </cell>
        </row>
        <row r="707">
          <cell r="D707">
            <v>885122</v>
          </cell>
          <cell r="E707" t="str">
            <v>EUR</v>
          </cell>
          <cell r="F707">
            <v>45.24</v>
          </cell>
          <cell r="G707" t="e">
            <v>#N/A</v>
          </cell>
          <cell r="H707" t="e">
            <v>#N/A</v>
          </cell>
          <cell r="I707" t="str">
            <v>1205TONERUK</v>
          </cell>
        </row>
        <row r="708">
          <cell r="D708">
            <v>339588</v>
          </cell>
          <cell r="E708" t="str">
            <v>EUR</v>
          </cell>
          <cell r="F708">
            <v>150.01</v>
          </cell>
          <cell r="G708" t="str">
            <v>EUR</v>
          </cell>
          <cell r="H708" t="e">
            <v>#VALUE!</v>
          </cell>
          <cell r="I708" t="str">
            <v>1210DTONER</v>
          </cell>
        </row>
        <row r="709">
          <cell r="D709">
            <v>887754</v>
          </cell>
          <cell r="E709" t="str">
            <v>EUR</v>
          </cell>
          <cell r="F709">
            <v>41.98</v>
          </cell>
          <cell r="G709" t="e">
            <v>#N/A</v>
          </cell>
          <cell r="H709" t="e">
            <v>#N/A</v>
          </cell>
          <cell r="I709" t="str">
            <v>1215TONER</v>
          </cell>
        </row>
        <row r="710">
          <cell r="D710">
            <v>888078</v>
          </cell>
          <cell r="E710" t="str">
            <v>EUR</v>
          </cell>
          <cell r="F710">
            <v>39.21</v>
          </cell>
          <cell r="G710" t="str">
            <v>EUR</v>
          </cell>
          <cell r="H710" t="e">
            <v>#VALUE!</v>
          </cell>
          <cell r="I710" t="str">
            <v>1215TONERKOR</v>
          </cell>
        </row>
        <row r="711">
          <cell r="D711">
            <v>888087</v>
          </cell>
          <cell r="E711" t="str">
            <v>EUR</v>
          </cell>
          <cell r="F711">
            <v>13.03</v>
          </cell>
          <cell r="G711" t="str">
            <v>EUR</v>
          </cell>
          <cell r="H711" t="e">
            <v>#VALUE!</v>
          </cell>
          <cell r="I711" t="str">
            <v>1220DTONER</v>
          </cell>
        </row>
        <row r="712">
          <cell r="D712">
            <v>885258</v>
          </cell>
          <cell r="E712" t="str">
            <v>EUR</v>
          </cell>
          <cell r="F712">
            <v>9.33</v>
          </cell>
          <cell r="G712" t="e">
            <v>#N/A</v>
          </cell>
          <cell r="H712" t="e">
            <v>#N/A</v>
          </cell>
          <cell r="I712" t="str">
            <v>1250DTONER</v>
          </cell>
        </row>
        <row r="713">
          <cell r="D713">
            <v>411073</v>
          </cell>
          <cell r="E713" t="str">
            <v>EUR</v>
          </cell>
          <cell r="F713">
            <v>45.56</v>
          </cell>
          <cell r="G713" t="str">
            <v>EUR</v>
          </cell>
          <cell r="H713" t="e">
            <v>#VALUE!</v>
          </cell>
          <cell r="I713" t="str">
            <v>1255DTONCHN</v>
          </cell>
        </row>
        <row r="714">
          <cell r="D714">
            <v>887661</v>
          </cell>
          <cell r="E714" t="str">
            <v>EUR</v>
          </cell>
          <cell r="F714">
            <v>25.3</v>
          </cell>
          <cell r="G714" t="e">
            <v>#N/A</v>
          </cell>
          <cell r="H714" t="e">
            <v>#N/A</v>
          </cell>
          <cell r="I714" t="str">
            <v>2050TONBLAUK</v>
          </cell>
        </row>
        <row r="715">
          <cell r="D715">
            <v>889776</v>
          </cell>
          <cell r="E715" t="str">
            <v>EUR</v>
          </cell>
          <cell r="F715">
            <v>195.44</v>
          </cell>
          <cell r="G715" t="str">
            <v>EUR</v>
          </cell>
          <cell r="H715" t="e">
            <v>#VALUE!</v>
          </cell>
          <cell r="I715" t="str">
            <v>2200EXTONER</v>
          </cell>
        </row>
        <row r="716">
          <cell r="D716">
            <v>889614</v>
          </cell>
          <cell r="E716" t="str">
            <v>EUR</v>
          </cell>
          <cell r="F716">
            <v>50.52</v>
          </cell>
          <cell r="G716" t="str">
            <v>EUR</v>
          </cell>
          <cell r="H716" t="e">
            <v>#VALUE!</v>
          </cell>
          <cell r="I716" t="str">
            <v>2205DTONER</v>
          </cell>
        </row>
        <row r="717">
          <cell r="D717">
            <v>887977</v>
          </cell>
          <cell r="E717" t="str">
            <v>EUR</v>
          </cell>
          <cell r="F717">
            <v>75.930000000000007</v>
          </cell>
          <cell r="G717" t="e">
            <v>#N/A</v>
          </cell>
          <cell r="H717" t="e">
            <v>#N/A</v>
          </cell>
          <cell r="I717" t="str">
            <v>2210DTONER</v>
          </cell>
        </row>
        <row r="718">
          <cell r="D718">
            <v>885229</v>
          </cell>
          <cell r="E718" t="str">
            <v>EUR</v>
          </cell>
          <cell r="F718">
            <v>73.7</v>
          </cell>
          <cell r="G718" t="e">
            <v>#N/A</v>
          </cell>
          <cell r="H718" t="e">
            <v>#N/A</v>
          </cell>
          <cell r="I718" t="str">
            <v>2210DTONER2</v>
          </cell>
        </row>
        <row r="719">
          <cell r="D719">
            <v>885266</v>
          </cell>
          <cell r="E719" t="str">
            <v>EUR</v>
          </cell>
          <cell r="F719">
            <v>12.21</v>
          </cell>
          <cell r="G719" t="e">
            <v>#N/A</v>
          </cell>
          <cell r="H719" t="e">
            <v>#N/A</v>
          </cell>
          <cell r="I719" t="str">
            <v>2220DTONFRA</v>
          </cell>
        </row>
        <row r="720">
          <cell r="D720">
            <v>887620</v>
          </cell>
          <cell r="E720" t="str">
            <v>EUR</v>
          </cell>
          <cell r="F720">
            <v>28.01</v>
          </cell>
          <cell r="G720" t="e">
            <v>#N/A</v>
          </cell>
          <cell r="H720" t="e">
            <v>#N/A</v>
          </cell>
          <cell r="I720" t="str">
            <v>3000TONERUK</v>
          </cell>
        </row>
        <row r="721">
          <cell r="D721">
            <v>889268</v>
          </cell>
          <cell r="E721" t="str">
            <v>EUR</v>
          </cell>
          <cell r="F721">
            <v>34.42</v>
          </cell>
          <cell r="G721" t="str">
            <v>EUR</v>
          </cell>
          <cell r="H721" t="e">
            <v>#VALUE!</v>
          </cell>
          <cell r="I721" t="str">
            <v>310DEV</v>
          </cell>
        </row>
        <row r="722">
          <cell r="D722">
            <v>887612</v>
          </cell>
          <cell r="E722" t="str">
            <v>EUR</v>
          </cell>
          <cell r="F722">
            <v>18.05</v>
          </cell>
          <cell r="G722" t="e">
            <v>#N/A</v>
          </cell>
          <cell r="H722" t="e">
            <v>#N/A</v>
          </cell>
          <cell r="I722" t="str">
            <v>310TONERUK</v>
          </cell>
        </row>
        <row r="723">
          <cell r="D723">
            <v>887681</v>
          </cell>
          <cell r="E723" t="str">
            <v>EUR</v>
          </cell>
          <cell r="F723">
            <v>18.05</v>
          </cell>
          <cell r="G723" t="e">
            <v>#N/A</v>
          </cell>
          <cell r="H723" t="e">
            <v>#N/A</v>
          </cell>
          <cell r="I723" t="str">
            <v>320TONERUK</v>
          </cell>
        </row>
        <row r="724">
          <cell r="D724">
            <v>885137</v>
          </cell>
          <cell r="E724" t="str">
            <v>EUR</v>
          </cell>
          <cell r="F724">
            <v>97.05</v>
          </cell>
          <cell r="G724" t="e">
            <v>#N/A</v>
          </cell>
          <cell r="H724" t="e">
            <v>#N/A</v>
          </cell>
          <cell r="I724" t="str">
            <v>3200DTONFRA</v>
          </cell>
        </row>
        <row r="725">
          <cell r="D725">
            <v>885180</v>
          </cell>
          <cell r="E725" t="str">
            <v>EUR</v>
          </cell>
          <cell r="F725">
            <v>97.05</v>
          </cell>
          <cell r="G725" t="e">
            <v>#N/A</v>
          </cell>
          <cell r="H725" t="e">
            <v>#N/A</v>
          </cell>
          <cell r="I725" t="str">
            <v>3200DTONUK</v>
          </cell>
        </row>
        <row r="726">
          <cell r="D726">
            <v>888063</v>
          </cell>
          <cell r="E726" t="str">
            <v>EUR</v>
          </cell>
          <cell r="F726">
            <v>21.92</v>
          </cell>
          <cell r="G726" t="e">
            <v>#N/A</v>
          </cell>
          <cell r="H726" t="e">
            <v>#N/A</v>
          </cell>
          <cell r="I726" t="str">
            <v>3205DTONER</v>
          </cell>
        </row>
        <row r="727">
          <cell r="D727">
            <v>885251</v>
          </cell>
          <cell r="E727" t="str">
            <v>EUR</v>
          </cell>
          <cell r="F727">
            <v>20.74</v>
          </cell>
          <cell r="G727" t="e">
            <v>#N/A</v>
          </cell>
          <cell r="H727" t="e">
            <v>#N/A</v>
          </cell>
          <cell r="I727" t="str">
            <v>3205DTONFRA</v>
          </cell>
        </row>
        <row r="728">
          <cell r="D728">
            <v>889415</v>
          </cell>
          <cell r="E728" t="str">
            <v>EUR</v>
          </cell>
          <cell r="F728">
            <v>35.96</v>
          </cell>
          <cell r="G728" t="e">
            <v>#N/A</v>
          </cell>
          <cell r="H728" t="e">
            <v>#N/A</v>
          </cell>
          <cell r="I728" t="str">
            <v>3300DEVUSA</v>
          </cell>
        </row>
        <row r="729">
          <cell r="D729">
            <v>889411</v>
          </cell>
          <cell r="E729" t="str">
            <v>EUR</v>
          </cell>
          <cell r="F729">
            <v>43.24</v>
          </cell>
          <cell r="G729" t="e">
            <v>#N/A</v>
          </cell>
          <cell r="H729" t="e">
            <v>#N/A</v>
          </cell>
          <cell r="I729" t="str">
            <v>3300TONERUK</v>
          </cell>
        </row>
        <row r="730">
          <cell r="D730">
            <v>887133</v>
          </cell>
          <cell r="E730" t="str">
            <v>EUR</v>
          </cell>
          <cell r="F730">
            <v>51.95</v>
          </cell>
          <cell r="G730" t="e">
            <v>#N/A</v>
          </cell>
          <cell r="H730" t="e">
            <v>#N/A</v>
          </cell>
          <cell r="I730" t="str">
            <v>4000DEVUSA</v>
          </cell>
        </row>
        <row r="731">
          <cell r="D731">
            <v>887621</v>
          </cell>
          <cell r="E731" t="str">
            <v>EUR</v>
          </cell>
          <cell r="F731">
            <v>36.85</v>
          </cell>
          <cell r="G731" t="e">
            <v>#N/A</v>
          </cell>
          <cell r="H731" t="e">
            <v>#N/A</v>
          </cell>
          <cell r="I731" t="str">
            <v>4000TONERUK</v>
          </cell>
        </row>
        <row r="732">
          <cell r="D732">
            <v>887564</v>
          </cell>
          <cell r="E732" t="str">
            <v>EUR</v>
          </cell>
          <cell r="F732">
            <v>32.520000000000003</v>
          </cell>
          <cell r="G732" t="str">
            <v>EUR</v>
          </cell>
          <cell r="H732" t="e">
            <v>#VALUE!</v>
          </cell>
          <cell r="I732" t="str">
            <v>4418DEVBLA</v>
          </cell>
        </row>
        <row r="733">
          <cell r="D733">
            <v>887566</v>
          </cell>
          <cell r="E733" t="str">
            <v>EUR</v>
          </cell>
          <cell r="F733">
            <v>67.45</v>
          </cell>
          <cell r="G733" t="str">
            <v>EUR</v>
          </cell>
          <cell r="H733" t="e">
            <v>#VALUE!</v>
          </cell>
          <cell r="I733" t="str">
            <v>4418DEVBLU</v>
          </cell>
        </row>
        <row r="734">
          <cell r="D734">
            <v>887567</v>
          </cell>
          <cell r="E734" t="str">
            <v>EUR</v>
          </cell>
          <cell r="F734">
            <v>67.45</v>
          </cell>
          <cell r="G734" t="str">
            <v>EUR</v>
          </cell>
          <cell r="H734" t="e">
            <v>#VALUE!</v>
          </cell>
          <cell r="I734" t="str">
            <v>4418DEVGRE</v>
          </cell>
        </row>
        <row r="735">
          <cell r="D735">
            <v>887565</v>
          </cell>
          <cell r="E735" t="str">
            <v>EUR</v>
          </cell>
          <cell r="F735">
            <v>64.11</v>
          </cell>
          <cell r="G735" t="str">
            <v>EUR</v>
          </cell>
          <cell r="H735" t="e">
            <v>#VALUE!</v>
          </cell>
          <cell r="I735" t="str">
            <v>4418DEVRED</v>
          </cell>
        </row>
        <row r="736">
          <cell r="D736">
            <v>887610</v>
          </cell>
          <cell r="E736" t="str">
            <v>EUR</v>
          </cell>
          <cell r="F736">
            <v>37.83</v>
          </cell>
          <cell r="G736" t="e">
            <v>#N/A</v>
          </cell>
          <cell r="H736" t="e">
            <v>#N/A</v>
          </cell>
          <cell r="I736" t="str">
            <v>4418TONBLAUK</v>
          </cell>
        </row>
        <row r="737">
          <cell r="D737">
            <v>887530</v>
          </cell>
          <cell r="E737" t="str">
            <v>EUR</v>
          </cell>
          <cell r="F737">
            <v>45.58</v>
          </cell>
          <cell r="G737" t="str">
            <v>EUR</v>
          </cell>
          <cell r="H737" t="e">
            <v>#VALUE!</v>
          </cell>
          <cell r="I737" t="str">
            <v>4418TONERBLU</v>
          </cell>
        </row>
        <row r="738">
          <cell r="D738">
            <v>887533</v>
          </cell>
          <cell r="E738" t="str">
            <v>EUR</v>
          </cell>
          <cell r="F738">
            <v>45.58</v>
          </cell>
          <cell r="G738" t="str">
            <v>EUR</v>
          </cell>
          <cell r="H738" t="e">
            <v>#VALUE!</v>
          </cell>
          <cell r="I738" t="str">
            <v>4418TONERGRE</v>
          </cell>
        </row>
        <row r="739">
          <cell r="D739">
            <v>887527</v>
          </cell>
          <cell r="E739" t="str">
            <v>EUR</v>
          </cell>
          <cell r="F739">
            <v>45.58</v>
          </cell>
          <cell r="G739" t="str">
            <v>EUR</v>
          </cell>
          <cell r="H739" t="e">
            <v>#VALUE!</v>
          </cell>
          <cell r="I739" t="str">
            <v>4418TONERRED</v>
          </cell>
        </row>
        <row r="740">
          <cell r="D740">
            <v>889490</v>
          </cell>
          <cell r="E740" t="str">
            <v>EUR</v>
          </cell>
          <cell r="F740">
            <v>31.21</v>
          </cell>
          <cell r="G740" t="e">
            <v>#N/A</v>
          </cell>
          <cell r="H740" t="e">
            <v>#N/A</v>
          </cell>
          <cell r="I740" t="str">
            <v>450TONERUK</v>
          </cell>
        </row>
        <row r="741">
          <cell r="D741">
            <v>887622</v>
          </cell>
          <cell r="E741" t="str">
            <v>EUR</v>
          </cell>
          <cell r="F741">
            <v>33.9</v>
          </cell>
          <cell r="G741" t="e">
            <v>#N/A</v>
          </cell>
          <cell r="H741" t="e">
            <v>#N/A</v>
          </cell>
          <cell r="I741" t="str">
            <v>5000TONERUK</v>
          </cell>
        </row>
        <row r="742">
          <cell r="D742">
            <v>887655</v>
          </cell>
          <cell r="E742" t="str">
            <v>EUR</v>
          </cell>
          <cell r="F742">
            <v>56.51</v>
          </cell>
          <cell r="G742" t="e">
            <v>#N/A</v>
          </cell>
          <cell r="H742" t="e">
            <v>#N/A</v>
          </cell>
          <cell r="I742" t="str">
            <v>5010TONBLUK</v>
          </cell>
        </row>
        <row r="743">
          <cell r="D743">
            <v>889292</v>
          </cell>
          <cell r="E743" t="str">
            <v>EUR</v>
          </cell>
          <cell r="F743">
            <v>24.9</v>
          </cell>
          <cell r="G743" t="str">
            <v>EUR</v>
          </cell>
          <cell r="H743" t="e">
            <v>#VALUE!</v>
          </cell>
          <cell r="I743" t="str">
            <v>510DEVBLU</v>
          </cell>
        </row>
        <row r="744">
          <cell r="D744">
            <v>889289</v>
          </cell>
          <cell r="E744" t="str">
            <v>EUR</v>
          </cell>
          <cell r="F744">
            <v>24.9</v>
          </cell>
          <cell r="G744" t="str">
            <v>EUR</v>
          </cell>
          <cell r="H744" t="e">
            <v>#VALUE!</v>
          </cell>
          <cell r="I744" t="str">
            <v>510DEVRED</v>
          </cell>
        </row>
        <row r="745">
          <cell r="D745">
            <v>887616</v>
          </cell>
          <cell r="E745" t="str">
            <v>EUR</v>
          </cell>
          <cell r="F745">
            <v>37.54</v>
          </cell>
          <cell r="G745" t="e">
            <v>#N/A</v>
          </cell>
          <cell r="H745" t="e">
            <v>#N/A</v>
          </cell>
          <cell r="I745" t="str">
            <v>510TONBLAUK</v>
          </cell>
        </row>
        <row r="746">
          <cell r="D746">
            <v>889283</v>
          </cell>
          <cell r="E746" t="str">
            <v>EUR</v>
          </cell>
          <cell r="F746">
            <v>44.42</v>
          </cell>
          <cell r="G746" t="str">
            <v>EUR</v>
          </cell>
          <cell r="H746" t="e">
            <v>#VALUE!</v>
          </cell>
          <cell r="I746" t="str">
            <v>510TONERBLU</v>
          </cell>
        </row>
        <row r="747">
          <cell r="D747">
            <v>889286</v>
          </cell>
          <cell r="E747" t="str">
            <v>EUR</v>
          </cell>
          <cell r="F747">
            <v>44.42</v>
          </cell>
          <cell r="G747" t="str">
            <v>EUR</v>
          </cell>
          <cell r="H747" t="e">
            <v>#VALUE!</v>
          </cell>
          <cell r="I747" t="str">
            <v>510TONERGRE</v>
          </cell>
        </row>
        <row r="748">
          <cell r="D748">
            <v>889280</v>
          </cell>
          <cell r="E748" t="str">
            <v>EUR</v>
          </cell>
          <cell r="F748">
            <v>44.42</v>
          </cell>
          <cell r="G748" t="str">
            <v>EUR</v>
          </cell>
          <cell r="H748" t="e">
            <v>#VALUE!</v>
          </cell>
          <cell r="I748" t="str">
            <v>510TONERRED</v>
          </cell>
        </row>
        <row r="749">
          <cell r="D749">
            <v>887741</v>
          </cell>
          <cell r="E749" t="str">
            <v>EUR</v>
          </cell>
          <cell r="F749">
            <v>129.66999999999999</v>
          </cell>
          <cell r="G749" t="e">
            <v>#N/A</v>
          </cell>
          <cell r="H749" t="e">
            <v>#N/A</v>
          </cell>
          <cell r="I749" t="str">
            <v>5200DTONER</v>
          </cell>
        </row>
        <row r="750">
          <cell r="D750">
            <v>885190</v>
          </cell>
          <cell r="E750" t="str">
            <v>EUR</v>
          </cell>
          <cell r="F750">
            <v>117.3</v>
          </cell>
          <cell r="G750" t="e">
            <v>#N/A</v>
          </cell>
          <cell r="H750" t="e">
            <v>#N/A</v>
          </cell>
          <cell r="I750" t="str">
            <v>5200DTONFRA</v>
          </cell>
        </row>
        <row r="751">
          <cell r="D751">
            <v>887995</v>
          </cell>
          <cell r="E751" t="str">
            <v>EUR</v>
          </cell>
          <cell r="F751">
            <v>130.72</v>
          </cell>
          <cell r="G751" t="e">
            <v>#N/A</v>
          </cell>
          <cell r="H751" t="e">
            <v>#N/A</v>
          </cell>
          <cell r="I751" t="str">
            <v>5205DTONER</v>
          </cell>
        </row>
        <row r="752">
          <cell r="D752">
            <v>885241</v>
          </cell>
          <cell r="E752" t="str">
            <v>EUR</v>
          </cell>
          <cell r="F752">
            <v>123.32</v>
          </cell>
          <cell r="G752" t="e">
            <v>#N/A</v>
          </cell>
          <cell r="H752" t="e">
            <v>#N/A</v>
          </cell>
          <cell r="I752" t="str">
            <v>5205DTONER2</v>
          </cell>
        </row>
        <row r="753">
          <cell r="D753">
            <v>887642</v>
          </cell>
          <cell r="E753" t="str">
            <v>EUR</v>
          </cell>
          <cell r="F753">
            <v>113.22</v>
          </cell>
          <cell r="G753" t="e">
            <v>#N/A</v>
          </cell>
          <cell r="H753" t="e">
            <v>#N/A</v>
          </cell>
          <cell r="I753" t="str">
            <v>610TONERUK</v>
          </cell>
        </row>
        <row r="754">
          <cell r="D754">
            <v>885274</v>
          </cell>
          <cell r="E754" t="str">
            <v>EUR</v>
          </cell>
          <cell r="F754">
            <v>31.58</v>
          </cell>
          <cell r="G754" t="e">
            <v>#N/A</v>
          </cell>
          <cell r="H754" t="e">
            <v>#N/A</v>
          </cell>
          <cell r="I754" t="str">
            <v>6210DTONER</v>
          </cell>
        </row>
        <row r="755">
          <cell r="D755">
            <v>887576</v>
          </cell>
          <cell r="E755" t="str">
            <v>EUR</v>
          </cell>
          <cell r="F755">
            <v>67.430000000000007</v>
          </cell>
          <cell r="G755" t="str">
            <v>EUR</v>
          </cell>
          <cell r="H755" t="e">
            <v>#VALUE!</v>
          </cell>
          <cell r="I755" t="str">
            <v>670DEV</v>
          </cell>
        </row>
        <row r="756">
          <cell r="D756">
            <v>887571</v>
          </cell>
          <cell r="E756" t="str">
            <v>EUR</v>
          </cell>
          <cell r="F756">
            <v>47.81</v>
          </cell>
          <cell r="G756" t="e">
            <v>#N/A</v>
          </cell>
          <cell r="H756" t="e">
            <v>#N/A</v>
          </cell>
          <cell r="I756" t="str">
            <v>670TONERUSA</v>
          </cell>
        </row>
        <row r="757">
          <cell r="D757">
            <v>887656</v>
          </cell>
          <cell r="E757" t="str">
            <v>EUR</v>
          </cell>
          <cell r="F757">
            <v>69.62</v>
          </cell>
          <cell r="G757" t="e">
            <v>#N/A</v>
          </cell>
          <cell r="H757" t="e">
            <v>#N/A</v>
          </cell>
          <cell r="I757" t="str">
            <v>7770TONERUK</v>
          </cell>
        </row>
        <row r="758">
          <cell r="D758">
            <v>887447</v>
          </cell>
          <cell r="E758" t="str">
            <v>EUR</v>
          </cell>
          <cell r="F758">
            <v>495.57</v>
          </cell>
          <cell r="G758" t="str">
            <v>EUR</v>
          </cell>
          <cell r="H758" t="e">
            <v>#VALUE!</v>
          </cell>
          <cell r="I758" t="str">
            <v>800TONERBLA</v>
          </cell>
        </row>
        <row r="759">
          <cell r="D759">
            <v>889553</v>
          </cell>
          <cell r="E759" t="str">
            <v>EUR</v>
          </cell>
          <cell r="F759">
            <v>32.01</v>
          </cell>
          <cell r="G759" t="str">
            <v>EUR</v>
          </cell>
          <cell r="H759" t="e">
            <v>#VALUE!</v>
          </cell>
          <cell r="I759" t="str">
            <v>8015DEVBLA</v>
          </cell>
        </row>
        <row r="760">
          <cell r="D760">
            <v>889562</v>
          </cell>
          <cell r="E760" t="str">
            <v>EUR</v>
          </cell>
          <cell r="F760">
            <v>32.01</v>
          </cell>
          <cell r="G760" t="str">
            <v>EUR</v>
          </cell>
          <cell r="H760" t="e">
            <v>#VALUE!</v>
          </cell>
          <cell r="I760" t="str">
            <v>8015DEVCYN</v>
          </cell>
        </row>
        <row r="761">
          <cell r="D761">
            <v>889556</v>
          </cell>
          <cell r="E761" t="str">
            <v>EUR</v>
          </cell>
          <cell r="F761">
            <v>32.01</v>
          </cell>
          <cell r="G761" t="str">
            <v>EUR</v>
          </cell>
          <cell r="H761" t="e">
            <v>#VALUE!</v>
          </cell>
          <cell r="I761" t="str">
            <v>8015DEVYLW</v>
          </cell>
        </row>
        <row r="762">
          <cell r="D762">
            <v>889541</v>
          </cell>
          <cell r="E762" t="str">
            <v>EUR</v>
          </cell>
          <cell r="F762">
            <v>182.98</v>
          </cell>
          <cell r="G762" t="str">
            <v>EUR</v>
          </cell>
          <cell r="H762" t="e">
            <v>#VALUE!</v>
          </cell>
          <cell r="I762" t="str">
            <v>8015TONBLA</v>
          </cell>
        </row>
        <row r="763">
          <cell r="D763">
            <v>889550</v>
          </cell>
          <cell r="E763" t="str">
            <v>EUR</v>
          </cell>
          <cell r="F763">
            <v>182.98</v>
          </cell>
          <cell r="G763" t="str">
            <v>EUR</v>
          </cell>
          <cell r="H763" t="e">
            <v>#VALUE!</v>
          </cell>
          <cell r="I763" t="str">
            <v>8015TONCYN</v>
          </cell>
        </row>
        <row r="764">
          <cell r="D764">
            <v>889547</v>
          </cell>
          <cell r="E764" t="str">
            <v>EUR</v>
          </cell>
          <cell r="F764">
            <v>182.98</v>
          </cell>
          <cell r="G764" t="str">
            <v>EUR</v>
          </cell>
          <cell r="H764" t="e">
            <v>#VALUE!</v>
          </cell>
          <cell r="I764" t="str">
            <v>8015TONMAG</v>
          </cell>
        </row>
        <row r="765">
          <cell r="D765">
            <v>889544</v>
          </cell>
          <cell r="E765" t="str">
            <v>EUR</v>
          </cell>
          <cell r="F765">
            <v>182.98</v>
          </cell>
          <cell r="G765" t="str">
            <v>EUR</v>
          </cell>
          <cell r="H765" t="e">
            <v>#VALUE!</v>
          </cell>
          <cell r="I765" t="str">
            <v>8015TONYLW</v>
          </cell>
        </row>
        <row r="766">
          <cell r="D766">
            <v>887188</v>
          </cell>
          <cell r="E766" t="str">
            <v>EUR</v>
          </cell>
          <cell r="F766">
            <v>162.24</v>
          </cell>
          <cell r="G766" t="str">
            <v>EUR</v>
          </cell>
          <cell r="H766" t="e">
            <v>#VALUE!</v>
          </cell>
          <cell r="I766" t="str">
            <v>820DEV</v>
          </cell>
        </row>
        <row r="767">
          <cell r="D767">
            <v>888009</v>
          </cell>
          <cell r="E767" t="str">
            <v>EUR</v>
          </cell>
          <cell r="F767">
            <v>139.9</v>
          </cell>
          <cell r="G767" t="str">
            <v>EUR</v>
          </cell>
          <cell r="H767" t="e">
            <v>#VALUE!</v>
          </cell>
          <cell r="I767" t="str">
            <v>8200DTONER</v>
          </cell>
        </row>
        <row r="768">
          <cell r="D768">
            <v>888157</v>
          </cell>
          <cell r="E768" t="str">
            <v>EUR</v>
          </cell>
          <cell r="F768">
            <v>36.28</v>
          </cell>
          <cell r="G768" t="e">
            <v>#N/A</v>
          </cell>
          <cell r="H768" t="e">
            <v>#N/A</v>
          </cell>
          <cell r="I768" t="str">
            <v>8205DTONER</v>
          </cell>
        </row>
        <row r="769">
          <cell r="D769">
            <v>889580</v>
          </cell>
          <cell r="E769" t="str">
            <v>EUR</v>
          </cell>
          <cell r="F769">
            <v>145.87</v>
          </cell>
          <cell r="G769" t="str">
            <v>EUR</v>
          </cell>
          <cell r="H769" t="e">
            <v>#VALUE!</v>
          </cell>
          <cell r="I769" t="str">
            <v>8800DEVBLA</v>
          </cell>
        </row>
        <row r="770">
          <cell r="D770">
            <v>887695</v>
          </cell>
          <cell r="E770" t="str">
            <v>EUR</v>
          </cell>
          <cell r="F770">
            <v>238.17</v>
          </cell>
          <cell r="G770" t="e">
            <v>#N/A</v>
          </cell>
          <cell r="H770" t="e">
            <v>#N/A</v>
          </cell>
          <cell r="I770" t="str">
            <v>8800TONERUK</v>
          </cell>
        </row>
        <row r="771">
          <cell r="D771">
            <v>209890</v>
          </cell>
          <cell r="E771" t="str">
            <v>EUR</v>
          </cell>
          <cell r="F771">
            <v>104.21</v>
          </cell>
          <cell r="G771" t="str">
            <v>EUR</v>
          </cell>
          <cell r="H771" t="e">
            <v>#VALUE!</v>
          </cell>
          <cell r="I771" t="str">
            <v>AF251MAST</v>
          </cell>
        </row>
        <row r="772">
          <cell r="D772">
            <v>400398</v>
          </cell>
          <cell r="E772" t="str">
            <v>EUR</v>
          </cell>
          <cell r="F772">
            <v>57.15</v>
          </cell>
          <cell r="G772" t="str">
            <v>EUR</v>
          </cell>
          <cell r="H772" t="e">
            <v>#VALUE!</v>
          </cell>
          <cell r="I772" t="str">
            <v>AP1400TONER</v>
          </cell>
        </row>
        <row r="773">
          <cell r="D773">
            <v>923961</v>
          </cell>
          <cell r="E773" t="str">
            <v>EUR</v>
          </cell>
          <cell r="F773">
            <v>107.99</v>
          </cell>
          <cell r="G773" t="e">
            <v>#N/A</v>
          </cell>
          <cell r="H773" t="e">
            <v>#N/A</v>
          </cell>
          <cell r="I773" t="str">
            <v>AP1610TONER</v>
          </cell>
        </row>
        <row r="774">
          <cell r="D774">
            <v>400679</v>
          </cell>
          <cell r="E774" t="str">
            <v>EUR</v>
          </cell>
          <cell r="F774">
            <v>143.82</v>
          </cell>
          <cell r="G774" t="e">
            <v>#N/A</v>
          </cell>
          <cell r="H774" t="e">
            <v>#N/A</v>
          </cell>
          <cell r="I774" t="str">
            <v>AP200TONCHN</v>
          </cell>
        </row>
        <row r="775">
          <cell r="D775">
            <v>400618</v>
          </cell>
          <cell r="E775" t="str">
            <v>EUR</v>
          </cell>
          <cell r="F775">
            <v>147.27000000000001</v>
          </cell>
          <cell r="G775" t="e">
            <v>#N/A</v>
          </cell>
          <cell r="H775" t="e">
            <v>#N/A</v>
          </cell>
          <cell r="I775" t="str">
            <v>AP200TONER</v>
          </cell>
        </row>
        <row r="776">
          <cell r="D776">
            <v>400395</v>
          </cell>
          <cell r="E776" t="str">
            <v>EUR</v>
          </cell>
          <cell r="F776">
            <v>95.43</v>
          </cell>
          <cell r="G776" t="str">
            <v>EUR</v>
          </cell>
          <cell r="H776" t="e">
            <v>#VALUE!</v>
          </cell>
          <cell r="I776" t="str">
            <v>AP2000TONER</v>
          </cell>
        </row>
        <row r="777">
          <cell r="D777">
            <v>400321</v>
          </cell>
          <cell r="E777" t="str">
            <v>EUR</v>
          </cell>
          <cell r="F777">
            <v>25.22</v>
          </cell>
          <cell r="G777" t="str">
            <v>EUR</v>
          </cell>
          <cell r="H777" t="e">
            <v>#VALUE!</v>
          </cell>
          <cell r="I777" t="str">
            <v>AP204OIL</v>
          </cell>
        </row>
        <row r="778">
          <cell r="D778">
            <v>400320</v>
          </cell>
          <cell r="E778" t="str">
            <v>EUR</v>
          </cell>
          <cell r="F778">
            <v>136.46</v>
          </cell>
          <cell r="G778" t="str">
            <v>EUR</v>
          </cell>
          <cell r="H778" t="e">
            <v>#VALUE!</v>
          </cell>
          <cell r="I778" t="str">
            <v>AP204PCU</v>
          </cell>
        </row>
        <row r="779">
          <cell r="D779">
            <v>400316</v>
          </cell>
          <cell r="E779" t="str">
            <v>EUR</v>
          </cell>
          <cell r="F779">
            <v>63.16</v>
          </cell>
          <cell r="G779" t="str">
            <v>EUR</v>
          </cell>
          <cell r="H779" t="e">
            <v>#VALUE!</v>
          </cell>
          <cell r="I779" t="str">
            <v>AP204TONBLA</v>
          </cell>
        </row>
        <row r="780">
          <cell r="D780">
            <v>400317</v>
          </cell>
          <cell r="E780" t="str">
            <v>EUR</v>
          </cell>
          <cell r="F780">
            <v>56.38</v>
          </cell>
          <cell r="G780" t="str">
            <v>EUR</v>
          </cell>
          <cell r="H780" t="e">
            <v>#VALUE!</v>
          </cell>
          <cell r="I780" t="str">
            <v>AP204TONCYN</v>
          </cell>
        </row>
        <row r="781">
          <cell r="D781">
            <v>400318</v>
          </cell>
          <cell r="E781" t="str">
            <v>EUR</v>
          </cell>
          <cell r="F781">
            <v>56.38</v>
          </cell>
          <cell r="G781" t="str">
            <v>EUR</v>
          </cell>
          <cell r="H781" t="e">
            <v>#VALUE!</v>
          </cell>
          <cell r="I781" t="str">
            <v>AP204TONMAG</v>
          </cell>
        </row>
        <row r="782">
          <cell r="D782">
            <v>400319</v>
          </cell>
          <cell r="E782" t="str">
            <v>EUR</v>
          </cell>
          <cell r="F782">
            <v>56.38</v>
          </cell>
          <cell r="G782" t="str">
            <v>EUR</v>
          </cell>
          <cell r="H782" t="e">
            <v>#VALUE!</v>
          </cell>
          <cell r="I782" t="str">
            <v>AP204TONYLW</v>
          </cell>
        </row>
        <row r="783">
          <cell r="D783">
            <v>400322</v>
          </cell>
          <cell r="E783" t="str">
            <v>EUR</v>
          </cell>
          <cell r="F783">
            <v>8.2799999999999994</v>
          </cell>
          <cell r="G783" t="str">
            <v>EUR</v>
          </cell>
          <cell r="H783" t="e">
            <v>#VALUE!</v>
          </cell>
          <cell r="I783" t="str">
            <v>AP204WASTE</v>
          </cell>
        </row>
        <row r="784">
          <cell r="D784">
            <v>400514</v>
          </cell>
          <cell r="E784" t="str">
            <v>EUR</v>
          </cell>
          <cell r="F784">
            <v>25.32</v>
          </cell>
          <cell r="G784" t="str">
            <v>EUR</v>
          </cell>
          <cell r="H784" t="e">
            <v>#VALUE!</v>
          </cell>
          <cell r="I784" t="str">
            <v>AP206FUSER</v>
          </cell>
        </row>
        <row r="785">
          <cell r="D785">
            <v>400511</v>
          </cell>
          <cell r="E785" t="str">
            <v>EUR</v>
          </cell>
          <cell r="F785">
            <v>151.63</v>
          </cell>
          <cell r="G785" t="e">
            <v>#N/A</v>
          </cell>
          <cell r="H785" t="e">
            <v>#N/A</v>
          </cell>
          <cell r="I785" t="str">
            <v>AP206PCU</v>
          </cell>
        </row>
        <row r="786">
          <cell r="D786">
            <v>400507</v>
          </cell>
          <cell r="E786" t="str">
            <v>EUR</v>
          </cell>
          <cell r="F786">
            <v>73.680000000000007</v>
          </cell>
          <cell r="G786" t="str">
            <v>EUR</v>
          </cell>
          <cell r="H786" t="e">
            <v>#VALUE!</v>
          </cell>
          <cell r="I786" t="str">
            <v>AP206TONBLA</v>
          </cell>
        </row>
        <row r="787">
          <cell r="D787">
            <v>400508</v>
          </cell>
          <cell r="E787" t="str">
            <v>EUR</v>
          </cell>
          <cell r="F787">
            <v>69.739999999999995</v>
          </cell>
          <cell r="G787" t="str">
            <v>EUR</v>
          </cell>
          <cell r="H787" t="e">
            <v>#VALUE!</v>
          </cell>
          <cell r="I787" t="str">
            <v>AP206TONCYN</v>
          </cell>
        </row>
        <row r="788">
          <cell r="D788">
            <v>400509</v>
          </cell>
          <cell r="E788" t="str">
            <v>EUR</v>
          </cell>
          <cell r="F788">
            <v>69.739999999999995</v>
          </cell>
          <cell r="G788" t="str">
            <v>EUR</v>
          </cell>
          <cell r="H788" t="e">
            <v>#VALUE!</v>
          </cell>
          <cell r="I788" t="str">
            <v>AP206TONMAG</v>
          </cell>
        </row>
        <row r="789">
          <cell r="D789">
            <v>400510</v>
          </cell>
          <cell r="E789" t="str">
            <v>EUR</v>
          </cell>
          <cell r="F789">
            <v>69.739999999999995</v>
          </cell>
          <cell r="G789" t="str">
            <v>EUR</v>
          </cell>
          <cell r="H789" t="e">
            <v>#VALUE!</v>
          </cell>
          <cell r="I789" t="str">
            <v>AP206TONYLW</v>
          </cell>
        </row>
        <row r="790">
          <cell r="D790">
            <v>400513</v>
          </cell>
          <cell r="E790" t="str">
            <v>EUR</v>
          </cell>
          <cell r="F790">
            <v>8.2799999999999994</v>
          </cell>
          <cell r="G790" t="e">
            <v>#N/A</v>
          </cell>
          <cell r="H790" t="e">
            <v>#N/A</v>
          </cell>
          <cell r="I790" t="str">
            <v>AP206WASTE</v>
          </cell>
        </row>
        <row r="791">
          <cell r="D791">
            <v>400760</v>
          </cell>
          <cell r="E791" t="str">
            <v>EUR</v>
          </cell>
          <cell r="F791">
            <v>147.27000000000001</v>
          </cell>
          <cell r="G791" t="str">
            <v>EUR</v>
          </cell>
          <cell r="H791" t="e">
            <v>#VALUE!</v>
          </cell>
          <cell r="I791" t="str">
            <v>AP215TONCHN</v>
          </cell>
        </row>
        <row r="792">
          <cell r="D792">
            <v>400342</v>
          </cell>
          <cell r="E792" t="str">
            <v>EUR</v>
          </cell>
          <cell r="F792">
            <v>17.45</v>
          </cell>
          <cell r="G792" t="e">
            <v>#N/A</v>
          </cell>
          <cell r="H792" t="e">
            <v>#N/A</v>
          </cell>
          <cell r="I792" t="str">
            <v>AP305OIL</v>
          </cell>
        </row>
        <row r="793">
          <cell r="D793">
            <v>400344</v>
          </cell>
          <cell r="E793" t="str">
            <v>EUR</v>
          </cell>
          <cell r="F793">
            <v>231.68</v>
          </cell>
          <cell r="G793" t="str">
            <v>EUR</v>
          </cell>
          <cell r="H793" t="e">
            <v>#VALUE!</v>
          </cell>
          <cell r="I793" t="str">
            <v>AP305PCU</v>
          </cell>
        </row>
        <row r="794">
          <cell r="D794">
            <v>400338</v>
          </cell>
          <cell r="E794" t="str">
            <v>EUR</v>
          </cell>
          <cell r="F794">
            <v>81</v>
          </cell>
          <cell r="G794" t="e">
            <v>#N/A</v>
          </cell>
          <cell r="H794" t="e">
            <v>#N/A</v>
          </cell>
          <cell r="I794" t="str">
            <v>AP305TONBLA</v>
          </cell>
        </row>
        <row r="795">
          <cell r="D795">
            <v>400339</v>
          </cell>
          <cell r="E795" t="str">
            <v>EUR</v>
          </cell>
          <cell r="F795">
            <v>100</v>
          </cell>
          <cell r="G795" t="e">
            <v>#N/A</v>
          </cell>
          <cell r="H795" t="e">
            <v>#N/A</v>
          </cell>
          <cell r="I795" t="str">
            <v>AP305TONCYN</v>
          </cell>
        </row>
        <row r="796">
          <cell r="D796">
            <v>400340</v>
          </cell>
          <cell r="E796" t="str">
            <v>EUR</v>
          </cell>
          <cell r="F796">
            <v>100</v>
          </cell>
          <cell r="G796" t="e">
            <v>#N/A</v>
          </cell>
          <cell r="H796" t="e">
            <v>#N/A</v>
          </cell>
          <cell r="I796" t="str">
            <v>AP305TONMAG</v>
          </cell>
        </row>
        <row r="797">
          <cell r="D797">
            <v>400341</v>
          </cell>
          <cell r="E797" t="str">
            <v>EUR</v>
          </cell>
          <cell r="F797">
            <v>100</v>
          </cell>
          <cell r="G797" t="e">
            <v>#N/A</v>
          </cell>
          <cell r="H797" t="e">
            <v>#N/A</v>
          </cell>
          <cell r="I797" t="str">
            <v>AP305TONYLW</v>
          </cell>
        </row>
        <row r="798">
          <cell r="D798">
            <v>400343</v>
          </cell>
          <cell r="E798" t="str">
            <v>EUR</v>
          </cell>
          <cell r="F798">
            <v>10.66</v>
          </cell>
          <cell r="G798" t="str">
            <v>EUR</v>
          </cell>
          <cell r="H798" t="e">
            <v>#VALUE!</v>
          </cell>
          <cell r="I798" t="str">
            <v>AP305WASTE</v>
          </cell>
        </row>
        <row r="799">
          <cell r="D799">
            <v>400496</v>
          </cell>
          <cell r="E799" t="str">
            <v>EUR</v>
          </cell>
          <cell r="F799">
            <v>14.96</v>
          </cell>
          <cell r="G799" t="str">
            <v>EUR</v>
          </cell>
          <cell r="H799" t="e">
            <v>#VALUE!</v>
          </cell>
          <cell r="I799" t="str">
            <v>AP306CHARGER</v>
          </cell>
        </row>
        <row r="800">
          <cell r="D800">
            <v>400497</v>
          </cell>
          <cell r="E800" t="str">
            <v>EUR</v>
          </cell>
          <cell r="F800">
            <v>16.7</v>
          </cell>
          <cell r="G800" t="str">
            <v>EUR</v>
          </cell>
          <cell r="H800" t="e">
            <v>#VALUE!</v>
          </cell>
          <cell r="I800" t="str">
            <v>AP306OIL</v>
          </cell>
        </row>
        <row r="801">
          <cell r="D801">
            <v>400490</v>
          </cell>
          <cell r="E801" t="str">
            <v>EUR</v>
          </cell>
          <cell r="F801">
            <v>272.57</v>
          </cell>
          <cell r="G801" t="str">
            <v>EUR</v>
          </cell>
          <cell r="H801" t="e">
            <v>#VALUE!</v>
          </cell>
          <cell r="I801" t="str">
            <v>AP306PCU</v>
          </cell>
        </row>
        <row r="802">
          <cell r="D802">
            <v>400491</v>
          </cell>
          <cell r="E802" t="str">
            <v>EUR</v>
          </cell>
          <cell r="F802">
            <v>89.65</v>
          </cell>
          <cell r="G802" t="str">
            <v>EUR</v>
          </cell>
          <cell r="H802" t="e">
            <v>#VALUE!</v>
          </cell>
          <cell r="I802" t="str">
            <v>AP306TONBLA</v>
          </cell>
        </row>
        <row r="803">
          <cell r="D803">
            <v>400492</v>
          </cell>
          <cell r="E803" t="str">
            <v>EUR</v>
          </cell>
          <cell r="F803">
            <v>110.67</v>
          </cell>
          <cell r="G803" t="str">
            <v>EUR</v>
          </cell>
          <cell r="H803" t="e">
            <v>#VALUE!</v>
          </cell>
          <cell r="I803" t="str">
            <v>AP306TONCYN</v>
          </cell>
        </row>
        <row r="804">
          <cell r="D804">
            <v>400493</v>
          </cell>
          <cell r="E804" t="str">
            <v>EUR</v>
          </cell>
          <cell r="F804">
            <v>110.67</v>
          </cell>
          <cell r="G804" t="str">
            <v>EUR</v>
          </cell>
          <cell r="H804" t="e">
            <v>#VALUE!</v>
          </cell>
          <cell r="I804" t="str">
            <v>AP306TONMAG</v>
          </cell>
        </row>
        <row r="805">
          <cell r="D805">
            <v>400494</v>
          </cell>
          <cell r="E805" t="str">
            <v>EUR</v>
          </cell>
          <cell r="F805">
            <v>110.67</v>
          </cell>
          <cell r="G805" t="str">
            <v>EUR</v>
          </cell>
          <cell r="H805" t="e">
            <v>#VALUE!</v>
          </cell>
          <cell r="I805" t="str">
            <v>AP306TONYLW</v>
          </cell>
        </row>
        <row r="806">
          <cell r="D806">
            <v>400495</v>
          </cell>
          <cell r="E806" t="str">
            <v>EUR</v>
          </cell>
          <cell r="F806">
            <v>10.45</v>
          </cell>
          <cell r="G806" t="str">
            <v>EUR</v>
          </cell>
          <cell r="H806" t="e">
            <v>#VALUE!</v>
          </cell>
          <cell r="I806" t="str">
            <v>AP306WASTE</v>
          </cell>
        </row>
        <row r="807">
          <cell r="D807">
            <v>352900</v>
          </cell>
          <cell r="E807" t="str">
            <v>EUR</v>
          </cell>
          <cell r="F807">
            <v>39.5</v>
          </cell>
          <cell r="G807" t="str">
            <v>EUR</v>
          </cell>
          <cell r="H807" t="e">
            <v>#VALUE!</v>
          </cell>
          <cell r="I807" t="str">
            <v>CHARGERKITM</v>
          </cell>
        </row>
        <row r="808">
          <cell r="D808">
            <v>889409</v>
          </cell>
          <cell r="E808" t="str">
            <v>EUR</v>
          </cell>
          <cell r="F808">
            <v>28.91</v>
          </cell>
          <cell r="G808" t="str">
            <v>EUR</v>
          </cell>
          <cell r="H808" t="e">
            <v>#VALUE!</v>
          </cell>
          <cell r="I808" t="str">
            <v>CLEANCARRIER</v>
          </cell>
        </row>
        <row r="809">
          <cell r="D809">
            <v>352822</v>
          </cell>
          <cell r="E809" t="str">
            <v>EUR</v>
          </cell>
          <cell r="F809">
            <v>70.11</v>
          </cell>
          <cell r="G809" t="str">
            <v>EUR</v>
          </cell>
          <cell r="H809" t="e">
            <v>#VALUE!</v>
          </cell>
          <cell r="I809" t="str">
            <v>CLEANM2</v>
          </cell>
        </row>
        <row r="810">
          <cell r="D810">
            <v>358810</v>
          </cell>
          <cell r="E810" t="str">
            <v>EUR</v>
          </cell>
          <cell r="F810">
            <v>32.200000000000003</v>
          </cell>
          <cell r="G810" t="e">
            <v>#N/A</v>
          </cell>
          <cell r="H810" t="e">
            <v>#N/A</v>
          </cell>
          <cell r="I810" t="str">
            <v>CLEAN6000</v>
          </cell>
        </row>
        <row r="811">
          <cell r="D811">
            <v>392000</v>
          </cell>
          <cell r="E811" t="str">
            <v>EUR</v>
          </cell>
          <cell r="F811">
            <v>64.36</v>
          </cell>
          <cell r="G811" t="str">
            <v>EUR</v>
          </cell>
          <cell r="H811" t="e">
            <v>#VALUE!</v>
          </cell>
          <cell r="I811" t="str">
            <v>DEVCART12PLS</v>
          </cell>
        </row>
        <row r="812">
          <cell r="D812">
            <v>886905</v>
          </cell>
          <cell r="E812" t="str">
            <v>EUR</v>
          </cell>
          <cell r="F812">
            <v>30.79</v>
          </cell>
          <cell r="G812" t="e">
            <v>#N/A</v>
          </cell>
          <cell r="H812" t="e">
            <v>#N/A</v>
          </cell>
          <cell r="I812" t="str">
            <v>DEVTYPEDBLA</v>
          </cell>
        </row>
        <row r="813">
          <cell r="D813">
            <v>886908</v>
          </cell>
          <cell r="E813" t="str">
            <v>EUR</v>
          </cell>
          <cell r="F813">
            <v>30.79</v>
          </cell>
          <cell r="G813" t="e">
            <v>#N/A</v>
          </cell>
          <cell r="H813" t="e">
            <v>#N/A</v>
          </cell>
          <cell r="I813" t="str">
            <v>DEVTYPEDCYN</v>
          </cell>
        </row>
        <row r="814">
          <cell r="D814">
            <v>886907</v>
          </cell>
          <cell r="E814" t="str">
            <v>EUR</v>
          </cell>
          <cell r="F814">
            <v>30.79</v>
          </cell>
          <cell r="G814" t="e">
            <v>#N/A</v>
          </cell>
          <cell r="H814" t="e">
            <v>#N/A</v>
          </cell>
          <cell r="I814" t="str">
            <v>DEVTYPEDMAG</v>
          </cell>
        </row>
        <row r="815">
          <cell r="D815">
            <v>886906</v>
          </cell>
          <cell r="E815" t="str">
            <v>EUR</v>
          </cell>
          <cell r="F815">
            <v>30.79</v>
          </cell>
          <cell r="G815" t="e">
            <v>#N/A</v>
          </cell>
          <cell r="H815" t="e">
            <v>#N/A</v>
          </cell>
          <cell r="I815" t="str">
            <v>DEVTYPEDYLW</v>
          </cell>
        </row>
        <row r="816">
          <cell r="D816">
            <v>889759</v>
          </cell>
          <cell r="E816" t="str">
            <v>EUR</v>
          </cell>
          <cell r="F816">
            <v>27.9</v>
          </cell>
          <cell r="G816" t="str">
            <v>EUR</v>
          </cell>
          <cell r="H816" t="e">
            <v>#VALUE!</v>
          </cell>
          <cell r="I816" t="str">
            <v>DEVTYPEFBLA</v>
          </cell>
        </row>
        <row r="817">
          <cell r="D817">
            <v>889762</v>
          </cell>
          <cell r="E817" t="str">
            <v>EUR</v>
          </cell>
          <cell r="F817">
            <v>27.9</v>
          </cell>
          <cell r="G817" t="str">
            <v>EUR</v>
          </cell>
          <cell r="H817" t="e">
            <v>#VALUE!</v>
          </cell>
          <cell r="I817" t="str">
            <v>DEVTYPEFCYN</v>
          </cell>
        </row>
        <row r="818">
          <cell r="D818">
            <v>889761</v>
          </cell>
          <cell r="E818" t="str">
            <v>EUR</v>
          </cell>
          <cell r="F818">
            <v>27.9</v>
          </cell>
          <cell r="G818" t="str">
            <v>EUR</v>
          </cell>
          <cell r="H818" t="e">
            <v>#VALUE!</v>
          </cell>
          <cell r="I818" t="str">
            <v>DEVTYPEFMAG</v>
          </cell>
        </row>
        <row r="819">
          <cell r="D819">
            <v>889760</v>
          </cell>
          <cell r="E819" t="str">
            <v>EUR</v>
          </cell>
          <cell r="F819">
            <v>27.9</v>
          </cell>
          <cell r="G819" t="str">
            <v>EUR</v>
          </cell>
          <cell r="H819" t="e">
            <v>#VALUE!</v>
          </cell>
          <cell r="I819" t="str">
            <v>DEVTYPEFYLW</v>
          </cell>
        </row>
        <row r="820">
          <cell r="D820">
            <v>889882</v>
          </cell>
          <cell r="E820" t="str">
            <v>EUR</v>
          </cell>
          <cell r="F820">
            <v>27.9</v>
          </cell>
          <cell r="G820" t="str">
            <v>EUR</v>
          </cell>
          <cell r="H820" t="e">
            <v>#VALUE!</v>
          </cell>
          <cell r="I820" t="str">
            <v>DEVTYPEGCYN</v>
          </cell>
        </row>
        <row r="821">
          <cell r="D821">
            <v>889881</v>
          </cell>
          <cell r="E821" t="str">
            <v>EUR</v>
          </cell>
          <cell r="F821">
            <v>27.9</v>
          </cell>
          <cell r="G821" t="str">
            <v>EUR</v>
          </cell>
          <cell r="H821" t="e">
            <v>#VALUE!</v>
          </cell>
          <cell r="I821" t="str">
            <v>DEVTYPEGMAG</v>
          </cell>
        </row>
        <row r="822">
          <cell r="D822">
            <v>889880</v>
          </cell>
          <cell r="E822" t="str">
            <v>EUR</v>
          </cell>
          <cell r="F822">
            <v>27.9</v>
          </cell>
          <cell r="G822" t="str">
            <v>EUR</v>
          </cell>
          <cell r="H822" t="e">
            <v>#VALUE!</v>
          </cell>
          <cell r="I822" t="str">
            <v>DEVTYPEGYLW</v>
          </cell>
        </row>
        <row r="823">
          <cell r="D823">
            <v>887880</v>
          </cell>
          <cell r="E823" t="str">
            <v>EUR</v>
          </cell>
          <cell r="F823">
            <v>22.82</v>
          </cell>
          <cell r="G823" t="str">
            <v>EUR</v>
          </cell>
          <cell r="H823" t="e">
            <v>#VALUE!</v>
          </cell>
          <cell r="I823" t="str">
            <v>DEVTYPEKBLA</v>
          </cell>
        </row>
        <row r="824">
          <cell r="D824">
            <v>887883</v>
          </cell>
          <cell r="E824" t="str">
            <v>EUR</v>
          </cell>
          <cell r="F824">
            <v>57.22</v>
          </cell>
          <cell r="G824" t="str">
            <v>EUR</v>
          </cell>
          <cell r="H824" t="e">
            <v>#VALUE!</v>
          </cell>
          <cell r="I824" t="str">
            <v>DEVTYPEKCYN</v>
          </cell>
        </row>
        <row r="825">
          <cell r="D825">
            <v>887882</v>
          </cell>
          <cell r="E825" t="str">
            <v>EUR</v>
          </cell>
          <cell r="F825">
            <v>57.22</v>
          </cell>
          <cell r="G825" t="str">
            <v>EUR</v>
          </cell>
          <cell r="H825" t="e">
            <v>#VALUE!</v>
          </cell>
          <cell r="I825" t="str">
            <v>DEVTYPEKMAG</v>
          </cell>
        </row>
        <row r="826">
          <cell r="D826">
            <v>887881</v>
          </cell>
          <cell r="E826" t="str">
            <v>EUR</v>
          </cell>
          <cell r="F826">
            <v>57.22</v>
          </cell>
          <cell r="G826" t="str">
            <v>EUR</v>
          </cell>
          <cell r="H826" t="e">
            <v>#VALUE!</v>
          </cell>
          <cell r="I826" t="str">
            <v>DEVTYPEKYLW</v>
          </cell>
        </row>
        <row r="827">
          <cell r="D827">
            <v>887951</v>
          </cell>
          <cell r="E827" t="str">
            <v>EUR</v>
          </cell>
          <cell r="F827">
            <v>78.94</v>
          </cell>
          <cell r="G827" t="str">
            <v>EUR</v>
          </cell>
          <cell r="H827" t="e">
            <v>#VALUE!</v>
          </cell>
          <cell r="I827" t="str">
            <v>DEVTYPELBLA</v>
          </cell>
        </row>
        <row r="828">
          <cell r="D828">
            <v>887954</v>
          </cell>
          <cell r="E828" t="str">
            <v>EUR</v>
          </cell>
          <cell r="F828">
            <v>63.14</v>
          </cell>
          <cell r="G828" t="str">
            <v>EUR</v>
          </cell>
          <cell r="H828" t="e">
            <v>#VALUE!</v>
          </cell>
          <cell r="I828" t="str">
            <v>DEVTYPELCYN</v>
          </cell>
        </row>
        <row r="829">
          <cell r="D829">
            <v>887953</v>
          </cell>
          <cell r="E829" t="str">
            <v>EUR</v>
          </cell>
          <cell r="F829">
            <v>63.14</v>
          </cell>
          <cell r="G829" t="str">
            <v>EUR</v>
          </cell>
          <cell r="H829" t="e">
            <v>#VALUE!</v>
          </cell>
          <cell r="I829" t="str">
            <v>DEVTYPELMAG</v>
          </cell>
        </row>
        <row r="830">
          <cell r="D830">
            <v>887952</v>
          </cell>
          <cell r="E830" t="str">
            <v>EUR</v>
          </cell>
          <cell r="F830">
            <v>63.14</v>
          </cell>
          <cell r="G830" t="str">
            <v>EUR</v>
          </cell>
          <cell r="H830" t="e">
            <v>#VALUE!</v>
          </cell>
          <cell r="I830" t="str">
            <v>DEVTYPELYLW</v>
          </cell>
        </row>
        <row r="831">
          <cell r="D831">
            <v>889455</v>
          </cell>
          <cell r="E831" t="str">
            <v>EUR</v>
          </cell>
          <cell r="F831">
            <v>78.260000000000005</v>
          </cell>
          <cell r="G831" t="e">
            <v>#N/A</v>
          </cell>
          <cell r="H831" t="e">
            <v>#N/A</v>
          </cell>
          <cell r="I831" t="str">
            <v>DEVTYPE1</v>
          </cell>
        </row>
        <row r="832">
          <cell r="D832">
            <v>885176</v>
          </cell>
          <cell r="E832" t="str">
            <v>EUR</v>
          </cell>
          <cell r="F832">
            <v>77.14</v>
          </cell>
          <cell r="G832" t="e">
            <v>#N/A</v>
          </cell>
          <cell r="H832" t="e">
            <v>#N/A</v>
          </cell>
          <cell r="I832" t="str">
            <v>DEVTYPE1USA</v>
          </cell>
        </row>
        <row r="833">
          <cell r="D833">
            <v>888010</v>
          </cell>
          <cell r="E833" t="str">
            <v>EUR</v>
          </cell>
          <cell r="F833">
            <v>81.510000000000005</v>
          </cell>
          <cell r="G833" t="str">
            <v>EUR</v>
          </cell>
          <cell r="H833" t="e">
            <v>#VALUE!</v>
          </cell>
          <cell r="I833" t="str">
            <v>DEVTYPE14</v>
          </cell>
        </row>
        <row r="834">
          <cell r="D834">
            <v>888002</v>
          </cell>
          <cell r="E834" t="str">
            <v>EUR</v>
          </cell>
          <cell r="F834">
            <v>197.91</v>
          </cell>
          <cell r="G834" t="str">
            <v>EUR</v>
          </cell>
          <cell r="H834" t="e">
            <v>#VALUE!</v>
          </cell>
          <cell r="I834" t="str">
            <v>DEVTYPE15</v>
          </cell>
        </row>
        <row r="835">
          <cell r="D835">
            <v>888114</v>
          </cell>
          <cell r="E835" t="str">
            <v>EUR</v>
          </cell>
          <cell r="F835">
            <v>37.68</v>
          </cell>
          <cell r="G835" t="str">
            <v>EUR</v>
          </cell>
          <cell r="H835" t="e">
            <v>#VALUE!</v>
          </cell>
          <cell r="I835" t="str">
            <v>DEVTYPE16W</v>
          </cell>
        </row>
        <row r="836">
          <cell r="D836">
            <v>888073</v>
          </cell>
          <cell r="E836" t="str">
            <v>EUR</v>
          </cell>
          <cell r="F836">
            <v>52</v>
          </cell>
          <cell r="G836" t="str">
            <v>EUR</v>
          </cell>
          <cell r="H836" t="e">
            <v>#VALUE!</v>
          </cell>
          <cell r="I836" t="str">
            <v>DEVTYPE18</v>
          </cell>
        </row>
        <row r="837">
          <cell r="D837">
            <v>888095</v>
          </cell>
          <cell r="E837" t="str">
            <v>EUR</v>
          </cell>
          <cell r="F837">
            <v>20.88</v>
          </cell>
          <cell r="G837" t="str">
            <v>EUR</v>
          </cell>
          <cell r="H837" t="e">
            <v>#VALUE!</v>
          </cell>
          <cell r="I837" t="str">
            <v>DEVTYPE19</v>
          </cell>
        </row>
        <row r="838">
          <cell r="D838">
            <v>887637</v>
          </cell>
          <cell r="E838" t="str">
            <v>EUR</v>
          </cell>
          <cell r="F838">
            <v>247.17</v>
          </cell>
          <cell r="G838" t="str">
            <v>EUR</v>
          </cell>
          <cell r="H838" t="e">
            <v>#VALUE!</v>
          </cell>
          <cell r="I838" t="str">
            <v>DEVTYPE2</v>
          </cell>
        </row>
        <row r="839">
          <cell r="D839">
            <v>888164</v>
          </cell>
          <cell r="E839" t="str">
            <v>EUR</v>
          </cell>
          <cell r="F839">
            <v>15.67</v>
          </cell>
          <cell r="G839" t="str">
            <v>EUR</v>
          </cell>
          <cell r="H839" t="e">
            <v>#VALUE!</v>
          </cell>
          <cell r="I839" t="str">
            <v>DEVTYPE21</v>
          </cell>
        </row>
        <row r="840">
          <cell r="D840">
            <v>885281</v>
          </cell>
          <cell r="E840" t="str">
            <v>EUR</v>
          </cell>
          <cell r="F840">
            <v>62.07</v>
          </cell>
          <cell r="G840" t="e">
            <v>#N/A</v>
          </cell>
          <cell r="H840" t="e">
            <v>#N/A</v>
          </cell>
          <cell r="I840" t="str">
            <v>DEVTYPE24</v>
          </cell>
        </row>
        <row r="841">
          <cell r="D841">
            <v>889855</v>
          </cell>
          <cell r="E841" t="str">
            <v>EUR</v>
          </cell>
          <cell r="F841">
            <v>51.12</v>
          </cell>
          <cell r="G841" t="str">
            <v>EUR</v>
          </cell>
          <cell r="H841" t="e">
            <v>#VALUE!</v>
          </cell>
          <cell r="I841" t="str">
            <v>DEVTYPE3</v>
          </cell>
        </row>
        <row r="842">
          <cell r="D842">
            <v>887733</v>
          </cell>
          <cell r="E842" t="str">
            <v>EUR</v>
          </cell>
          <cell r="F842">
            <v>200.15</v>
          </cell>
          <cell r="G842" t="str">
            <v>EUR</v>
          </cell>
          <cell r="H842" t="e">
            <v>#VALUE!</v>
          </cell>
          <cell r="I842" t="str">
            <v>DEVTYPE5</v>
          </cell>
        </row>
        <row r="843">
          <cell r="D843">
            <v>887748</v>
          </cell>
          <cell r="E843" t="str">
            <v>EUR</v>
          </cell>
          <cell r="F843">
            <v>201.42</v>
          </cell>
          <cell r="G843" t="str">
            <v>EUR</v>
          </cell>
          <cell r="H843" t="e">
            <v>#VALUE!</v>
          </cell>
          <cell r="I843" t="str">
            <v>DEVTYPE7</v>
          </cell>
        </row>
        <row r="844">
          <cell r="D844">
            <v>887797</v>
          </cell>
          <cell r="E844" t="str">
            <v>EUR</v>
          </cell>
          <cell r="F844">
            <v>209.48</v>
          </cell>
          <cell r="G844" t="str">
            <v>EUR</v>
          </cell>
          <cell r="H844" t="e">
            <v>#VALUE!</v>
          </cell>
          <cell r="I844" t="str">
            <v>DEVTYPE9</v>
          </cell>
        </row>
        <row r="845">
          <cell r="D845">
            <v>339032</v>
          </cell>
          <cell r="E845" t="str">
            <v>EUR</v>
          </cell>
          <cell r="F845">
            <v>49.69</v>
          </cell>
          <cell r="G845" t="e">
            <v>#N/A</v>
          </cell>
          <cell r="H845" t="e">
            <v>#N/A</v>
          </cell>
          <cell r="I845" t="str">
            <v>FAXCART1200</v>
          </cell>
        </row>
        <row r="846">
          <cell r="D846">
            <v>923180</v>
          </cell>
          <cell r="E846" t="str">
            <v>EUR</v>
          </cell>
          <cell r="F846">
            <v>86.59</v>
          </cell>
          <cell r="G846" t="e">
            <v>#N/A</v>
          </cell>
          <cell r="H846" t="e">
            <v>#N/A</v>
          </cell>
          <cell r="I846" t="str">
            <v>FAXCART61BLA</v>
          </cell>
        </row>
        <row r="847">
          <cell r="D847">
            <v>923181</v>
          </cell>
          <cell r="E847" t="str">
            <v>EUR</v>
          </cell>
          <cell r="F847">
            <v>86.59</v>
          </cell>
          <cell r="G847" t="e">
            <v>#N/A</v>
          </cell>
          <cell r="H847" t="e">
            <v>#N/A</v>
          </cell>
          <cell r="I847" t="str">
            <v>FAXCART61CLR</v>
          </cell>
        </row>
        <row r="848">
          <cell r="D848">
            <v>334238</v>
          </cell>
          <cell r="E848" t="str">
            <v>EUR</v>
          </cell>
          <cell r="F848">
            <v>670.99</v>
          </cell>
          <cell r="G848" t="e">
            <v>#N/A</v>
          </cell>
          <cell r="H848" t="e">
            <v>#N/A</v>
          </cell>
          <cell r="I848" t="str">
            <v>FAXCART800</v>
          </cell>
        </row>
        <row r="849">
          <cell r="D849">
            <v>339353</v>
          </cell>
          <cell r="E849" t="str">
            <v>EUR</v>
          </cell>
          <cell r="F849">
            <v>857.58</v>
          </cell>
          <cell r="G849" t="e">
            <v>#N/A</v>
          </cell>
          <cell r="H849" t="e">
            <v>#N/A</v>
          </cell>
          <cell r="I849" t="str">
            <v>FAXCART88BLA</v>
          </cell>
        </row>
        <row r="850">
          <cell r="D850">
            <v>339342</v>
          </cell>
          <cell r="E850" t="str">
            <v>EUR</v>
          </cell>
          <cell r="F850">
            <v>1106.52</v>
          </cell>
          <cell r="G850" t="e">
            <v>#N/A</v>
          </cell>
          <cell r="H850" t="e">
            <v>#N/A</v>
          </cell>
          <cell r="I850" t="str">
            <v>FAXCART88CLR</v>
          </cell>
        </row>
        <row r="851">
          <cell r="D851">
            <v>894716</v>
          </cell>
          <cell r="E851" t="str">
            <v>EUR</v>
          </cell>
          <cell r="F851">
            <v>239.38</v>
          </cell>
          <cell r="G851" t="str">
            <v>EUR</v>
          </cell>
          <cell r="H851" t="e">
            <v>#VALUE!</v>
          </cell>
          <cell r="I851" t="str">
            <v>FAXMASTER100</v>
          </cell>
        </row>
        <row r="852">
          <cell r="D852">
            <v>889347</v>
          </cell>
          <cell r="E852" t="str">
            <v>EUR</v>
          </cell>
          <cell r="F852">
            <v>238.47</v>
          </cell>
          <cell r="G852" t="str">
            <v>EUR</v>
          </cell>
          <cell r="H852" t="e">
            <v>#VALUE!</v>
          </cell>
          <cell r="I852" t="str">
            <v>FAXMASTER30</v>
          </cell>
        </row>
        <row r="853">
          <cell r="D853">
            <v>593928</v>
          </cell>
          <cell r="E853" t="str">
            <v>EUR</v>
          </cell>
          <cell r="F853">
            <v>450.76</v>
          </cell>
          <cell r="G853" t="str">
            <v>EUR</v>
          </cell>
          <cell r="H853" t="e">
            <v>#VALUE!</v>
          </cell>
          <cell r="I853" t="str">
            <v>FAXMAST1000L</v>
          </cell>
        </row>
        <row r="854">
          <cell r="D854">
            <v>339472</v>
          </cell>
          <cell r="E854" t="str">
            <v>EUR</v>
          </cell>
          <cell r="F854">
            <v>177.42</v>
          </cell>
          <cell r="G854" t="str">
            <v>EUR</v>
          </cell>
          <cell r="H854" t="e">
            <v>#VALUE!</v>
          </cell>
          <cell r="I854" t="str">
            <v>FAXMAST70</v>
          </cell>
        </row>
        <row r="855">
          <cell r="D855">
            <v>587450</v>
          </cell>
          <cell r="E855" t="str">
            <v>EUR</v>
          </cell>
          <cell r="F855">
            <v>34.92</v>
          </cell>
          <cell r="G855" t="str">
            <v>EUR</v>
          </cell>
          <cell r="H855" t="e">
            <v>#VALUE!</v>
          </cell>
          <cell r="I855" t="str">
            <v>FAXPAPERPF1</v>
          </cell>
        </row>
        <row r="856">
          <cell r="D856">
            <v>339343</v>
          </cell>
          <cell r="E856" t="str">
            <v>EUR</v>
          </cell>
          <cell r="F856">
            <v>310.79000000000002</v>
          </cell>
          <cell r="G856" t="e">
            <v>#N/A</v>
          </cell>
          <cell r="H856" t="e">
            <v>#N/A</v>
          </cell>
          <cell r="I856" t="str">
            <v>FAXREF88BLA</v>
          </cell>
        </row>
        <row r="857">
          <cell r="D857">
            <v>339344</v>
          </cell>
          <cell r="E857" t="str">
            <v>EUR</v>
          </cell>
          <cell r="F857">
            <v>730.83</v>
          </cell>
          <cell r="G857" t="e">
            <v>#N/A</v>
          </cell>
          <cell r="H857" t="e">
            <v>#N/A</v>
          </cell>
          <cell r="I857" t="str">
            <v>FAXREF88CLR</v>
          </cell>
        </row>
        <row r="858">
          <cell r="D858">
            <v>920616</v>
          </cell>
          <cell r="E858" t="str">
            <v>EUR</v>
          </cell>
          <cell r="F858">
            <v>140.31</v>
          </cell>
          <cell r="G858" t="e">
            <v>#N/A</v>
          </cell>
          <cell r="H858" t="e">
            <v>#N/A</v>
          </cell>
          <cell r="I858" t="str">
            <v>FAXRIBBON500</v>
          </cell>
        </row>
        <row r="859">
          <cell r="D859">
            <v>430244</v>
          </cell>
          <cell r="E859" t="str">
            <v>EUR</v>
          </cell>
          <cell r="F859">
            <v>41.02</v>
          </cell>
          <cell r="G859" t="str">
            <v>EUR</v>
          </cell>
          <cell r="H859" t="e">
            <v>#VALUE!</v>
          </cell>
          <cell r="I859" t="str">
            <v>FAXTNR1435CN</v>
          </cell>
        </row>
        <row r="860">
          <cell r="D860">
            <v>430400</v>
          </cell>
          <cell r="E860" t="str">
            <v>EUR</v>
          </cell>
          <cell r="F860">
            <v>54.83</v>
          </cell>
          <cell r="G860" t="e">
            <v>#N/A</v>
          </cell>
          <cell r="H860" t="e">
            <v>#N/A</v>
          </cell>
          <cell r="I860" t="str">
            <v>FAXTN1265KOR</v>
          </cell>
        </row>
        <row r="861">
          <cell r="D861">
            <v>430159</v>
          </cell>
          <cell r="E861" t="str">
            <v>EUR</v>
          </cell>
          <cell r="F861">
            <v>38.450000000000003</v>
          </cell>
          <cell r="G861" t="e">
            <v>#N/A</v>
          </cell>
          <cell r="H861" t="e">
            <v>#N/A</v>
          </cell>
          <cell r="I861" t="str">
            <v>FAXTONER1430</v>
          </cell>
        </row>
        <row r="862">
          <cell r="D862">
            <v>430245</v>
          </cell>
          <cell r="E862" t="str">
            <v>EUR</v>
          </cell>
          <cell r="F862">
            <v>74.95</v>
          </cell>
          <cell r="G862" t="str">
            <v>EUR</v>
          </cell>
          <cell r="H862" t="e">
            <v>#VALUE!</v>
          </cell>
          <cell r="I862" t="str">
            <v>FAXTONER5210</v>
          </cell>
        </row>
        <row r="863">
          <cell r="D863">
            <v>339474</v>
          </cell>
          <cell r="E863" t="str">
            <v>EUR</v>
          </cell>
          <cell r="F863">
            <v>202.86</v>
          </cell>
          <cell r="G863" t="str">
            <v>EUR</v>
          </cell>
          <cell r="H863" t="e">
            <v>#VALUE!</v>
          </cell>
          <cell r="I863" t="str">
            <v>FAXTONER70</v>
          </cell>
        </row>
        <row r="864">
          <cell r="D864">
            <v>593901</v>
          </cell>
          <cell r="E864" t="str">
            <v>EUR</v>
          </cell>
          <cell r="F864">
            <v>38.92</v>
          </cell>
          <cell r="G864" t="e">
            <v>#N/A</v>
          </cell>
          <cell r="H864" t="e">
            <v>#N/A</v>
          </cell>
          <cell r="I864" t="str">
            <v>FAXTON1000L</v>
          </cell>
        </row>
        <row r="865">
          <cell r="D865">
            <v>430278</v>
          </cell>
          <cell r="E865" t="str">
            <v>EUR</v>
          </cell>
          <cell r="F865">
            <v>43.76</v>
          </cell>
          <cell r="G865" t="str">
            <v>EUR</v>
          </cell>
          <cell r="H865" t="e">
            <v>#VALUE!</v>
          </cell>
          <cell r="I865" t="str">
            <v>FAXTON1240CN</v>
          </cell>
        </row>
        <row r="866">
          <cell r="D866">
            <v>430382</v>
          </cell>
          <cell r="E866" t="str">
            <v>EUR</v>
          </cell>
          <cell r="F866">
            <v>43.76</v>
          </cell>
          <cell r="G866" t="e">
            <v>#N/A</v>
          </cell>
          <cell r="H866" t="e">
            <v>#N/A</v>
          </cell>
          <cell r="I866" t="str">
            <v>FAXTON1240UK</v>
          </cell>
        </row>
        <row r="867">
          <cell r="D867">
            <v>430351</v>
          </cell>
          <cell r="E867" t="str">
            <v>EUR</v>
          </cell>
          <cell r="F867">
            <v>36.21</v>
          </cell>
          <cell r="G867" t="str">
            <v>EUR</v>
          </cell>
          <cell r="H867" t="e">
            <v>#VALUE!</v>
          </cell>
          <cell r="I867" t="str">
            <v>FAXTON1260CN</v>
          </cell>
        </row>
        <row r="868">
          <cell r="D868">
            <v>430225</v>
          </cell>
          <cell r="E868" t="str">
            <v>EUR</v>
          </cell>
          <cell r="F868">
            <v>42.13</v>
          </cell>
          <cell r="G868" t="str">
            <v>EUR</v>
          </cell>
          <cell r="H868" t="e">
            <v>#VALUE!</v>
          </cell>
          <cell r="I868" t="str">
            <v>FAXTON1435CN</v>
          </cell>
        </row>
        <row r="869">
          <cell r="D869">
            <v>339481</v>
          </cell>
          <cell r="E869" t="str">
            <v>EUR</v>
          </cell>
          <cell r="F869">
            <v>177.61</v>
          </cell>
          <cell r="G869" t="e">
            <v>#N/A</v>
          </cell>
          <cell r="H869" t="e">
            <v>#N/A</v>
          </cell>
          <cell r="I869" t="str">
            <v>FAXTON150FRA</v>
          </cell>
        </row>
        <row r="870">
          <cell r="D870">
            <v>889878</v>
          </cell>
          <cell r="E870" t="str">
            <v>EUR</v>
          </cell>
          <cell r="F870">
            <v>148.43</v>
          </cell>
          <cell r="G870" t="str">
            <v>EUR</v>
          </cell>
          <cell r="H870" t="e">
            <v>#VALUE!</v>
          </cell>
          <cell r="I870" t="str">
            <v>FAXTON30TWN</v>
          </cell>
        </row>
        <row r="871">
          <cell r="D871">
            <v>207946</v>
          </cell>
          <cell r="E871" t="str">
            <v>EUR</v>
          </cell>
          <cell r="F871">
            <v>25.6</v>
          </cell>
          <cell r="G871" t="e">
            <v>#N/A</v>
          </cell>
          <cell r="H871" t="e">
            <v>#N/A</v>
          </cell>
          <cell r="I871" t="str">
            <v>FUSERSHEET</v>
          </cell>
        </row>
        <row r="872">
          <cell r="D872">
            <v>400323</v>
          </cell>
          <cell r="E872" t="str">
            <v>EUR</v>
          </cell>
          <cell r="F872">
            <v>25.32</v>
          </cell>
          <cell r="G872" t="str">
            <v>EUR</v>
          </cell>
          <cell r="H872" t="e">
            <v>#VALUE!</v>
          </cell>
          <cell r="I872" t="str">
            <v>FUSER204</v>
          </cell>
        </row>
        <row r="873">
          <cell r="D873">
            <v>889782</v>
          </cell>
          <cell r="E873" t="str">
            <v>EUR</v>
          </cell>
          <cell r="F873">
            <v>111.27</v>
          </cell>
          <cell r="G873" t="str">
            <v>EUR</v>
          </cell>
          <cell r="H873" t="e">
            <v>#VALUE!</v>
          </cell>
          <cell r="I873" t="str">
            <v>IMAGEUNIT1</v>
          </cell>
        </row>
        <row r="874">
          <cell r="D874">
            <v>366490</v>
          </cell>
          <cell r="E874" t="str">
            <v>EUR</v>
          </cell>
          <cell r="F874">
            <v>166.38</v>
          </cell>
          <cell r="G874" t="e">
            <v>#N/A</v>
          </cell>
          <cell r="H874" t="e">
            <v>#N/A</v>
          </cell>
          <cell r="I874" t="str">
            <v>INKROLLED410</v>
          </cell>
        </row>
        <row r="875">
          <cell r="D875">
            <v>400441</v>
          </cell>
          <cell r="E875" t="str">
            <v>EUR</v>
          </cell>
          <cell r="F875">
            <v>163.19</v>
          </cell>
          <cell r="G875" t="str">
            <v>EUR</v>
          </cell>
          <cell r="H875" t="e">
            <v>#VALUE!</v>
          </cell>
          <cell r="I875" t="str">
            <v>INKROLLTYPEA</v>
          </cell>
        </row>
        <row r="876">
          <cell r="D876">
            <v>208050</v>
          </cell>
          <cell r="E876" t="str">
            <v>EUR</v>
          </cell>
          <cell r="F876">
            <v>309.99</v>
          </cell>
          <cell r="G876" t="e">
            <v>#N/A</v>
          </cell>
          <cell r="H876" t="e">
            <v>#N/A</v>
          </cell>
          <cell r="I876" t="str">
            <v>LR1TONERBLA</v>
          </cell>
        </row>
        <row r="877">
          <cell r="D877">
            <v>208047</v>
          </cell>
          <cell r="E877" t="str">
            <v>EUR</v>
          </cell>
          <cell r="F877">
            <v>211.28</v>
          </cell>
          <cell r="G877" t="e">
            <v>#N/A</v>
          </cell>
          <cell r="H877" t="e">
            <v>#N/A</v>
          </cell>
          <cell r="I877" t="str">
            <v>LR1TONERBLU</v>
          </cell>
        </row>
        <row r="878">
          <cell r="D878">
            <v>208048</v>
          </cell>
          <cell r="E878" t="str">
            <v>EUR</v>
          </cell>
          <cell r="F878">
            <v>211.28</v>
          </cell>
          <cell r="G878" t="e">
            <v>#N/A</v>
          </cell>
          <cell r="H878" t="e">
            <v>#N/A</v>
          </cell>
          <cell r="I878" t="str">
            <v>LR1TONERGRE</v>
          </cell>
        </row>
        <row r="879">
          <cell r="D879">
            <v>208046</v>
          </cell>
          <cell r="E879" t="str">
            <v>EUR</v>
          </cell>
          <cell r="F879">
            <v>211.28</v>
          </cell>
          <cell r="G879" t="e">
            <v>#N/A</v>
          </cell>
          <cell r="H879" t="e">
            <v>#N/A</v>
          </cell>
          <cell r="I879" t="str">
            <v>LR1TONERRED</v>
          </cell>
        </row>
        <row r="880">
          <cell r="D880">
            <v>208049</v>
          </cell>
          <cell r="E880" t="str">
            <v>EUR</v>
          </cell>
          <cell r="F880">
            <v>211.28</v>
          </cell>
          <cell r="G880" t="e">
            <v>#N/A</v>
          </cell>
          <cell r="H880" t="e">
            <v>#N/A</v>
          </cell>
          <cell r="I880" t="str">
            <v>LR1TONERSEP</v>
          </cell>
        </row>
        <row r="881">
          <cell r="D881">
            <v>400404</v>
          </cell>
          <cell r="E881" t="str">
            <v>EUR</v>
          </cell>
          <cell r="F881">
            <v>83.61</v>
          </cell>
          <cell r="G881" t="str">
            <v>EUR</v>
          </cell>
          <cell r="H881" t="e">
            <v>#VALUE!</v>
          </cell>
          <cell r="I881" t="str">
            <v>MAINTEN1400</v>
          </cell>
        </row>
        <row r="882">
          <cell r="D882">
            <v>400401</v>
          </cell>
          <cell r="E882" t="str">
            <v>EUR</v>
          </cell>
          <cell r="F882">
            <v>96.4</v>
          </cell>
          <cell r="G882" t="str">
            <v>EUR</v>
          </cell>
          <cell r="H882" t="e">
            <v>#VALUE!</v>
          </cell>
          <cell r="I882" t="str">
            <v>MAINTEN2000</v>
          </cell>
        </row>
        <row r="883">
          <cell r="D883">
            <v>400620</v>
          </cell>
          <cell r="E883" t="str">
            <v>EUR</v>
          </cell>
          <cell r="F883">
            <v>106.22</v>
          </cell>
          <cell r="G883" t="str">
            <v>EUR</v>
          </cell>
          <cell r="H883" t="e">
            <v>#VALUE!</v>
          </cell>
          <cell r="I883" t="str">
            <v>MAINT2600CHN</v>
          </cell>
        </row>
        <row r="884">
          <cell r="D884">
            <v>400594</v>
          </cell>
          <cell r="E884" t="str">
            <v>EUR</v>
          </cell>
          <cell r="F884">
            <v>93.2</v>
          </cell>
          <cell r="G884" t="str">
            <v>EUR</v>
          </cell>
          <cell r="H884" t="e">
            <v>#VALUE!</v>
          </cell>
          <cell r="I884" t="str">
            <v>MAINT3800A</v>
          </cell>
        </row>
        <row r="885">
          <cell r="D885">
            <v>400595</v>
          </cell>
          <cell r="E885" t="str">
            <v>EUR</v>
          </cell>
          <cell r="F885">
            <v>177.55</v>
          </cell>
          <cell r="G885" t="str">
            <v>EUR</v>
          </cell>
          <cell r="H885" t="e">
            <v>#VALUE!</v>
          </cell>
          <cell r="I885" t="str">
            <v>MAINT3800B</v>
          </cell>
        </row>
        <row r="886">
          <cell r="D886">
            <v>400569</v>
          </cell>
          <cell r="E886" t="str">
            <v>EUR</v>
          </cell>
          <cell r="F886">
            <v>195.76</v>
          </cell>
          <cell r="G886" t="str">
            <v>EUR</v>
          </cell>
          <cell r="H886" t="e">
            <v>#VALUE!</v>
          </cell>
          <cell r="I886" t="str">
            <v>MAINT3800C</v>
          </cell>
        </row>
        <row r="887">
          <cell r="D887">
            <v>400661</v>
          </cell>
          <cell r="E887" t="str">
            <v>EUR</v>
          </cell>
          <cell r="F887">
            <v>54.36</v>
          </cell>
          <cell r="G887" t="str">
            <v>EUR</v>
          </cell>
          <cell r="H887" t="e">
            <v>#VALUE!</v>
          </cell>
          <cell r="I887" t="str">
            <v>MAINT3800D</v>
          </cell>
        </row>
        <row r="888">
          <cell r="D888">
            <v>400662</v>
          </cell>
          <cell r="E888" t="str">
            <v>EUR</v>
          </cell>
          <cell r="F888">
            <v>5.19</v>
          </cell>
          <cell r="G888" t="str">
            <v>EUR</v>
          </cell>
          <cell r="H888" t="e">
            <v>#VALUE!</v>
          </cell>
          <cell r="I888" t="str">
            <v>MAINT3800E</v>
          </cell>
        </row>
        <row r="889">
          <cell r="D889">
            <v>400548</v>
          </cell>
          <cell r="E889" t="str">
            <v>EUR</v>
          </cell>
          <cell r="F889">
            <v>29.44</v>
          </cell>
          <cell r="G889" t="str">
            <v>EUR</v>
          </cell>
          <cell r="H889" t="e">
            <v>#VALUE!</v>
          </cell>
          <cell r="I889" t="str">
            <v>MAINT3800F</v>
          </cell>
        </row>
        <row r="890">
          <cell r="D890">
            <v>400549</v>
          </cell>
          <cell r="E890" t="str">
            <v>EUR</v>
          </cell>
          <cell r="F890">
            <v>27.51</v>
          </cell>
          <cell r="G890" t="str">
            <v>EUR</v>
          </cell>
          <cell r="H890" t="e">
            <v>#VALUE!</v>
          </cell>
          <cell r="I890" t="str">
            <v>MAINT3800G</v>
          </cell>
        </row>
        <row r="891">
          <cell r="D891">
            <v>400576</v>
          </cell>
          <cell r="E891" t="str">
            <v>EUR</v>
          </cell>
          <cell r="F891">
            <v>2.68</v>
          </cell>
          <cell r="G891" t="str">
            <v>EUR</v>
          </cell>
          <cell r="H891" t="e">
            <v>#VALUE!</v>
          </cell>
          <cell r="I891" t="str">
            <v>MAINT3800H</v>
          </cell>
        </row>
        <row r="892">
          <cell r="D892">
            <v>209911</v>
          </cell>
          <cell r="E892" t="str">
            <v>EUR</v>
          </cell>
          <cell r="F892">
            <v>104.21</v>
          </cell>
          <cell r="G892" t="str">
            <v>EUR</v>
          </cell>
          <cell r="H892" t="e">
            <v>#VALUE!</v>
          </cell>
          <cell r="I892" t="str">
            <v>MV250MAST</v>
          </cell>
        </row>
        <row r="893">
          <cell r="D893">
            <v>894718</v>
          </cell>
          <cell r="E893" t="str">
            <v>EUR</v>
          </cell>
          <cell r="F893">
            <v>239.38</v>
          </cell>
          <cell r="G893" t="str">
            <v>EUR</v>
          </cell>
          <cell r="H893" t="e">
            <v>#VALUE!</v>
          </cell>
          <cell r="I893" t="str">
            <v>MV300MAST</v>
          </cell>
        </row>
        <row r="894">
          <cell r="D894">
            <v>887675</v>
          </cell>
          <cell r="E894" t="str">
            <v>EUR</v>
          </cell>
          <cell r="F894">
            <v>222.79</v>
          </cell>
          <cell r="G894" t="str">
            <v>EUR</v>
          </cell>
          <cell r="H894" t="e">
            <v>#VALUE!</v>
          </cell>
          <cell r="I894" t="str">
            <v>MV300TONER</v>
          </cell>
        </row>
        <row r="895">
          <cell r="D895">
            <v>889606</v>
          </cell>
          <cell r="E895" t="str">
            <v>EUR</v>
          </cell>
          <cell r="F895">
            <v>104.03</v>
          </cell>
          <cell r="G895" t="str">
            <v>EUR</v>
          </cell>
          <cell r="H895" t="e">
            <v>#VALUE!</v>
          </cell>
          <cell r="I895" t="str">
            <v>MV80MAST</v>
          </cell>
        </row>
        <row r="896">
          <cell r="D896">
            <v>889744</v>
          </cell>
          <cell r="E896" t="str">
            <v>EUR</v>
          </cell>
          <cell r="F896">
            <v>55.01</v>
          </cell>
          <cell r="G896" t="str">
            <v>EUR</v>
          </cell>
          <cell r="H896" t="e">
            <v>#VALUE!</v>
          </cell>
          <cell r="I896" t="str">
            <v>MV80TONER</v>
          </cell>
        </row>
        <row r="897">
          <cell r="D897">
            <v>889015</v>
          </cell>
          <cell r="E897" t="str">
            <v>EUR</v>
          </cell>
          <cell r="F897">
            <v>126.4</v>
          </cell>
          <cell r="G897" t="e">
            <v>#N/A</v>
          </cell>
          <cell r="H897" t="e">
            <v>#N/A</v>
          </cell>
          <cell r="I897" t="str">
            <v>M10MASTUNT2</v>
          </cell>
        </row>
        <row r="898">
          <cell r="D898">
            <v>887660</v>
          </cell>
          <cell r="E898" t="str">
            <v>EUR</v>
          </cell>
          <cell r="F898">
            <v>23.58</v>
          </cell>
          <cell r="G898" t="e">
            <v>#N/A</v>
          </cell>
          <cell r="H898" t="e">
            <v>#N/A</v>
          </cell>
          <cell r="I898" t="str">
            <v>M10TONBLAUK</v>
          </cell>
        </row>
        <row r="899">
          <cell r="D899">
            <v>889351</v>
          </cell>
          <cell r="E899" t="str">
            <v>EUR</v>
          </cell>
          <cell r="F899">
            <v>128.18</v>
          </cell>
          <cell r="G899" t="str">
            <v>EUR</v>
          </cell>
          <cell r="H899" t="e">
            <v>#VALUE!</v>
          </cell>
          <cell r="I899" t="str">
            <v>M100MASTUNT2</v>
          </cell>
        </row>
        <row r="900">
          <cell r="D900">
            <v>889260</v>
          </cell>
          <cell r="E900" t="str">
            <v>EUR</v>
          </cell>
          <cell r="F900">
            <v>118.13</v>
          </cell>
          <cell r="G900" t="str">
            <v>EUR</v>
          </cell>
          <cell r="H900" t="e">
            <v>#VALUE!</v>
          </cell>
          <cell r="I900" t="str">
            <v>M5MASTUNT2</v>
          </cell>
        </row>
        <row r="901">
          <cell r="D901">
            <v>887659</v>
          </cell>
          <cell r="E901" t="str">
            <v>EUR</v>
          </cell>
          <cell r="F901">
            <v>23.58</v>
          </cell>
          <cell r="G901" t="e">
            <v>#N/A</v>
          </cell>
          <cell r="H901" t="e">
            <v>#N/A</v>
          </cell>
          <cell r="I901" t="str">
            <v>M5TONERBLAUK</v>
          </cell>
        </row>
        <row r="902">
          <cell r="D902">
            <v>882019</v>
          </cell>
          <cell r="E902" t="str">
            <v>EUR</v>
          </cell>
          <cell r="F902">
            <v>43.8</v>
          </cell>
          <cell r="G902" t="e">
            <v>#N/A</v>
          </cell>
          <cell r="H902" t="e">
            <v>#N/A</v>
          </cell>
          <cell r="I902" t="str">
            <v>M5TONERGRE</v>
          </cell>
        </row>
        <row r="903">
          <cell r="D903">
            <v>889207</v>
          </cell>
          <cell r="E903" t="str">
            <v>EUR</v>
          </cell>
          <cell r="F903">
            <v>40.51</v>
          </cell>
          <cell r="G903" t="str">
            <v>EUR</v>
          </cell>
          <cell r="H903" t="e">
            <v>#VALUE!</v>
          </cell>
          <cell r="I903" t="str">
            <v>M5TONERRED</v>
          </cell>
        </row>
        <row r="904">
          <cell r="D904">
            <v>887664</v>
          </cell>
          <cell r="E904" t="str">
            <v>EUR</v>
          </cell>
          <cell r="F904">
            <v>26.21</v>
          </cell>
          <cell r="G904" t="e">
            <v>#N/A</v>
          </cell>
          <cell r="H904" t="e">
            <v>#N/A</v>
          </cell>
          <cell r="I904" t="str">
            <v>M6TONERGER</v>
          </cell>
        </row>
        <row r="905">
          <cell r="D905">
            <v>889405</v>
          </cell>
          <cell r="E905" t="str">
            <v>EUR</v>
          </cell>
          <cell r="F905">
            <v>113.23</v>
          </cell>
          <cell r="G905" t="str">
            <v>EUR</v>
          </cell>
          <cell r="H905" t="e">
            <v>#VALUE!</v>
          </cell>
          <cell r="I905" t="str">
            <v>NC11DEVBLA</v>
          </cell>
        </row>
        <row r="906">
          <cell r="D906">
            <v>889408</v>
          </cell>
          <cell r="E906" t="str">
            <v>EUR</v>
          </cell>
          <cell r="F906">
            <v>48.52</v>
          </cell>
          <cell r="G906" t="str">
            <v>EUR</v>
          </cell>
          <cell r="H906" t="e">
            <v>#VALUE!</v>
          </cell>
          <cell r="I906" t="str">
            <v>NC11DEVCYN</v>
          </cell>
        </row>
        <row r="907">
          <cell r="D907">
            <v>889407</v>
          </cell>
          <cell r="E907" t="str">
            <v>EUR</v>
          </cell>
          <cell r="F907">
            <v>48.52</v>
          </cell>
          <cell r="G907" t="str">
            <v>EUR</v>
          </cell>
          <cell r="H907" t="e">
            <v>#VALUE!</v>
          </cell>
          <cell r="I907" t="str">
            <v>NC11DEVMAG</v>
          </cell>
        </row>
        <row r="908">
          <cell r="D908">
            <v>889406</v>
          </cell>
          <cell r="E908" t="str">
            <v>EUR</v>
          </cell>
          <cell r="F908">
            <v>48.52</v>
          </cell>
          <cell r="G908" t="str">
            <v>EUR</v>
          </cell>
          <cell r="H908" t="e">
            <v>#VALUE!</v>
          </cell>
          <cell r="I908" t="str">
            <v>NC11DEVYLW</v>
          </cell>
        </row>
        <row r="909">
          <cell r="D909">
            <v>887481</v>
          </cell>
          <cell r="E909" t="str">
            <v>EUR</v>
          </cell>
          <cell r="F909">
            <v>131.29</v>
          </cell>
          <cell r="G909" t="e">
            <v>#N/A</v>
          </cell>
          <cell r="H909" t="e">
            <v>#N/A</v>
          </cell>
          <cell r="I909" t="str">
            <v>NC11TONERBLA</v>
          </cell>
        </row>
        <row r="910">
          <cell r="D910">
            <v>887487</v>
          </cell>
          <cell r="E910" t="str">
            <v>EUR</v>
          </cell>
          <cell r="F910">
            <v>75.459999999999994</v>
          </cell>
          <cell r="G910" t="str">
            <v>EUR</v>
          </cell>
          <cell r="H910" t="e">
            <v>#VALUE!</v>
          </cell>
          <cell r="I910" t="str">
            <v>NC11TONERCYN</v>
          </cell>
        </row>
        <row r="911">
          <cell r="D911">
            <v>887485</v>
          </cell>
          <cell r="E911" t="str">
            <v>EUR</v>
          </cell>
          <cell r="F911">
            <v>75.459999999999994</v>
          </cell>
          <cell r="G911" t="str">
            <v>EUR</v>
          </cell>
          <cell r="H911" t="e">
            <v>#VALUE!</v>
          </cell>
          <cell r="I911" t="str">
            <v>NC11TONERMAG</v>
          </cell>
        </row>
        <row r="912">
          <cell r="D912">
            <v>887483</v>
          </cell>
          <cell r="E912" t="str">
            <v>EUR</v>
          </cell>
          <cell r="F912">
            <v>75.459999999999994</v>
          </cell>
          <cell r="G912" t="str">
            <v>EUR</v>
          </cell>
          <cell r="H912" t="e">
            <v>#VALUE!</v>
          </cell>
          <cell r="I912" t="str">
            <v>NC11TONERYLW</v>
          </cell>
        </row>
        <row r="913">
          <cell r="D913">
            <v>889526</v>
          </cell>
          <cell r="E913" t="str">
            <v>EUR</v>
          </cell>
          <cell r="F913">
            <v>98.77</v>
          </cell>
          <cell r="G913" t="str">
            <v>EUR</v>
          </cell>
          <cell r="H913" t="e">
            <v>#VALUE!</v>
          </cell>
          <cell r="I913" t="str">
            <v>NC305DEVBLA</v>
          </cell>
        </row>
        <row r="914">
          <cell r="D914">
            <v>394800</v>
          </cell>
          <cell r="E914" t="str">
            <v>EUR</v>
          </cell>
          <cell r="F914">
            <v>94.42</v>
          </cell>
          <cell r="G914" t="str">
            <v>EUR</v>
          </cell>
          <cell r="H914" t="e">
            <v>#VALUE!</v>
          </cell>
          <cell r="I914" t="str">
            <v>OPCCARTTYP12</v>
          </cell>
        </row>
        <row r="915">
          <cell r="D915">
            <v>352912</v>
          </cell>
          <cell r="E915" t="str">
            <v>EUR</v>
          </cell>
          <cell r="F915">
            <v>198.86</v>
          </cell>
          <cell r="G915" t="str">
            <v>EUR</v>
          </cell>
          <cell r="H915" t="e">
            <v>#VALUE!</v>
          </cell>
          <cell r="I915" t="str">
            <v>OPCCHARGERM2</v>
          </cell>
        </row>
        <row r="916">
          <cell r="D916">
            <v>394600</v>
          </cell>
          <cell r="E916" t="str">
            <v>EUR</v>
          </cell>
          <cell r="F916">
            <v>103.26</v>
          </cell>
          <cell r="G916" t="str">
            <v>EUR</v>
          </cell>
          <cell r="H916" t="e">
            <v>#VALUE!</v>
          </cell>
          <cell r="I916" t="str">
            <v>OPCKITM</v>
          </cell>
        </row>
        <row r="917">
          <cell r="D917">
            <v>357270</v>
          </cell>
          <cell r="E917" t="str">
            <v>EUR</v>
          </cell>
          <cell r="F917">
            <v>86.9</v>
          </cell>
          <cell r="G917" t="e">
            <v>#N/A</v>
          </cell>
          <cell r="H917" t="e">
            <v>#N/A</v>
          </cell>
          <cell r="I917" t="str">
            <v>OPCKIT150RB</v>
          </cell>
        </row>
        <row r="918">
          <cell r="D918">
            <v>357136</v>
          </cell>
          <cell r="E918" t="str">
            <v>EUR</v>
          </cell>
          <cell r="F918">
            <v>86.9</v>
          </cell>
          <cell r="G918" t="e">
            <v>#N/A</v>
          </cell>
          <cell r="H918" t="e">
            <v>#N/A</v>
          </cell>
          <cell r="I918" t="str">
            <v>OPCKIT80RB</v>
          </cell>
        </row>
        <row r="919">
          <cell r="D919">
            <v>358652</v>
          </cell>
          <cell r="E919" t="str">
            <v>EUR</v>
          </cell>
          <cell r="F919">
            <v>83.73</v>
          </cell>
          <cell r="G919" t="e">
            <v>#N/A</v>
          </cell>
          <cell r="H919" t="e">
            <v>#N/A</v>
          </cell>
          <cell r="I919" t="str">
            <v>OPCKIT81RB</v>
          </cell>
        </row>
        <row r="920">
          <cell r="D920">
            <v>358800</v>
          </cell>
          <cell r="E920" t="str">
            <v>EUR</v>
          </cell>
          <cell r="F920">
            <v>71.53</v>
          </cell>
          <cell r="G920" t="e">
            <v>#N/A</v>
          </cell>
          <cell r="H920" t="e">
            <v>#N/A</v>
          </cell>
          <cell r="I920" t="str">
            <v>OPC6000</v>
          </cell>
        </row>
        <row r="921">
          <cell r="D921">
            <v>411113</v>
          </cell>
          <cell r="E921" t="str">
            <v>EUR</v>
          </cell>
          <cell r="F921">
            <v>62.01</v>
          </cell>
          <cell r="G921" t="str">
            <v>EUR</v>
          </cell>
          <cell r="H921" t="e">
            <v>#VALUE!</v>
          </cell>
          <cell r="I921" t="str">
            <v>PCU1013CHN</v>
          </cell>
        </row>
        <row r="922">
          <cell r="D922">
            <v>411018</v>
          </cell>
          <cell r="E922" t="str">
            <v>EUR</v>
          </cell>
          <cell r="F922">
            <v>117.67</v>
          </cell>
          <cell r="G922" t="str">
            <v>EUR</v>
          </cell>
          <cell r="H922" t="e">
            <v>#VALUE!</v>
          </cell>
          <cell r="I922" t="str">
            <v>PCU1027</v>
          </cell>
        </row>
        <row r="923">
          <cell r="D923">
            <v>410423</v>
          </cell>
          <cell r="E923" t="str">
            <v>EUR</v>
          </cell>
          <cell r="F923">
            <v>125.26</v>
          </cell>
          <cell r="G923" t="str">
            <v>EUR</v>
          </cell>
          <cell r="H923" t="e">
            <v>#VALUE!</v>
          </cell>
          <cell r="I923" t="str">
            <v>PCU270</v>
          </cell>
        </row>
        <row r="924">
          <cell r="D924">
            <v>400633</v>
          </cell>
          <cell r="E924" t="str">
            <v>EUR</v>
          </cell>
          <cell r="F924">
            <v>117.67</v>
          </cell>
          <cell r="G924" t="str">
            <v>EUR</v>
          </cell>
          <cell r="H924" t="e">
            <v>#VALUE!</v>
          </cell>
          <cell r="I924" t="str">
            <v>PCU320</v>
          </cell>
        </row>
        <row r="925">
          <cell r="D925">
            <v>410509</v>
          </cell>
          <cell r="E925" t="str">
            <v>EUR</v>
          </cell>
          <cell r="F925">
            <v>57.77</v>
          </cell>
          <cell r="G925" t="str">
            <v>EUR</v>
          </cell>
          <cell r="H925" t="e">
            <v>#VALUE!</v>
          </cell>
          <cell r="I925" t="str">
            <v>STAPLEREFH</v>
          </cell>
        </row>
        <row r="926">
          <cell r="D926">
            <v>410509</v>
          </cell>
          <cell r="E926" t="str">
            <v>EUR</v>
          </cell>
          <cell r="F926">
            <v>57.52</v>
          </cell>
          <cell r="G926" t="str">
            <v>EUR</v>
          </cell>
          <cell r="H926" t="e">
            <v>#VALUE!</v>
          </cell>
          <cell r="I926" t="str">
            <v>STAPLEREFH</v>
          </cell>
        </row>
        <row r="927">
          <cell r="D927">
            <v>410802</v>
          </cell>
          <cell r="E927" t="str">
            <v>EUR</v>
          </cell>
          <cell r="F927">
            <v>27.48</v>
          </cell>
          <cell r="G927" t="str">
            <v>EUR</v>
          </cell>
          <cell r="H927" t="e">
            <v>#VALUE!</v>
          </cell>
          <cell r="I927" t="str">
            <v>STAPLEREFK</v>
          </cell>
        </row>
        <row r="928">
          <cell r="D928">
            <v>411241</v>
          </cell>
          <cell r="E928" t="str">
            <v>EUR</v>
          </cell>
          <cell r="F928">
            <v>19.75</v>
          </cell>
          <cell r="G928" t="e">
            <v>#N/A</v>
          </cell>
          <cell r="H928" t="e">
            <v>#N/A</v>
          </cell>
          <cell r="I928" t="str">
            <v>STAPLEREFL</v>
          </cell>
        </row>
        <row r="929">
          <cell r="D929">
            <v>207866</v>
          </cell>
          <cell r="E929" t="str">
            <v>EUR</v>
          </cell>
          <cell r="F929">
            <v>29.36</v>
          </cell>
          <cell r="G929" t="e">
            <v>#N/A</v>
          </cell>
          <cell r="H929" t="e">
            <v>#N/A</v>
          </cell>
          <cell r="I929" t="str">
            <v>STAPLETYPEB</v>
          </cell>
        </row>
        <row r="930">
          <cell r="D930">
            <v>208171</v>
          </cell>
          <cell r="E930" t="str">
            <v>EUR</v>
          </cell>
          <cell r="F930">
            <v>22.06</v>
          </cell>
          <cell r="G930" t="str">
            <v>EUR</v>
          </cell>
          <cell r="H930" t="e">
            <v>#VALUE!</v>
          </cell>
          <cell r="I930" t="str">
            <v>STAPLETYPEC</v>
          </cell>
        </row>
        <row r="931">
          <cell r="D931">
            <v>208532</v>
          </cell>
          <cell r="E931" t="str">
            <v>EUR</v>
          </cell>
          <cell r="F931">
            <v>17.64</v>
          </cell>
          <cell r="G931" t="str">
            <v>EUR</v>
          </cell>
          <cell r="H931" t="e">
            <v>#VALUE!</v>
          </cell>
          <cell r="I931" t="str">
            <v>STAPLETYPED</v>
          </cell>
        </row>
        <row r="932">
          <cell r="D932">
            <v>317927</v>
          </cell>
          <cell r="E932" t="str">
            <v>EUR</v>
          </cell>
          <cell r="F932">
            <v>16.03</v>
          </cell>
          <cell r="G932" t="str">
            <v>EUR</v>
          </cell>
          <cell r="H932" t="e">
            <v>#VALUE!</v>
          </cell>
          <cell r="I932" t="str">
            <v>STAPLETYPEE</v>
          </cell>
        </row>
        <row r="933">
          <cell r="D933">
            <v>209307</v>
          </cell>
          <cell r="E933" t="str">
            <v>EUR</v>
          </cell>
          <cell r="F933">
            <v>24.08</v>
          </cell>
          <cell r="G933" t="str">
            <v>EUR</v>
          </cell>
          <cell r="H933" t="e">
            <v>#VALUE!</v>
          </cell>
          <cell r="I933" t="str">
            <v>STAPLETYPEF</v>
          </cell>
        </row>
        <row r="934">
          <cell r="D934">
            <v>410133</v>
          </cell>
          <cell r="E934" t="str">
            <v>EUR</v>
          </cell>
          <cell r="F934">
            <v>24.08</v>
          </cell>
          <cell r="G934" t="str">
            <v>EUR</v>
          </cell>
          <cell r="H934" t="e">
            <v>#VALUE!</v>
          </cell>
          <cell r="I934" t="str">
            <v>STAPLETYPEG</v>
          </cell>
        </row>
        <row r="935">
          <cell r="D935">
            <v>410508</v>
          </cell>
          <cell r="E935" t="str">
            <v>EUR</v>
          </cell>
          <cell r="F935">
            <v>25.55</v>
          </cell>
          <cell r="G935" t="str">
            <v>EUR</v>
          </cell>
          <cell r="H935" t="e">
            <v>#VALUE!</v>
          </cell>
          <cell r="I935" t="str">
            <v>STAPLETYPEH</v>
          </cell>
        </row>
        <row r="936">
          <cell r="D936">
            <v>410597</v>
          </cell>
          <cell r="E936" t="str">
            <v>EUR</v>
          </cell>
          <cell r="F936">
            <v>29.56</v>
          </cell>
          <cell r="G936" t="str">
            <v>EUR</v>
          </cell>
          <cell r="H936" t="e">
            <v>#VALUE!</v>
          </cell>
          <cell r="I936" t="str">
            <v>STAPLETYPEJ</v>
          </cell>
        </row>
        <row r="937">
          <cell r="D937">
            <v>410801</v>
          </cell>
          <cell r="E937" t="str">
            <v>EUR</v>
          </cell>
          <cell r="F937">
            <v>15.7</v>
          </cell>
          <cell r="G937" t="str">
            <v>EUR</v>
          </cell>
          <cell r="H937" t="e">
            <v>#VALUE!</v>
          </cell>
          <cell r="I937" t="str">
            <v>STAPLETYPEK</v>
          </cell>
        </row>
        <row r="938">
          <cell r="D938">
            <v>411240</v>
          </cell>
          <cell r="E938" t="str">
            <v>EUR</v>
          </cell>
          <cell r="F938">
            <v>11.82</v>
          </cell>
          <cell r="G938" t="str">
            <v>EUR</v>
          </cell>
          <cell r="H938" t="e">
            <v>#VALUE!</v>
          </cell>
          <cell r="I938" t="str">
            <v>STAPLETYPEL</v>
          </cell>
        </row>
        <row r="939">
          <cell r="D939">
            <v>922479</v>
          </cell>
          <cell r="E939" t="str">
            <v>EUR</v>
          </cell>
          <cell r="F939">
            <v>36.880000000000003</v>
          </cell>
          <cell r="G939" t="e">
            <v>#N/A</v>
          </cell>
          <cell r="H939" t="e">
            <v>#N/A</v>
          </cell>
          <cell r="I939" t="str">
            <v>STAPLE85SWE</v>
          </cell>
        </row>
        <row r="940">
          <cell r="D940">
            <v>923978</v>
          </cell>
          <cell r="E940" t="str">
            <v>EUR</v>
          </cell>
          <cell r="F940">
            <v>107.99</v>
          </cell>
          <cell r="G940" t="e">
            <v>#N/A</v>
          </cell>
          <cell r="H940" t="e">
            <v>#N/A</v>
          </cell>
          <cell r="I940" t="str">
            <v>TONAP1610USA</v>
          </cell>
        </row>
        <row r="941">
          <cell r="D941">
            <v>889341</v>
          </cell>
          <cell r="E941" t="str">
            <v>EUR</v>
          </cell>
          <cell r="F941">
            <v>70.180000000000007</v>
          </cell>
          <cell r="G941" t="str">
            <v>EUR</v>
          </cell>
          <cell r="H941" t="e">
            <v>#VALUE!</v>
          </cell>
          <cell r="I941" t="str">
            <v>TONCOLLUN</v>
          </cell>
        </row>
        <row r="942">
          <cell r="D942">
            <v>887669</v>
          </cell>
          <cell r="E942" t="str">
            <v>EUR</v>
          </cell>
          <cell r="F942">
            <v>54.47</v>
          </cell>
          <cell r="G942" t="e">
            <v>#N/A</v>
          </cell>
          <cell r="H942" t="e">
            <v>#N/A</v>
          </cell>
          <cell r="I942" t="str">
            <v>TONERKITM</v>
          </cell>
        </row>
        <row r="943">
          <cell r="D943">
            <v>394700</v>
          </cell>
          <cell r="E943" t="str">
            <v>EUR</v>
          </cell>
          <cell r="F943">
            <v>50.31</v>
          </cell>
          <cell r="G943" t="e">
            <v>#N/A</v>
          </cell>
          <cell r="H943" t="e">
            <v>#N/A</v>
          </cell>
          <cell r="I943" t="str">
            <v>TONERKITMN</v>
          </cell>
        </row>
        <row r="944">
          <cell r="D944">
            <v>357126</v>
          </cell>
          <cell r="E944" t="str">
            <v>EUR</v>
          </cell>
          <cell r="F944">
            <v>20.11</v>
          </cell>
          <cell r="G944" t="e">
            <v>#N/A</v>
          </cell>
          <cell r="H944" t="e">
            <v>#N/A</v>
          </cell>
          <cell r="I944" t="str">
            <v>TONERKIT80RB</v>
          </cell>
        </row>
        <row r="945">
          <cell r="D945">
            <v>394712</v>
          </cell>
          <cell r="E945" t="str">
            <v>EUR</v>
          </cell>
          <cell r="F945">
            <v>74.95</v>
          </cell>
          <cell r="G945" t="e">
            <v>#N/A</v>
          </cell>
          <cell r="H945" t="e">
            <v>#N/A</v>
          </cell>
          <cell r="I945" t="str">
            <v>TONERM2N</v>
          </cell>
        </row>
        <row r="946">
          <cell r="D946">
            <v>885104</v>
          </cell>
          <cell r="E946" t="str">
            <v>EUR</v>
          </cell>
          <cell r="F946">
            <v>65.459999999999994</v>
          </cell>
          <cell r="G946" t="e">
            <v>#N/A</v>
          </cell>
          <cell r="H946" t="e">
            <v>#N/A</v>
          </cell>
          <cell r="I946" t="str">
            <v>TONER10DFRA</v>
          </cell>
        </row>
        <row r="947">
          <cell r="D947">
            <v>888037</v>
          </cell>
          <cell r="E947" t="str">
            <v>EUR</v>
          </cell>
          <cell r="F947">
            <v>104.94</v>
          </cell>
          <cell r="G947" t="str">
            <v>EUR</v>
          </cell>
          <cell r="H947" t="e">
            <v>#VALUE!</v>
          </cell>
          <cell r="I947" t="str">
            <v>TONER105CYN</v>
          </cell>
        </row>
        <row r="948">
          <cell r="D948">
            <v>888036</v>
          </cell>
          <cell r="E948" t="str">
            <v>EUR</v>
          </cell>
          <cell r="F948">
            <v>104.94</v>
          </cell>
          <cell r="G948" t="str">
            <v>EUR</v>
          </cell>
          <cell r="H948" t="e">
            <v>#VALUE!</v>
          </cell>
          <cell r="I948" t="str">
            <v>TONER105MAG</v>
          </cell>
        </row>
        <row r="949">
          <cell r="D949">
            <v>888035</v>
          </cell>
          <cell r="E949" t="str">
            <v>EUR</v>
          </cell>
          <cell r="F949">
            <v>104.94</v>
          </cell>
          <cell r="G949" t="str">
            <v>EUR</v>
          </cell>
          <cell r="H949" t="e">
            <v>#VALUE!</v>
          </cell>
          <cell r="I949" t="str">
            <v>TONER105YLW</v>
          </cell>
        </row>
        <row r="950">
          <cell r="D950">
            <v>885109</v>
          </cell>
          <cell r="E950" t="str">
            <v>EUR</v>
          </cell>
          <cell r="F950">
            <v>47.4</v>
          </cell>
          <cell r="G950" t="e">
            <v>#N/A</v>
          </cell>
          <cell r="H950" t="e">
            <v>#N/A</v>
          </cell>
          <cell r="I950" t="str">
            <v>TONER20DEFRA</v>
          </cell>
        </row>
        <row r="951">
          <cell r="D951">
            <v>888032</v>
          </cell>
          <cell r="E951" t="str">
            <v>EUR</v>
          </cell>
          <cell r="F951">
            <v>41.79</v>
          </cell>
          <cell r="G951" t="str">
            <v>EUR</v>
          </cell>
          <cell r="H951" t="e">
            <v>#VALUE!</v>
          </cell>
          <cell r="I951" t="str">
            <v>TONER205BLA</v>
          </cell>
        </row>
        <row r="952">
          <cell r="D952">
            <v>887849</v>
          </cell>
          <cell r="E952" t="str">
            <v>EUR</v>
          </cell>
          <cell r="F952">
            <v>75.05</v>
          </cell>
          <cell r="G952" t="str">
            <v>EUR</v>
          </cell>
          <cell r="H952" t="e">
            <v>#VALUE!</v>
          </cell>
          <cell r="I952" t="str">
            <v>TONTYPEHCYN</v>
          </cell>
        </row>
        <row r="953">
          <cell r="D953">
            <v>887848</v>
          </cell>
          <cell r="E953" t="str">
            <v>EUR</v>
          </cell>
          <cell r="F953">
            <v>75.05</v>
          </cell>
          <cell r="G953" t="str">
            <v>EUR</v>
          </cell>
          <cell r="H953" t="e">
            <v>#VALUE!</v>
          </cell>
          <cell r="I953" t="str">
            <v>TONTYPEHMAG</v>
          </cell>
        </row>
        <row r="954">
          <cell r="D954">
            <v>887845</v>
          </cell>
          <cell r="E954" t="str">
            <v>EUR</v>
          </cell>
          <cell r="F954">
            <v>79.05</v>
          </cell>
          <cell r="G954" t="str">
            <v>EUR</v>
          </cell>
          <cell r="H954" t="e">
            <v>#VALUE!</v>
          </cell>
          <cell r="I954" t="str">
            <v>TONTYPEHXBLA</v>
          </cell>
        </row>
        <row r="955">
          <cell r="D955">
            <v>887847</v>
          </cell>
          <cell r="E955" t="str">
            <v>EUR</v>
          </cell>
          <cell r="F955">
            <v>75.05</v>
          </cell>
          <cell r="G955" t="str">
            <v>EUR</v>
          </cell>
          <cell r="H955" t="e">
            <v>#VALUE!</v>
          </cell>
          <cell r="I955" t="str">
            <v>TONTYPEHYLW</v>
          </cell>
        </row>
        <row r="956">
          <cell r="D956">
            <v>887813</v>
          </cell>
          <cell r="E956" t="str">
            <v>EUR</v>
          </cell>
          <cell r="F956">
            <v>86.89</v>
          </cell>
          <cell r="G956" t="str">
            <v>EUR</v>
          </cell>
          <cell r="H956" t="e">
            <v>#VALUE!</v>
          </cell>
          <cell r="I956" t="str">
            <v>TONTYPEJBLA</v>
          </cell>
        </row>
        <row r="957">
          <cell r="D957">
            <v>887816</v>
          </cell>
          <cell r="E957" t="str">
            <v>EUR</v>
          </cell>
          <cell r="F957">
            <v>96.57</v>
          </cell>
          <cell r="G957" t="str">
            <v>EUR</v>
          </cell>
          <cell r="H957" t="e">
            <v>#VALUE!</v>
          </cell>
          <cell r="I957" t="str">
            <v>TONTYPEJCYN</v>
          </cell>
        </row>
        <row r="958">
          <cell r="D958">
            <v>887815</v>
          </cell>
          <cell r="E958" t="str">
            <v>EUR</v>
          </cell>
          <cell r="F958">
            <v>96.57</v>
          </cell>
          <cell r="G958" t="str">
            <v>EUR</v>
          </cell>
          <cell r="H958" t="e">
            <v>#VALUE!</v>
          </cell>
          <cell r="I958" t="str">
            <v>TONTYPEJMAG</v>
          </cell>
        </row>
        <row r="959">
          <cell r="D959">
            <v>887814</v>
          </cell>
          <cell r="E959" t="str">
            <v>EUR</v>
          </cell>
          <cell r="F959">
            <v>96.57</v>
          </cell>
          <cell r="G959" t="str">
            <v>EUR</v>
          </cell>
          <cell r="H959" t="e">
            <v>#VALUE!</v>
          </cell>
          <cell r="I959" t="str">
            <v>TONTYPEJYLW</v>
          </cell>
        </row>
        <row r="960">
          <cell r="D960">
            <v>887914</v>
          </cell>
          <cell r="E960" t="str">
            <v>EUR</v>
          </cell>
          <cell r="F960">
            <v>49.16</v>
          </cell>
          <cell r="G960" t="str">
            <v>EUR</v>
          </cell>
          <cell r="H960" t="e">
            <v>#VALUE!</v>
          </cell>
          <cell r="I960" t="str">
            <v>TONTYPEK1BLA</v>
          </cell>
        </row>
        <row r="961">
          <cell r="D961">
            <v>887933</v>
          </cell>
          <cell r="E961" t="str">
            <v>EUR</v>
          </cell>
          <cell r="F961">
            <v>125.61</v>
          </cell>
          <cell r="G961" t="str">
            <v>EUR</v>
          </cell>
          <cell r="H961" t="e">
            <v>#VALUE!</v>
          </cell>
          <cell r="I961" t="str">
            <v>TONTYPEK1CYN</v>
          </cell>
        </row>
        <row r="962">
          <cell r="D962">
            <v>887927</v>
          </cell>
          <cell r="E962" t="str">
            <v>EUR</v>
          </cell>
          <cell r="F962">
            <v>125.61</v>
          </cell>
          <cell r="G962" t="str">
            <v>EUR</v>
          </cell>
          <cell r="H962" t="e">
            <v>#VALUE!</v>
          </cell>
          <cell r="I962" t="str">
            <v>TONTYPEK1MAG</v>
          </cell>
        </row>
        <row r="963">
          <cell r="D963">
            <v>887921</v>
          </cell>
          <cell r="E963" t="str">
            <v>EUR</v>
          </cell>
          <cell r="F963">
            <v>125.61</v>
          </cell>
          <cell r="G963" t="str">
            <v>EUR</v>
          </cell>
          <cell r="H963" t="e">
            <v>#VALUE!</v>
          </cell>
          <cell r="I963" t="str">
            <v>TONTYPEK1YLW</v>
          </cell>
        </row>
        <row r="964">
          <cell r="D964">
            <v>887890</v>
          </cell>
          <cell r="E964" t="str">
            <v>EUR</v>
          </cell>
          <cell r="F964">
            <v>131.54</v>
          </cell>
          <cell r="G964" t="str">
            <v>EUR</v>
          </cell>
          <cell r="H964" t="e">
            <v>#VALUE!</v>
          </cell>
          <cell r="I964" t="str">
            <v>TONTYPEL1BLA</v>
          </cell>
        </row>
        <row r="965">
          <cell r="D965">
            <v>887908</v>
          </cell>
          <cell r="E965" t="str">
            <v>EUR</v>
          </cell>
          <cell r="F965">
            <v>149.5</v>
          </cell>
          <cell r="G965" t="str">
            <v>EUR</v>
          </cell>
          <cell r="H965" t="e">
            <v>#VALUE!</v>
          </cell>
          <cell r="I965" t="str">
            <v>TONTYPEL1CYN</v>
          </cell>
        </row>
        <row r="966">
          <cell r="D966">
            <v>887902</v>
          </cell>
          <cell r="E966" t="str">
            <v>EUR</v>
          </cell>
          <cell r="F966">
            <v>149.5</v>
          </cell>
          <cell r="G966" t="str">
            <v>EUR</v>
          </cell>
          <cell r="H966" t="e">
            <v>#VALUE!</v>
          </cell>
          <cell r="I966" t="str">
            <v>TONTYPEL1MAG</v>
          </cell>
        </row>
        <row r="967">
          <cell r="D967">
            <v>887896</v>
          </cell>
          <cell r="E967" t="str">
            <v>EUR</v>
          </cell>
          <cell r="F967">
            <v>149.5</v>
          </cell>
          <cell r="G967" t="str">
            <v>EUR</v>
          </cell>
          <cell r="H967" t="e">
            <v>#VALUE!</v>
          </cell>
          <cell r="I967" t="str">
            <v>TONTYPEL1YLW</v>
          </cell>
        </row>
        <row r="968">
          <cell r="D968">
            <v>410303</v>
          </cell>
          <cell r="E968" t="str">
            <v>EUR</v>
          </cell>
          <cell r="F968">
            <v>73.39</v>
          </cell>
          <cell r="G968" t="str">
            <v>EUR</v>
          </cell>
          <cell r="H968" t="e">
            <v>#VALUE!</v>
          </cell>
          <cell r="I968" t="str">
            <v>TONTYPE185</v>
          </cell>
        </row>
        <row r="969">
          <cell r="D969">
            <v>394002</v>
          </cell>
          <cell r="E969" t="str">
            <v>EUR</v>
          </cell>
          <cell r="F969">
            <v>8.65</v>
          </cell>
          <cell r="G969" t="e">
            <v>#N/A</v>
          </cell>
          <cell r="H969" t="e">
            <v>#N/A</v>
          </cell>
          <cell r="I969" t="str">
            <v>TON6000P02CH</v>
          </cell>
        </row>
        <row r="970">
          <cell r="D970">
            <v>885195</v>
          </cell>
          <cell r="E970" t="str">
            <v>EUR</v>
          </cell>
          <cell r="F970">
            <v>141.65</v>
          </cell>
          <cell r="G970" t="e">
            <v>#N/A</v>
          </cell>
          <cell r="H970" t="e">
            <v>#N/A</v>
          </cell>
          <cell r="I970" t="str">
            <v>TON6205FRA</v>
          </cell>
        </row>
        <row r="971">
          <cell r="D971">
            <v>401092</v>
          </cell>
          <cell r="E971" t="str">
            <v>EUR</v>
          </cell>
          <cell r="F971">
            <v>43.4</v>
          </cell>
          <cell r="G971" t="e">
            <v>#N/A</v>
          </cell>
          <cell r="H971" t="e">
            <v>#N/A</v>
          </cell>
          <cell r="I971" t="str">
            <v>1120DTONER</v>
          </cell>
        </row>
        <row r="972">
          <cell r="D972">
            <v>401129</v>
          </cell>
          <cell r="E972" t="str">
            <v>EUR</v>
          </cell>
          <cell r="F972">
            <v>56.73</v>
          </cell>
          <cell r="G972" t="e">
            <v>#N/A</v>
          </cell>
          <cell r="H972" t="e">
            <v>#N/A</v>
          </cell>
          <cell r="I972" t="str">
            <v>1125DTONUK</v>
          </cell>
        </row>
        <row r="973">
          <cell r="D973">
            <v>888029</v>
          </cell>
          <cell r="E973" t="str">
            <v>EUR</v>
          </cell>
          <cell r="F973">
            <v>65.010000000000005</v>
          </cell>
          <cell r="G973" t="str">
            <v>EUR</v>
          </cell>
          <cell r="H973" t="e">
            <v>#VALUE!</v>
          </cell>
          <cell r="I973" t="str">
            <v>1160WTONER</v>
          </cell>
        </row>
        <row r="974">
          <cell r="D974">
            <v>885122</v>
          </cell>
          <cell r="E974" t="str">
            <v>EUR</v>
          </cell>
          <cell r="F974">
            <v>45.24</v>
          </cell>
          <cell r="G974" t="e">
            <v>#N/A</v>
          </cell>
          <cell r="H974" t="e">
            <v>#N/A</v>
          </cell>
          <cell r="I974" t="str">
            <v>1205TONERUK</v>
          </cell>
        </row>
        <row r="975">
          <cell r="D975">
            <v>339588</v>
          </cell>
          <cell r="E975" t="str">
            <v>EUR</v>
          </cell>
          <cell r="F975">
            <v>150.01</v>
          </cell>
          <cell r="G975" t="str">
            <v>EUR</v>
          </cell>
          <cell r="H975" t="e">
            <v>#VALUE!</v>
          </cell>
          <cell r="I975" t="str">
            <v>1210DTONER</v>
          </cell>
        </row>
        <row r="976">
          <cell r="D976">
            <v>887754</v>
          </cell>
          <cell r="E976" t="str">
            <v>EUR</v>
          </cell>
          <cell r="F976">
            <v>39.21</v>
          </cell>
          <cell r="G976" t="e">
            <v>#N/A</v>
          </cell>
          <cell r="H976" t="e">
            <v>#N/A</v>
          </cell>
          <cell r="I976" t="str">
            <v>1215TONER</v>
          </cell>
        </row>
        <row r="977">
          <cell r="D977">
            <v>888078</v>
          </cell>
          <cell r="E977" t="str">
            <v>EUR</v>
          </cell>
          <cell r="F977">
            <v>39.21</v>
          </cell>
          <cell r="G977" t="str">
            <v>EUR</v>
          </cell>
          <cell r="H977" t="e">
            <v>#VALUE!</v>
          </cell>
          <cell r="I977" t="str">
            <v>1215TONERKOR</v>
          </cell>
        </row>
        <row r="978">
          <cell r="D978">
            <v>888087</v>
          </cell>
          <cell r="E978" t="str">
            <v>EUR</v>
          </cell>
          <cell r="F978">
            <v>13.03</v>
          </cell>
          <cell r="G978" t="str">
            <v>EUR</v>
          </cell>
          <cell r="H978" t="e">
            <v>#VALUE!</v>
          </cell>
          <cell r="I978" t="str">
            <v>1220DTONER</v>
          </cell>
        </row>
        <row r="979">
          <cell r="D979">
            <v>885258</v>
          </cell>
          <cell r="E979" t="str">
            <v>EUR</v>
          </cell>
          <cell r="F979">
            <v>9.33</v>
          </cell>
          <cell r="G979" t="e">
            <v>#N/A</v>
          </cell>
          <cell r="H979" t="e">
            <v>#N/A</v>
          </cell>
          <cell r="I979" t="str">
            <v>1250DTONER</v>
          </cell>
        </row>
        <row r="980">
          <cell r="D980">
            <v>411073</v>
          </cell>
          <cell r="E980" t="str">
            <v>EUR</v>
          </cell>
          <cell r="F980">
            <v>45.56</v>
          </cell>
          <cell r="G980" t="str">
            <v>EUR</v>
          </cell>
          <cell r="H980" t="e">
            <v>#VALUE!</v>
          </cell>
          <cell r="I980" t="str">
            <v>1255DTONCHN</v>
          </cell>
        </row>
        <row r="981">
          <cell r="D981">
            <v>887661</v>
          </cell>
          <cell r="E981" t="str">
            <v>EUR</v>
          </cell>
          <cell r="F981">
            <v>25.3</v>
          </cell>
          <cell r="G981" t="e">
            <v>#N/A</v>
          </cell>
          <cell r="H981" t="e">
            <v>#N/A</v>
          </cell>
          <cell r="I981" t="str">
            <v>2050TONBLAUK</v>
          </cell>
        </row>
        <row r="982">
          <cell r="D982">
            <v>889309</v>
          </cell>
          <cell r="E982" t="str">
            <v>EUR</v>
          </cell>
          <cell r="F982">
            <v>51.17</v>
          </cell>
          <cell r="G982" t="e">
            <v>#N/A</v>
          </cell>
          <cell r="H982" t="e">
            <v>#N/A</v>
          </cell>
          <cell r="I982" t="str">
            <v>2050TONERBLU</v>
          </cell>
        </row>
        <row r="983">
          <cell r="D983">
            <v>889313</v>
          </cell>
          <cell r="E983" t="str">
            <v>EUR</v>
          </cell>
          <cell r="F983">
            <v>51.17</v>
          </cell>
          <cell r="G983" t="e">
            <v>#N/A</v>
          </cell>
          <cell r="H983" t="e">
            <v>#N/A</v>
          </cell>
          <cell r="I983" t="str">
            <v>2050TONERGRE</v>
          </cell>
        </row>
        <row r="984">
          <cell r="D984">
            <v>889776</v>
          </cell>
          <cell r="E984" t="str">
            <v>EUR</v>
          </cell>
          <cell r="F984">
            <v>195.44</v>
          </cell>
          <cell r="G984" t="str">
            <v>EUR</v>
          </cell>
          <cell r="H984" t="e">
            <v>#VALUE!</v>
          </cell>
          <cell r="I984" t="str">
            <v>2200EXTONER</v>
          </cell>
        </row>
        <row r="985">
          <cell r="D985">
            <v>889614</v>
          </cell>
          <cell r="E985" t="str">
            <v>EUR</v>
          </cell>
          <cell r="F985">
            <v>50.52</v>
          </cell>
          <cell r="G985" t="str">
            <v>EUR</v>
          </cell>
          <cell r="H985" t="e">
            <v>#VALUE!</v>
          </cell>
          <cell r="I985" t="str">
            <v>2205DTONER</v>
          </cell>
        </row>
        <row r="986">
          <cell r="D986">
            <v>887977</v>
          </cell>
          <cell r="E986" t="str">
            <v>EUR</v>
          </cell>
          <cell r="F986">
            <v>75.930000000000007</v>
          </cell>
          <cell r="G986" t="e">
            <v>#N/A</v>
          </cell>
          <cell r="H986" t="e">
            <v>#N/A</v>
          </cell>
          <cell r="I986" t="str">
            <v>2210DTONER</v>
          </cell>
        </row>
        <row r="987">
          <cell r="D987">
            <v>885229</v>
          </cell>
          <cell r="E987" t="str">
            <v>EUR</v>
          </cell>
          <cell r="F987">
            <v>73.7</v>
          </cell>
          <cell r="G987" t="e">
            <v>#N/A</v>
          </cell>
          <cell r="H987" t="e">
            <v>#N/A</v>
          </cell>
          <cell r="I987" t="str">
            <v>2210DTONER2</v>
          </cell>
        </row>
        <row r="988">
          <cell r="D988">
            <v>885266</v>
          </cell>
          <cell r="E988" t="str">
            <v>EUR</v>
          </cell>
          <cell r="F988">
            <v>12.21</v>
          </cell>
          <cell r="G988" t="e">
            <v>#N/A</v>
          </cell>
          <cell r="H988" t="e">
            <v>#N/A</v>
          </cell>
          <cell r="I988" t="str">
            <v>2220DTONFRA</v>
          </cell>
        </row>
        <row r="989">
          <cell r="D989">
            <v>887620</v>
          </cell>
          <cell r="E989" t="str">
            <v>EUR</v>
          </cell>
          <cell r="F989">
            <v>28.01</v>
          </cell>
          <cell r="G989" t="e">
            <v>#N/A</v>
          </cell>
          <cell r="H989" t="e">
            <v>#N/A</v>
          </cell>
          <cell r="I989" t="str">
            <v>3000TONERUK</v>
          </cell>
        </row>
        <row r="990">
          <cell r="D990">
            <v>889268</v>
          </cell>
          <cell r="E990" t="str">
            <v>EUR</v>
          </cell>
          <cell r="F990">
            <v>34.42</v>
          </cell>
          <cell r="G990" t="str">
            <v>EUR</v>
          </cell>
          <cell r="H990" t="e">
            <v>#VALUE!</v>
          </cell>
          <cell r="I990" t="str">
            <v>310DEV</v>
          </cell>
        </row>
        <row r="991">
          <cell r="D991">
            <v>887612</v>
          </cell>
          <cell r="E991" t="str">
            <v>EUR</v>
          </cell>
          <cell r="F991">
            <v>18.059999999999999</v>
          </cell>
          <cell r="G991" t="e">
            <v>#N/A</v>
          </cell>
          <cell r="H991" t="e">
            <v>#N/A</v>
          </cell>
          <cell r="I991" t="str">
            <v>310TONERUK</v>
          </cell>
        </row>
        <row r="992">
          <cell r="D992">
            <v>887681</v>
          </cell>
          <cell r="E992" t="str">
            <v>EUR</v>
          </cell>
          <cell r="F992">
            <v>18.059999999999999</v>
          </cell>
          <cell r="G992" t="e">
            <v>#N/A</v>
          </cell>
          <cell r="H992" t="e">
            <v>#N/A</v>
          </cell>
          <cell r="I992" t="str">
            <v>320TONERUK</v>
          </cell>
        </row>
        <row r="993">
          <cell r="D993">
            <v>885137</v>
          </cell>
          <cell r="E993" t="str">
            <v>EUR</v>
          </cell>
          <cell r="F993">
            <v>97.05</v>
          </cell>
          <cell r="G993" t="e">
            <v>#N/A</v>
          </cell>
          <cell r="H993" t="e">
            <v>#N/A</v>
          </cell>
          <cell r="I993" t="str">
            <v>3200DTONFRA</v>
          </cell>
        </row>
        <row r="994">
          <cell r="D994">
            <v>885180</v>
          </cell>
          <cell r="E994" t="str">
            <v>EUR</v>
          </cell>
          <cell r="F994">
            <v>97.05</v>
          </cell>
          <cell r="G994" t="e">
            <v>#N/A</v>
          </cell>
          <cell r="H994" t="e">
            <v>#N/A</v>
          </cell>
          <cell r="I994" t="str">
            <v>3200DTONUK</v>
          </cell>
        </row>
        <row r="995">
          <cell r="D995">
            <v>888063</v>
          </cell>
          <cell r="E995" t="str">
            <v>EUR</v>
          </cell>
          <cell r="F995">
            <v>21.92</v>
          </cell>
          <cell r="G995" t="e">
            <v>#N/A</v>
          </cell>
          <cell r="H995" t="e">
            <v>#N/A</v>
          </cell>
          <cell r="I995" t="str">
            <v>3205DTONER</v>
          </cell>
        </row>
        <row r="996">
          <cell r="D996">
            <v>885251</v>
          </cell>
          <cell r="E996" t="str">
            <v>EUR</v>
          </cell>
          <cell r="F996">
            <v>20.74</v>
          </cell>
          <cell r="G996" t="e">
            <v>#N/A</v>
          </cell>
          <cell r="H996" t="e">
            <v>#N/A</v>
          </cell>
          <cell r="I996" t="str">
            <v>3205DTONFRA</v>
          </cell>
        </row>
        <row r="997">
          <cell r="D997">
            <v>889415</v>
          </cell>
          <cell r="E997" t="str">
            <v>EUR</v>
          </cell>
          <cell r="F997">
            <v>35.96</v>
          </cell>
          <cell r="G997" t="e">
            <v>#N/A</v>
          </cell>
          <cell r="H997" t="e">
            <v>#N/A</v>
          </cell>
          <cell r="I997" t="str">
            <v>3300DEVUSA</v>
          </cell>
        </row>
        <row r="998">
          <cell r="D998">
            <v>889411</v>
          </cell>
          <cell r="E998" t="str">
            <v>EUR</v>
          </cell>
          <cell r="F998">
            <v>43.24</v>
          </cell>
          <cell r="G998" t="e">
            <v>#N/A</v>
          </cell>
          <cell r="H998" t="e">
            <v>#N/A</v>
          </cell>
          <cell r="I998" t="str">
            <v>3300TONERUK</v>
          </cell>
        </row>
        <row r="999">
          <cell r="D999">
            <v>887133</v>
          </cell>
          <cell r="E999" t="str">
            <v>EUR</v>
          </cell>
          <cell r="F999">
            <v>51.95</v>
          </cell>
          <cell r="G999" t="e">
            <v>#N/A</v>
          </cell>
          <cell r="H999" t="e">
            <v>#N/A</v>
          </cell>
          <cell r="I999" t="str">
            <v>4000DEVUSA</v>
          </cell>
        </row>
        <row r="1000">
          <cell r="D1000">
            <v>887621</v>
          </cell>
          <cell r="E1000" t="str">
            <v>EUR</v>
          </cell>
          <cell r="F1000">
            <v>36.85</v>
          </cell>
          <cell r="G1000" t="e">
            <v>#N/A</v>
          </cell>
          <cell r="H1000" t="e">
            <v>#N/A</v>
          </cell>
          <cell r="I1000" t="str">
            <v>4000TONERUK</v>
          </cell>
        </row>
        <row r="1001">
          <cell r="D1001">
            <v>887564</v>
          </cell>
          <cell r="E1001" t="str">
            <v>EUR</v>
          </cell>
          <cell r="F1001">
            <v>32.520000000000003</v>
          </cell>
          <cell r="G1001" t="str">
            <v>EUR</v>
          </cell>
          <cell r="H1001" t="e">
            <v>#VALUE!</v>
          </cell>
          <cell r="I1001" t="str">
            <v>4418DEVBLA</v>
          </cell>
        </row>
        <row r="1002">
          <cell r="D1002">
            <v>887566</v>
          </cell>
          <cell r="E1002" t="str">
            <v>EUR</v>
          </cell>
          <cell r="F1002">
            <v>67.45</v>
          </cell>
          <cell r="G1002" t="str">
            <v>EUR</v>
          </cell>
          <cell r="H1002" t="e">
            <v>#VALUE!</v>
          </cell>
          <cell r="I1002" t="str">
            <v>4418DEVBLU</v>
          </cell>
        </row>
        <row r="1003">
          <cell r="D1003">
            <v>887567</v>
          </cell>
          <cell r="E1003" t="str">
            <v>EUR</v>
          </cell>
          <cell r="F1003">
            <v>67.45</v>
          </cell>
          <cell r="G1003" t="str">
            <v>EUR</v>
          </cell>
          <cell r="H1003" t="e">
            <v>#VALUE!</v>
          </cell>
          <cell r="I1003" t="str">
            <v>4418DEVGRE</v>
          </cell>
        </row>
        <row r="1004">
          <cell r="D1004">
            <v>887565</v>
          </cell>
          <cell r="E1004" t="str">
            <v>EUR</v>
          </cell>
          <cell r="F1004">
            <v>64.11</v>
          </cell>
          <cell r="G1004" t="str">
            <v>EUR</v>
          </cell>
          <cell r="H1004" t="e">
            <v>#VALUE!</v>
          </cell>
          <cell r="I1004" t="str">
            <v>4418DEVRED</v>
          </cell>
        </row>
        <row r="1005">
          <cell r="D1005">
            <v>887610</v>
          </cell>
          <cell r="E1005" t="str">
            <v>EUR</v>
          </cell>
          <cell r="F1005">
            <v>37.840000000000003</v>
          </cell>
          <cell r="G1005" t="e">
            <v>#N/A</v>
          </cell>
          <cell r="H1005" t="e">
            <v>#N/A</v>
          </cell>
          <cell r="I1005" t="str">
            <v>4418TONBLAUK</v>
          </cell>
        </row>
        <row r="1006">
          <cell r="D1006">
            <v>887530</v>
          </cell>
          <cell r="E1006" t="str">
            <v>EUR</v>
          </cell>
          <cell r="F1006">
            <v>45.58</v>
          </cell>
          <cell r="G1006" t="str">
            <v>EUR</v>
          </cell>
          <cell r="H1006" t="e">
            <v>#VALUE!</v>
          </cell>
          <cell r="I1006" t="str">
            <v>4418TONERBLU</v>
          </cell>
        </row>
        <row r="1007">
          <cell r="D1007">
            <v>887533</v>
          </cell>
          <cell r="E1007" t="str">
            <v>EUR</v>
          </cell>
          <cell r="F1007">
            <v>45.58</v>
          </cell>
          <cell r="G1007" t="str">
            <v>EUR</v>
          </cell>
          <cell r="H1007" t="e">
            <v>#VALUE!</v>
          </cell>
          <cell r="I1007" t="str">
            <v>4418TONERGRE</v>
          </cell>
        </row>
        <row r="1008">
          <cell r="D1008">
            <v>887527</v>
          </cell>
          <cell r="E1008" t="str">
            <v>EUR</v>
          </cell>
          <cell r="F1008">
            <v>45.58</v>
          </cell>
          <cell r="G1008" t="str">
            <v>EUR</v>
          </cell>
          <cell r="H1008" t="e">
            <v>#VALUE!</v>
          </cell>
          <cell r="I1008" t="str">
            <v>4418TONERRED</v>
          </cell>
        </row>
        <row r="1009">
          <cell r="D1009">
            <v>887459</v>
          </cell>
          <cell r="E1009" t="str">
            <v>EUR</v>
          </cell>
          <cell r="F1009">
            <v>136.13</v>
          </cell>
          <cell r="G1009" t="str">
            <v>EUR</v>
          </cell>
          <cell r="H1009" t="e">
            <v>#VALUE!</v>
          </cell>
          <cell r="I1009" t="str">
            <v>4460TONERBLA</v>
          </cell>
        </row>
        <row r="1010">
          <cell r="D1010">
            <v>887453</v>
          </cell>
          <cell r="E1010" t="str">
            <v>EUR</v>
          </cell>
          <cell r="F1010">
            <v>39.21</v>
          </cell>
          <cell r="G1010" t="str">
            <v>EUR</v>
          </cell>
          <cell r="H1010" t="e">
            <v>#VALUE!</v>
          </cell>
          <cell r="I1010" t="str">
            <v>4460TONERBLU</v>
          </cell>
        </row>
        <row r="1011">
          <cell r="D1011">
            <v>887454</v>
          </cell>
          <cell r="E1011" t="str">
            <v>EUR</v>
          </cell>
          <cell r="F1011">
            <v>39.21</v>
          </cell>
          <cell r="G1011" t="str">
            <v>EUR</v>
          </cell>
          <cell r="H1011" t="e">
            <v>#VALUE!</v>
          </cell>
          <cell r="I1011" t="str">
            <v>4460TONERGRE</v>
          </cell>
        </row>
        <row r="1012">
          <cell r="D1012">
            <v>887452</v>
          </cell>
          <cell r="E1012" t="str">
            <v>EUR</v>
          </cell>
          <cell r="F1012">
            <v>39.21</v>
          </cell>
          <cell r="G1012" t="str">
            <v>EUR</v>
          </cell>
          <cell r="H1012" t="e">
            <v>#VALUE!</v>
          </cell>
          <cell r="I1012" t="str">
            <v>4460TONERRED</v>
          </cell>
        </row>
        <row r="1013">
          <cell r="D1013">
            <v>885103</v>
          </cell>
          <cell r="E1013" t="str">
            <v>EUR</v>
          </cell>
          <cell r="F1013">
            <v>31.21</v>
          </cell>
          <cell r="G1013" t="e">
            <v>#N/A</v>
          </cell>
          <cell r="H1013" t="e">
            <v>#N/A</v>
          </cell>
          <cell r="I1013" t="str">
            <v>450TONERFRA</v>
          </cell>
        </row>
        <row r="1014">
          <cell r="D1014">
            <v>887622</v>
          </cell>
          <cell r="E1014" t="str">
            <v>EUR</v>
          </cell>
          <cell r="F1014">
            <v>33.9</v>
          </cell>
          <cell r="G1014" t="e">
            <v>#N/A</v>
          </cell>
          <cell r="H1014" t="e">
            <v>#N/A</v>
          </cell>
          <cell r="I1014" t="str">
            <v>5000TONERUK</v>
          </cell>
        </row>
        <row r="1015">
          <cell r="D1015">
            <v>887655</v>
          </cell>
          <cell r="E1015" t="str">
            <v>EUR</v>
          </cell>
          <cell r="F1015">
            <v>56.5</v>
          </cell>
          <cell r="G1015" t="e">
            <v>#N/A</v>
          </cell>
          <cell r="H1015" t="e">
            <v>#N/A</v>
          </cell>
          <cell r="I1015" t="str">
            <v>5010TONBLUK</v>
          </cell>
        </row>
        <row r="1016">
          <cell r="D1016">
            <v>889292</v>
          </cell>
          <cell r="E1016" t="str">
            <v>EUR</v>
          </cell>
          <cell r="F1016">
            <v>24.9</v>
          </cell>
          <cell r="G1016" t="str">
            <v>EUR</v>
          </cell>
          <cell r="H1016" t="e">
            <v>#VALUE!</v>
          </cell>
          <cell r="I1016" t="str">
            <v>510DEVBLU</v>
          </cell>
        </row>
        <row r="1017">
          <cell r="D1017">
            <v>889289</v>
          </cell>
          <cell r="E1017" t="str">
            <v>EUR</v>
          </cell>
          <cell r="F1017">
            <v>24.9</v>
          </cell>
          <cell r="G1017" t="str">
            <v>EUR</v>
          </cell>
          <cell r="H1017" t="e">
            <v>#VALUE!</v>
          </cell>
          <cell r="I1017" t="str">
            <v>510DEVRED</v>
          </cell>
        </row>
        <row r="1018">
          <cell r="D1018">
            <v>887616</v>
          </cell>
          <cell r="E1018" t="str">
            <v>EUR</v>
          </cell>
          <cell r="F1018">
            <v>37.54</v>
          </cell>
          <cell r="G1018" t="e">
            <v>#N/A</v>
          </cell>
          <cell r="H1018" t="e">
            <v>#N/A</v>
          </cell>
          <cell r="I1018" t="str">
            <v>510TONBLAUK</v>
          </cell>
        </row>
        <row r="1019">
          <cell r="D1019">
            <v>889283</v>
          </cell>
          <cell r="E1019" t="str">
            <v>EUR</v>
          </cell>
          <cell r="F1019">
            <v>44.42</v>
          </cell>
          <cell r="G1019" t="str">
            <v>EUR</v>
          </cell>
          <cell r="H1019" t="e">
            <v>#VALUE!</v>
          </cell>
          <cell r="I1019" t="str">
            <v>510TONERBLU</v>
          </cell>
        </row>
        <row r="1020">
          <cell r="D1020">
            <v>889286</v>
          </cell>
          <cell r="E1020" t="str">
            <v>EUR</v>
          </cell>
          <cell r="F1020">
            <v>44.42</v>
          </cell>
          <cell r="G1020" t="str">
            <v>EUR</v>
          </cell>
          <cell r="H1020" t="e">
            <v>#VALUE!</v>
          </cell>
          <cell r="I1020" t="str">
            <v>510TONERGRE</v>
          </cell>
        </row>
        <row r="1021">
          <cell r="D1021">
            <v>889280</v>
          </cell>
          <cell r="E1021" t="str">
            <v>EUR</v>
          </cell>
          <cell r="F1021">
            <v>44.42</v>
          </cell>
          <cell r="G1021" t="str">
            <v>EUR</v>
          </cell>
          <cell r="H1021" t="e">
            <v>#VALUE!</v>
          </cell>
          <cell r="I1021" t="str">
            <v>510TONERRED</v>
          </cell>
        </row>
        <row r="1022">
          <cell r="D1022">
            <v>887741</v>
          </cell>
          <cell r="E1022" t="str">
            <v>EUR</v>
          </cell>
          <cell r="F1022">
            <v>121</v>
          </cell>
          <cell r="G1022" t="e">
            <v>#N/A</v>
          </cell>
          <cell r="H1022" t="e">
            <v>#N/A</v>
          </cell>
          <cell r="I1022" t="str">
            <v>5200DTONER</v>
          </cell>
        </row>
        <row r="1023">
          <cell r="D1023">
            <v>885190</v>
          </cell>
          <cell r="E1023" t="str">
            <v>EUR</v>
          </cell>
          <cell r="F1023">
            <v>117.3</v>
          </cell>
          <cell r="G1023" t="e">
            <v>#N/A</v>
          </cell>
          <cell r="H1023" t="e">
            <v>#N/A</v>
          </cell>
          <cell r="I1023" t="str">
            <v>5200DTONFRA</v>
          </cell>
        </row>
        <row r="1024">
          <cell r="D1024">
            <v>887995</v>
          </cell>
          <cell r="E1024" t="str">
            <v>EUR</v>
          </cell>
          <cell r="F1024">
            <v>130.72</v>
          </cell>
          <cell r="G1024" t="e">
            <v>#N/A</v>
          </cell>
          <cell r="H1024" t="e">
            <v>#N/A</v>
          </cell>
          <cell r="I1024" t="str">
            <v>5205DTONER</v>
          </cell>
        </row>
        <row r="1025">
          <cell r="D1025">
            <v>885241</v>
          </cell>
          <cell r="E1025" t="str">
            <v>EUR</v>
          </cell>
          <cell r="F1025">
            <v>123.32</v>
          </cell>
          <cell r="G1025" t="e">
            <v>#N/A</v>
          </cell>
          <cell r="H1025" t="e">
            <v>#N/A</v>
          </cell>
          <cell r="I1025" t="str">
            <v>5205DTONER2</v>
          </cell>
        </row>
        <row r="1026">
          <cell r="D1026">
            <v>885102</v>
          </cell>
          <cell r="E1026" t="str">
            <v>EUR</v>
          </cell>
          <cell r="F1026">
            <v>113.22</v>
          </cell>
          <cell r="G1026" t="e">
            <v>#N/A</v>
          </cell>
          <cell r="H1026" t="e">
            <v>#N/A</v>
          </cell>
          <cell r="I1026" t="str">
            <v>610TONERFRA</v>
          </cell>
        </row>
        <row r="1027">
          <cell r="D1027">
            <v>887642</v>
          </cell>
          <cell r="E1027" t="str">
            <v>EUR</v>
          </cell>
          <cell r="F1027">
            <v>113.22</v>
          </cell>
          <cell r="G1027" t="e">
            <v>#N/A</v>
          </cell>
          <cell r="H1027" t="e">
            <v>#N/A</v>
          </cell>
          <cell r="I1027" t="str">
            <v>610TONERUK</v>
          </cell>
        </row>
        <row r="1028">
          <cell r="D1028">
            <v>885274</v>
          </cell>
          <cell r="E1028" t="str">
            <v>EUR</v>
          </cell>
          <cell r="F1028">
            <v>31.58</v>
          </cell>
          <cell r="G1028" t="e">
            <v>#N/A</v>
          </cell>
          <cell r="H1028" t="e">
            <v>#N/A</v>
          </cell>
          <cell r="I1028" t="str">
            <v>6210DTONER</v>
          </cell>
        </row>
        <row r="1029">
          <cell r="D1029">
            <v>665619</v>
          </cell>
          <cell r="E1029" t="str">
            <v>EUR</v>
          </cell>
          <cell r="F1029">
            <v>23.17</v>
          </cell>
          <cell r="G1029" t="str">
            <v>EUR</v>
          </cell>
          <cell r="H1029" t="e">
            <v>#VALUE!</v>
          </cell>
          <cell r="I1029" t="str">
            <v>665619</v>
          </cell>
        </row>
        <row r="1030">
          <cell r="D1030">
            <v>887576</v>
          </cell>
          <cell r="E1030" t="str">
            <v>EUR</v>
          </cell>
          <cell r="F1030">
            <v>67.430000000000007</v>
          </cell>
          <cell r="G1030" t="str">
            <v>EUR</v>
          </cell>
          <cell r="H1030" t="e">
            <v>#VALUE!</v>
          </cell>
          <cell r="I1030" t="str">
            <v>670DEV</v>
          </cell>
        </row>
        <row r="1031">
          <cell r="D1031">
            <v>887571</v>
          </cell>
          <cell r="E1031" t="str">
            <v>EUR</v>
          </cell>
          <cell r="F1031">
            <v>47.81</v>
          </cell>
          <cell r="G1031" t="e">
            <v>#N/A</v>
          </cell>
          <cell r="H1031" t="e">
            <v>#N/A</v>
          </cell>
          <cell r="I1031" t="str">
            <v>670TONERUSA</v>
          </cell>
        </row>
        <row r="1032">
          <cell r="D1032">
            <v>887656</v>
          </cell>
          <cell r="E1032" t="str">
            <v>EUR</v>
          </cell>
          <cell r="F1032">
            <v>69.62</v>
          </cell>
          <cell r="G1032" t="e">
            <v>#N/A</v>
          </cell>
          <cell r="H1032" t="e">
            <v>#N/A</v>
          </cell>
          <cell r="I1032" t="str">
            <v>7770TONERUK</v>
          </cell>
        </row>
        <row r="1033">
          <cell r="D1033">
            <v>887447</v>
          </cell>
          <cell r="E1033" t="str">
            <v>EUR</v>
          </cell>
          <cell r="F1033">
            <v>495.57</v>
          </cell>
          <cell r="G1033" t="str">
            <v>EUR</v>
          </cell>
          <cell r="H1033" t="e">
            <v>#VALUE!</v>
          </cell>
          <cell r="I1033" t="str">
            <v>800TONERBLA</v>
          </cell>
        </row>
        <row r="1034">
          <cell r="D1034">
            <v>889553</v>
          </cell>
          <cell r="E1034" t="str">
            <v>EUR</v>
          </cell>
          <cell r="F1034">
            <v>32.01</v>
          </cell>
          <cell r="G1034" t="str">
            <v>EUR</v>
          </cell>
          <cell r="H1034" t="e">
            <v>#VALUE!</v>
          </cell>
          <cell r="I1034" t="str">
            <v>8015DEVBLA</v>
          </cell>
        </row>
        <row r="1035">
          <cell r="D1035">
            <v>889562</v>
          </cell>
          <cell r="E1035" t="str">
            <v>EUR</v>
          </cell>
          <cell r="F1035">
            <v>32.01</v>
          </cell>
          <cell r="G1035" t="str">
            <v>EUR</v>
          </cell>
          <cell r="H1035" t="e">
            <v>#VALUE!</v>
          </cell>
          <cell r="I1035" t="str">
            <v>8015DEVCYN</v>
          </cell>
        </row>
        <row r="1036">
          <cell r="D1036">
            <v>889556</v>
          </cell>
          <cell r="E1036" t="str">
            <v>EUR</v>
          </cell>
          <cell r="F1036">
            <v>32.01</v>
          </cell>
          <cell r="G1036" t="str">
            <v>EUR</v>
          </cell>
          <cell r="H1036" t="e">
            <v>#VALUE!</v>
          </cell>
          <cell r="I1036" t="str">
            <v>8015DEVYLW</v>
          </cell>
        </row>
        <row r="1037">
          <cell r="D1037">
            <v>889541</v>
          </cell>
          <cell r="E1037" t="str">
            <v>EUR</v>
          </cell>
          <cell r="F1037">
            <v>182.98</v>
          </cell>
          <cell r="G1037" t="str">
            <v>EUR</v>
          </cell>
          <cell r="H1037" t="e">
            <v>#VALUE!</v>
          </cell>
          <cell r="I1037" t="str">
            <v>8015TONBLA</v>
          </cell>
        </row>
        <row r="1038">
          <cell r="D1038">
            <v>889550</v>
          </cell>
          <cell r="E1038" t="str">
            <v>EUR</v>
          </cell>
          <cell r="F1038">
            <v>182.98</v>
          </cell>
          <cell r="G1038" t="str">
            <v>EUR</v>
          </cell>
          <cell r="H1038" t="e">
            <v>#VALUE!</v>
          </cell>
          <cell r="I1038" t="str">
            <v>8015TONCYN</v>
          </cell>
        </row>
        <row r="1039">
          <cell r="D1039">
            <v>889547</v>
          </cell>
          <cell r="E1039" t="str">
            <v>EUR</v>
          </cell>
          <cell r="F1039">
            <v>182.98</v>
          </cell>
          <cell r="G1039" t="str">
            <v>EUR</v>
          </cell>
          <cell r="H1039" t="e">
            <v>#VALUE!</v>
          </cell>
          <cell r="I1039" t="str">
            <v>8015TONMAG</v>
          </cell>
        </row>
        <row r="1040">
          <cell r="D1040">
            <v>889544</v>
          </cell>
          <cell r="E1040" t="str">
            <v>EUR</v>
          </cell>
          <cell r="F1040">
            <v>182.98</v>
          </cell>
          <cell r="G1040" t="str">
            <v>EUR</v>
          </cell>
          <cell r="H1040" t="e">
            <v>#VALUE!</v>
          </cell>
          <cell r="I1040" t="str">
            <v>8015TONYLW</v>
          </cell>
        </row>
        <row r="1041">
          <cell r="D1041">
            <v>887188</v>
          </cell>
          <cell r="E1041" t="str">
            <v>EUR</v>
          </cell>
          <cell r="F1041">
            <v>162.24</v>
          </cell>
          <cell r="G1041" t="str">
            <v>EUR</v>
          </cell>
          <cell r="H1041" t="e">
            <v>#VALUE!</v>
          </cell>
          <cell r="I1041" t="str">
            <v>820DEV</v>
          </cell>
        </row>
        <row r="1042">
          <cell r="D1042">
            <v>888009</v>
          </cell>
          <cell r="E1042" t="str">
            <v>EUR</v>
          </cell>
          <cell r="F1042">
            <v>139.9</v>
          </cell>
          <cell r="G1042" t="str">
            <v>EUR</v>
          </cell>
          <cell r="H1042" t="e">
            <v>#VALUE!</v>
          </cell>
          <cell r="I1042" t="str">
            <v>8200DTONER</v>
          </cell>
        </row>
        <row r="1043">
          <cell r="D1043">
            <v>888157</v>
          </cell>
          <cell r="E1043" t="str">
            <v>EUR</v>
          </cell>
          <cell r="F1043">
            <v>36.28</v>
          </cell>
          <cell r="G1043" t="e">
            <v>#N/A</v>
          </cell>
          <cell r="H1043" t="e">
            <v>#N/A</v>
          </cell>
          <cell r="I1043" t="str">
            <v>8205DTONER</v>
          </cell>
        </row>
        <row r="1044">
          <cell r="D1044">
            <v>885344</v>
          </cell>
          <cell r="E1044" t="str">
            <v>EUR</v>
          </cell>
          <cell r="F1044">
            <v>34.229999999999997</v>
          </cell>
          <cell r="G1044" t="e">
            <v>#N/A</v>
          </cell>
          <cell r="H1044" t="e">
            <v>#N/A</v>
          </cell>
          <cell r="I1044" t="str">
            <v>8205DTONFRA</v>
          </cell>
        </row>
        <row r="1045">
          <cell r="D1045">
            <v>889580</v>
          </cell>
          <cell r="E1045" t="str">
            <v>EUR</v>
          </cell>
          <cell r="F1045">
            <v>145.87</v>
          </cell>
          <cell r="G1045" t="str">
            <v>EUR</v>
          </cell>
          <cell r="H1045" t="e">
            <v>#VALUE!</v>
          </cell>
          <cell r="I1045" t="str">
            <v>8800DEVBLA</v>
          </cell>
        </row>
        <row r="1046">
          <cell r="D1046">
            <v>887695</v>
          </cell>
          <cell r="E1046" t="str">
            <v>EUR</v>
          </cell>
          <cell r="F1046">
            <v>238.17</v>
          </cell>
          <cell r="G1046" t="e">
            <v>#N/A</v>
          </cell>
          <cell r="H1046" t="e">
            <v>#N/A</v>
          </cell>
          <cell r="I1046" t="str">
            <v>8800TONERUK</v>
          </cell>
        </row>
        <row r="1047">
          <cell r="D1047">
            <v>209890</v>
          </cell>
          <cell r="E1047" t="str">
            <v>EUR</v>
          </cell>
          <cell r="F1047">
            <v>104.21</v>
          </cell>
          <cell r="G1047" t="str">
            <v>EUR</v>
          </cell>
          <cell r="H1047" t="e">
            <v>#VALUE!</v>
          </cell>
          <cell r="I1047" t="str">
            <v>AF251MAST</v>
          </cell>
        </row>
        <row r="1048">
          <cell r="D1048">
            <v>400398</v>
          </cell>
          <cell r="E1048" t="str">
            <v>EUR</v>
          </cell>
          <cell r="F1048">
            <v>57.15</v>
          </cell>
          <cell r="G1048" t="str">
            <v>EUR</v>
          </cell>
          <cell r="H1048" t="e">
            <v>#VALUE!</v>
          </cell>
          <cell r="I1048" t="str">
            <v>AP1400TONER</v>
          </cell>
        </row>
        <row r="1049">
          <cell r="D1049">
            <v>400679</v>
          </cell>
          <cell r="E1049" t="str">
            <v>EUR</v>
          </cell>
          <cell r="F1049">
            <v>143.82</v>
          </cell>
          <cell r="G1049" t="e">
            <v>#N/A</v>
          </cell>
          <cell r="H1049" t="e">
            <v>#N/A</v>
          </cell>
          <cell r="I1049" t="str">
            <v>AP200TONCHN</v>
          </cell>
        </row>
        <row r="1050">
          <cell r="D1050">
            <v>400618</v>
          </cell>
          <cell r="E1050" t="str">
            <v>EUR</v>
          </cell>
          <cell r="F1050">
            <v>147.27000000000001</v>
          </cell>
          <cell r="G1050" t="e">
            <v>#N/A</v>
          </cell>
          <cell r="H1050" t="e">
            <v>#N/A</v>
          </cell>
          <cell r="I1050" t="str">
            <v>AP200TONER</v>
          </cell>
        </row>
        <row r="1051">
          <cell r="D1051">
            <v>400395</v>
          </cell>
          <cell r="E1051" t="str">
            <v>EUR</v>
          </cell>
          <cell r="F1051">
            <v>95.43</v>
          </cell>
          <cell r="G1051" t="str">
            <v>EUR</v>
          </cell>
          <cell r="H1051" t="e">
            <v>#VALUE!</v>
          </cell>
          <cell r="I1051" t="str">
            <v>AP2000TONER</v>
          </cell>
        </row>
        <row r="1052">
          <cell r="D1052">
            <v>400321</v>
          </cell>
          <cell r="E1052" t="str">
            <v>EUR</v>
          </cell>
          <cell r="F1052">
            <v>25.22</v>
          </cell>
          <cell r="G1052" t="str">
            <v>EUR</v>
          </cell>
          <cell r="H1052" t="e">
            <v>#VALUE!</v>
          </cell>
          <cell r="I1052" t="str">
            <v>AP204OIL</v>
          </cell>
        </row>
        <row r="1053">
          <cell r="D1053">
            <v>400320</v>
          </cell>
          <cell r="E1053" t="str">
            <v>EUR</v>
          </cell>
          <cell r="F1053">
            <v>136.46</v>
          </cell>
          <cell r="G1053" t="str">
            <v>EUR</v>
          </cell>
          <cell r="H1053" t="e">
            <v>#VALUE!</v>
          </cell>
          <cell r="I1053" t="str">
            <v>AP204PCU</v>
          </cell>
        </row>
        <row r="1054">
          <cell r="D1054">
            <v>400316</v>
          </cell>
          <cell r="E1054" t="str">
            <v>EUR</v>
          </cell>
          <cell r="F1054">
            <v>63.16</v>
          </cell>
          <cell r="G1054" t="str">
            <v>EUR</v>
          </cell>
          <cell r="H1054" t="e">
            <v>#VALUE!</v>
          </cell>
          <cell r="I1054" t="str">
            <v>AP204TONBLA</v>
          </cell>
        </row>
        <row r="1055">
          <cell r="D1055">
            <v>400317</v>
          </cell>
          <cell r="E1055" t="str">
            <v>EUR</v>
          </cell>
          <cell r="F1055">
            <v>56.38</v>
          </cell>
          <cell r="G1055" t="str">
            <v>EUR</v>
          </cell>
          <cell r="H1055" t="e">
            <v>#VALUE!</v>
          </cell>
          <cell r="I1055" t="str">
            <v>AP204TONCYN</v>
          </cell>
        </row>
        <row r="1056">
          <cell r="D1056">
            <v>400318</v>
          </cell>
          <cell r="E1056" t="str">
            <v>EUR</v>
          </cell>
          <cell r="F1056">
            <v>56.38</v>
          </cell>
          <cell r="G1056" t="str">
            <v>EUR</v>
          </cell>
          <cell r="H1056" t="e">
            <v>#VALUE!</v>
          </cell>
          <cell r="I1056" t="str">
            <v>AP204TONMAG</v>
          </cell>
        </row>
        <row r="1057">
          <cell r="D1057">
            <v>400319</v>
          </cell>
          <cell r="E1057" t="str">
            <v>EUR</v>
          </cell>
          <cell r="F1057">
            <v>56.38</v>
          </cell>
          <cell r="G1057" t="str">
            <v>EUR</v>
          </cell>
          <cell r="H1057" t="e">
            <v>#VALUE!</v>
          </cell>
          <cell r="I1057" t="str">
            <v>AP204TONYLW</v>
          </cell>
        </row>
        <row r="1058">
          <cell r="D1058">
            <v>400322</v>
          </cell>
          <cell r="E1058" t="str">
            <v>EUR</v>
          </cell>
          <cell r="F1058">
            <v>8.2799999999999994</v>
          </cell>
          <cell r="G1058" t="str">
            <v>EUR</v>
          </cell>
          <cell r="H1058" t="e">
            <v>#VALUE!</v>
          </cell>
          <cell r="I1058" t="str">
            <v>AP204WASTE</v>
          </cell>
        </row>
        <row r="1059">
          <cell r="D1059">
            <v>400514</v>
          </cell>
          <cell r="E1059" t="str">
            <v>EUR</v>
          </cell>
          <cell r="F1059">
            <v>25.32</v>
          </cell>
          <cell r="G1059" t="str">
            <v>EUR</v>
          </cell>
          <cell r="H1059" t="e">
            <v>#VALUE!</v>
          </cell>
          <cell r="I1059" t="str">
            <v>AP206FUSER</v>
          </cell>
        </row>
        <row r="1060">
          <cell r="D1060">
            <v>400511</v>
          </cell>
          <cell r="E1060" t="str">
            <v>EUR</v>
          </cell>
          <cell r="F1060">
            <v>155.27000000000001</v>
          </cell>
          <cell r="G1060" t="e">
            <v>#N/A</v>
          </cell>
          <cell r="H1060" t="e">
            <v>#N/A</v>
          </cell>
          <cell r="I1060" t="str">
            <v>AP206PCU</v>
          </cell>
        </row>
        <row r="1061">
          <cell r="D1061">
            <v>400507</v>
          </cell>
          <cell r="E1061" t="str">
            <v>EUR</v>
          </cell>
          <cell r="F1061">
            <v>73.680000000000007</v>
          </cell>
          <cell r="G1061" t="str">
            <v>EUR</v>
          </cell>
          <cell r="H1061" t="e">
            <v>#VALUE!</v>
          </cell>
          <cell r="I1061" t="str">
            <v>AP206TONBLA</v>
          </cell>
        </row>
        <row r="1062">
          <cell r="D1062">
            <v>400508</v>
          </cell>
          <cell r="E1062" t="str">
            <v>EUR</v>
          </cell>
          <cell r="F1062">
            <v>69.739999999999995</v>
          </cell>
          <cell r="G1062" t="str">
            <v>EUR</v>
          </cell>
          <cell r="H1062" t="e">
            <v>#VALUE!</v>
          </cell>
          <cell r="I1062" t="str">
            <v>AP206TONCYN</v>
          </cell>
        </row>
        <row r="1063">
          <cell r="D1063">
            <v>400509</v>
          </cell>
          <cell r="E1063" t="str">
            <v>EUR</v>
          </cell>
          <cell r="F1063">
            <v>69.739999999999995</v>
          </cell>
          <cell r="G1063" t="str">
            <v>EUR</v>
          </cell>
          <cell r="H1063" t="e">
            <v>#VALUE!</v>
          </cell>
          <cell r="I1063" t="str">
            <v>AP206TONMAG</v>
          </cell>
        </row>
        <row r="1064">
          <cell r="D1064">
            <v>400510</v>
          </cell>
          <cell r="E1064" t="str">
            <v>EUR</v>
          </cell>
          <cell r="F1064">
            <v>69.739999999999995</v>
          </cell>
          <cell r="G1064" t="str">
            <v>EUR</v>
          </cell>
          <cell r="H1064" t="e">
            <v>#VALUE!</v>
          </cell>
          <cell r="I1064" t="str">
            <v>AP206TONYLW</v>
          </cell>
        </row>
        <row r="1065">
          <cell r="D1065">
            <v>400513</v>
          </cell>
          <cell r="E1065" t="str">
            <v>EUR</v>
          </cell>
          <cell r="F1065">
            <v>8.48</v>
          </cell>
          <cell r="G1065" t="e">
            <v>#N/A</v>
          </cell>
          <cell r="H1065" t="e">
            <v>#N/A</v>
          </cell>
          <cell r="I1065" t="str">
            <v>AP206WASTE</v>
          </cell>
        </row>
        <row r="1066">
          <cell r="D1066">
            <v>400760</v>
          </cell>
          <cell r="E1066" t="str">
            <v>EUR</v>
          </cell>
          <cell r="F1066">
            <v>147.27000000000001</v>
          </cell>
          <cell r="G1066" t="str">
            <v>EUR</v>
          </cell>
          <cell r="H1066" t="e">
            <v>#VALUE!</v>
          </cell>
          <cell r="I1066" t="str">
            <v>AP215TONCHN</v>
          </cell>
        </row>
        <row r="1067">
          <cell r="D1067">
            <v>400342</v>
          </cell>
          <cell r="E1067" t="str">
            <v>EUR</v>
          </cell>
          <cell r="F1067">
            <v>17.45</v>
          </cell>
          <cell r="G1067" t="e">
            <v>#N/A</v>
          </cell>
          <cell r="H1067" t="e">
            <v>#N/A</v>
          </cell>
          <cell r="I1067" t="str">
            <v>AP305OIL</v>
          </cell>
        </row>
        <row r="1068">
          <cell r="D1068">
            <v>400344</v>
          </cell>
          <cell r="E1068" t="str">
            <v>EUR</v>
          </cell>
          <cell r="F1068">
            <v>231.68</v>
          </cell>
          <cell r="G1068" t="str">
            <v>EUR</v>
          </cell>
          <cell r="H1068" t="e">
            <v>#VALUE!</v>
          </cell>
          <cell r="I1068" t="str">
            <v>AP305PCU</v>
          </cell>
        </row>
        <row r="1069">
          <cell r="D1069">
            <v>400338</v>
          </cell>
          <cell r="E1069" t="str">
            <v>EUR</v>
          </cell>
          <cell r="F1069">
            <v>81</v>
          </cell>
          <cell r="G1069" t="e">
            <v>#N/A</v>
          </cell>
          <cell r="H1069" t="e">
            <v>#N/A</v>
          </cell>
          <cell r="I1069" t="str">
            <v>AP305TONBLA</v>
          </cell>
        </row>
        <row r="1070">
          <cell r="D1070">
            <v>400339</v>
          </cell>
          <cell r="E1070" t="str">
            <v>EUR</v>
          </cell>
          <cell r="F1070">
            <v>100</v>
          </cell>
          <cell r="G1070" t="e">
            <v>#N/A</v>
          </cell>
          <cell r="H1070" t="e">
            <v>#N/A</v>
          </cell>
          <cell r="I1070" t="str">
            <v>AP305TONCYN</v>
          </cell>
        </row>
        <row r="1071">
          <cell r="D1071">
            <v>400340</v>
          </cell>
          <cell r="E1071" t="str">
            <v>EUR</v>
          </cell>
          <cell r="F1071">
            <v>100</v>
          </cell>
          <cell r="G1071" t="e">
            <v>#N/A</v>
          </cell>
          <cell r="H1071" t="e">
            <v>#N/A</v>
          </cell>
          <cell r="I1071" t="str">
            <v>AP305TONMAG</v>
          </cell>
        </row>
        <row r="1072">
          <cell r="D1072">
            <v>400341</v>
          </cell>
          <cell r="E1072" t="str">
            <v>EUR</v>
          </cell>
          <cell r="F1072">
            <v>100</v>
          </cell>
          <cell r="G1072" t="e">
            <v>#N/A</v>
          </cell>
          <cell r="H1072" t="e">
            <v>#N/A</v>
          </cell>
          <cell r="I1072" t="str">
            <v>AP305TONYLW</v>
          </cell>
        </row>
        <row r="1073">
          <cell r="D1073">
            <v>400343</v>
          </cell>
          <cell r="E1073" t="str">
            <v>EUR</v>
          </cell>
          <cell r="F1073">
            <v>10.66</v>
          </cell>
          <cell r="G1073" t="str">
            <v>EUR</v>
          </cell>
          <cell r="H1073" t="e">
            <v>#VALUE!</v>
          </cell>
          <cell r="I1073" t="str">
            <v>AP305WASTE</v>
          </cell>
        </row>
        <row r="1074">
          <cell r="D1074">
            <v>400496</v>
          </cell>
          <cell r="E1074" t="str">
            <v>EUR</v>
          </cell>
          <cell r="F1074">
            <v>14.96</v>
          </cell>
          <cell r="G1074" t="str">
            <v>EUR</v>
          </cell>
          <cell r="H1074" t="e">
            <v>#VALUE!</v>
          </cell>
          <cell r="I1074" t="str">
            <v>AP306CHARGER</v>
          </cell>
        </row>
        <row r="1075">
          <cell r="D1075">
            <v>400497</v>
          </cell>
          <cell r="E1075" t="str">
            <v>EUR</v>
          </cell>
          <cell r="F1075">
            <v>16.7</v>
          </cell>
          <cell r="G1075" t="str">
            <v>EUR</v>
          </cell>
          <cell r="H1075" t="e">
            <v>#VALUE!</v>
          </cell>
          <cell r="I1075" t="str">
            <v>AP306OIL</v>
          </cell>
        </row>
        <row r="1076">
          <cell r="D1076">
            <v>400490</v>
          </cell>
          <cell r="E1076" t="str">
            <v>EUR</v>
          </cell>
          <cell r="F1076">
            <v>272.57</v>
          </cell>
          <cell r="G1076" t="str">
            <v>EUR</v>
          </cell>
          <cell r="H1076" t="e">
            <v>#VALUE!</v>
          </cell>
          <cell r="I1076" t="str">
            <v>AP306PCU</v>
          </cell>
        </row>
        <row r="1077">
          <cell r="D1077">
            <v>400491</v>
          </cell>
          <cell r="E1077" t="str">
            <v>EUR</v>
          </cell>
          <cell r="F1077">
            <v>89.65</v>
          </cell>
          <cell r="G1077" t="str">
            <v>EUR</v>
          </cell>
          <cell r="H1077" t="e">
            <v>#VALUE!</v>
          </cell>
          <cell r="I1077" t="str">
            <v>AP306TONBLA</v>
          </cell>
        </row>
        <row r="1078">
          <cell r="D1078">
            <v>400492</v>
          </cell>
          <cell r="E1078" t="str">
            <v>EUR</v>
          </cell>
          <cell r="F1078">
            <v>110.67</v>
          </cell>
          <cell r="G1078" t="str">
            <v>EUR</v>
          </cell>
          <cell r="H1078" t="e">
            <v>#VALUE!</v>
          </cell>
          <cell r="I1078" t="str">
            <v>AP306TONCYN</v>
          </cell>
        </row>
        <row r="1079">
          <cell r="D1079">
            <v>400493</v>
          </cell>
          <cell r="E1079" t="str">
            <v>EUR</v>
          </cell>
          <cell r="F1079">
            <v>110.67</v>
          </cell>
          <cell r="G1079" t="str">
            <v>EUR</v>
          </cell>
          <cell r="H1079" t="e">
            <v>#VALUE!</v>
          </cell>
          <cell r="I1079" t="str">
            <v>AP306TONMAG</v>
          </cell>
        </row>
        <row r="1080">
          <cell r="D1080">
            <v>400494</v>
          </cell>
          <cell r="E1080" t="str">
            <v>EUR</v>
          </cell>
          <cell r="F1080">
            <v>110.67</v>
          </cell>
          <cell r="G1080" t="str">
            <v>EUR</v>
          </cell>
          <cell r="H1080" t="e">
            <v>#VALUE!</v>
          </cell>
          <cell r="I1080" t="str">
            <v>AP306TONYLW</v>
          </cell>
        </row>
        <row r="1081">
          <cell r="D1081">
            <v>400495</v>
          </cell>
          <cell r="E1081" t="str">
            <v>EUR</v>
          </cell>
          <cell r="F1081">
            <v>10.45</v>
          </cell>
          <cell r="G1081" t="str">
            <v>EUR</v>
          </cell>
          <cell r="H1081" t="e">
            <v>#VALUE!</v>
          </cell>
          <cell r="I1081" t="str">
            <v>AP306WASTE</v>
          </cell>
        </row>
        <row r="1082">
          <cell r="D1082">
            <v>889409</v>
          </cell>
          <cell r="E1082" t="str">
            <v>EUR</v>
          </cell>
          <cell r="F1082">
            <v>28.91</v>
          </cell>
          <cell r="G1082" t="str">
            <v>EUR</v>
          </cell>
          <cell r="H1082" t="e">
            <v>#VALUE!</v>
          </cell>
          <cell r="I1082" t="str">
            <v>CLEANCARRIER</v>
          </cell>
        </row>
        <row r="1083">
          <cell r="D1083">
            <v>886905</v>
          </cell>
          <cell r="E1083" t="str">
            <v>EUR</v>
          </cell>
          <cell r="F1083">
            <v>30.79</v>
          </cell>
          <cell r="G1083" t="e">
            <v>#N/A</v>
          </cell>
          <cell r="H1083" t="e">
            <v>#N/A</v>
          </cell>
          <cell r="I1083" t="str">
            <v>DEVTYPEDBLA</v>
          </cell>
        </row>
        <row r="1084">
          <cell r="D1084">
            <v>886908</v>
          </cell>
          <cell r="E1084" t="str">
            <v>EUR</v>
          </cell>
          <cell r="F1084">
            <v>30.79</v>
          </cell>
          <cell r="G1084" t="e">
            <v>#N/A</v>
          </cell>
          <cell r="H1084" t="e">
            <v>#N/A</v>
          </cell>
          <cell r="I1084" t="str">
            <v>DEVTYPEDCYN</v>
          </cell>
        </row>
        <row r="1085">
          <cell r="D1085">
            <v>886907</v>
          </cell>
          <cell r="E1085" t="str">
            <v>EUR</v>
          </cell>
          <cell r="F1085">
            <v>30.79</v>
          </cell>
          <cell r="G1085" t="e">
            <v>#N/A</v>
          </cell>
          <cell r="H1085" t="e">
            <v>#N/A</v>
          </cell>
          <cell r="I1085" t="str">
            <v>DEVTYPEDMAG</v>
          </cell>
        </row>
        <row r="1086">
          <cell r="D1086">
            <v>886906</v>
          </cell>
          <cell r="E1086" t="str">
            <v>EUR</v>
          </cell>
          <cell r="F1086">
            <v>30.79</v>
          </cell>
          <cell r="G1086" t="e">
            <v>#N/A</v>
          </cell>
          <cell r="H1086" t="e">
            <v>#N/A</v>
          </cell>
          <cell r="I1086" t="str">
            <v>DEVTYPEDYLW</v>
          </cell>
        </row>
        <row r="1087">
          <cell r="D1087">
            <v>889759</v>
          </cell>
          <cell r="E1087" t="str">
            <v>EUR</v>
          </cell>
          <cell r="F1087">
            <v>27.9</v>
          </cell>
          <cell r="G1087" t="str">
            <v>EUR</v>
          </cell>
          <cell r="H1087" t="e">
            <v>#VALUE!</v>
          </cell>
          <cell r="I1087" t="str">
            <v>DEVTYPEFBLA</v>
          </cell>
        </row>
        <row r="1088">
          <cell r="D1088">
            <v>889762</v>
          </cell>
          <cell r="E1088" t="str">
            <v>EUR</v>
          </cell>
          <cell r="F1088">
            <v>27.9</v>
          </cell>
          <cell r="G1088" t="str">
            <v>EUR</v>
          </cell>
          <cell r="H1088" t="e">
            <v>#VALUE!</v>
          </cell>
          <cell r="I1088" t="str">
            <v>DEVTYPEFCYN</v>
          </cell>
        </row>
        <row r="1089">
          <cell r="D1089">
            <v>889761</v>
          </cell>
          <cell r="E1089" t="str">
            <v>EUR</v>
          </cell>
          <cell r="F1089">
            <v>27.9</v>
          </cell>
          <cell r="G1089" t="str">
            <v>EUR</v>
          </cell>
          <cell r="H1089" t="e">
            <v>#VALUE!</v>
          </cell>
          <cell r="I1089" t="str">
            <v>DEVTYPEFMAG</v>
          </cell>
        </row>
        <row r="1090">
          <cell r="D1090">
            <v>889760</v>
          </cell>
          <cell r="E1090" t="str">
            <v>EUR</v>
          </cell>
          <cell r="F1090">
            <v>27.9</v>
          </cell>
          <cell r="G1090" t="str">
            <v>EUR</v>
          </cell>
          <cell r="H1090" t="e">
            <v>#VALUE!</v>
          </cell>
          <cell r="I1090" t="str">
            <v>DEVTYPEFYLW</v>
          </cell>
        </row>
        <row r="1091">
          <cell r="D1091">
            <v>889882</v>
          </cell>
          <cell r="E1091" t="str">
            <v>EUR</v>
          </cell>
          <cell r="F1091">
            <v>27.9</v>
          </cell>
          <cell r="G1091" t="str">
            <v>EUR</v>
          </cell>
          <cell r="H1091" t="e">
            <v>#VALUE!</v>
          </cell>
          <cell r="I1091" t="str">
            <v>DEVTYPEGCYN</v>
          </cell>
        </row>
        <row r="1092">
          <cell r="D1092">
            <v>889881</v>
          </cell>
          <cell r="E1092" t="str">
            <v>EUR</v>
          </cell>
          <cell r="F1092">
            <v>27.9</v>
          </cell>
          <cell r="G1092" t="str">
            <v>EUR</v>
          </cell>
          <cell r="H1092" t="e">
            <v>#VALUE!</v>
          </cell>
          <cell r="I1092" t="str">
            <v>DEVTYPEGMAG</v>
          </cell>
        </row>
        <row r="1093">
          <cell r="D1093">
            <v>889880</v>
          </cell>
          <cell r="E1093" t="str">
            <v>EUR</v>
          </cell>
          <cell r="F1093">
            <v>27.9</v>
          </cell>
          <cell r="G1093" t="str">
            <v>EUR</v>
          </cell>
          <cell r="H1093" t="e">
            <v>#VALUE!</v>
          </cell>
          <cell r="I1093" t="str">
            <v>DEVTYPEGYLW</v>
          </cell>
        </row>
        <row r="1094">
          <cell r="D1094">
            <v>887880</v>
          </cell>
          <cell r="E1094" t="str">
            <v>EUR</v>
          </cell>
          <cell r="F1094">
            <v>22.82</v>
          </cell>
          <cell r="G1094" t="str">
            <v>EUR</v>
          </cell>
          <cell r="H1094" t="e">
            <v>#VALUE!</v>
          </cell>
          <cell r="I1094" t="str">
            <v>DEVTYPEKBLA</v>
          </cell>
        </row>
        <row r="1095">
          <cell r="D1095">
            <v>887883</v>
          </cell>
          <cell r="E1095" t="str">
            <v>EUR</v>
          </cell>
          <cell r="F1095">
            <v>57.22</v>
          </cell>
          <cell r="G1095" t="str">
            <v>EUR</v>
          </cell>
          <cell r="H1095" t="e">
            <v>#VALUE!</v>
          </cell>
          <cell r="I1095" t="str">
            <v>DEVTYPEKCYN</v>
          </cell>
        </row>
        <row r="1096">
          <cell r="D1096">
            <v>887882</v>
          </cell>
          <cell r="E1096" t="str">
            <v>EUR</v>
          </cell>
          <cell r="F1096">
            <v>57.22</v>
          </cell>
          <cell r="G1096" t="str">
            <v>EUR</v>
          </cell>
          <cell r="H1096" t="e">
            <v>#VALUE!</v>
          </cell>
          <cell r="I1096" t="str">
            <v>DEVTYPEKMAG</v>
          </cell>
        </row>
        <row r="1097">
          <cell r="D1097">
            <v>887881</v>
          </cell>
          <cell r="E1097" t="str">
            <v>EUR</v>
          </cell>
          <cell r="F1097">
            <v>57.22</v>
          </cell>
          <cell r="G1097" t="str">
            <v>EUR</v>
          </cell>
          <cell r="H1097" t="e">
            <v>#VALUE!</v>
          </cell>
          <cell r="I1097" t="str">
            <v>DEVTYPEKYLW</v>
          </cell>
        </row>
        <row r="1098">
          <cell r="D1098">
            <v>887951</v>
          </cell>
          <cell r="E1098" t="str">
            <v>EUR</v>
          </cell>
          <cell r="F1098">
            <v>78.94</v>
          </cell>
          <cell r="G1098" t="str">
            <v>EUR</v>
          </cell>
          <cell r="H1098" t="e">
            <v>#VALUE!</v>
          </cell>
          <cell r="I1098" t="str">
            <v>DEVTYPELBLA</v>
          </cell>
        </row>
        <row r="1099">
          <cell r="D1099">
            <v>887954</v>
          </cell>
          <cell r="E1099" t="str">
            <v>EUR</v>
          </cell>
          <cell r="F1099">
            <v>63.14</v>
          </cell>
          <cell r="G1099" t="str">
            <v>EUR</v>
          </cell>
          <cell r="H1099" t="e">
            <v>#VALUE!</v>
          </cell>
          <cell r="I1099" t="str">
            <v>DEVTYPELCYN</v>
          </cell>
        </row>
        <row r="1100">
          <cell r="D1100">
            <v>887953</v>
          </cell>
          <cell r="E1100" t="str">
            <v>EUR</v>
          </cell>
          <cell r="F1100">
            <v>63.14</v>
          </cell>
          <cell r="G1100" t="str">
            <v>EUR</v>
          </cell>
          <cell r="H1100" t="e">
            <v>#VALUE!</v>
          </cell>
          <cell r="I1100" t="str">
            <v>DEVTYPELMAG</v>
          </cell>
        </row>
        <row r="1101">
          <cell r="D1101">
            <v>887952</v>
          </cell>
          <cell r="E1101" t="str">
            <v>EUR</v>
          </cell>
          <cell r="F1101">
            <v>63.14</v>
          </cell>
          <cell r="G1101" t="str">
            <v>EUR</v>
          </cell>
          <cell r="H1101" t="e">
            <v>#VALUE!</v>
          </cell>
          <cell r="I1101" t="str">
            <v>DEVTYPELYLW</v>
          </cell>
        </row>
        <row r="1102">
          <cell r="D1102">
            <v>889455</v>
          </cell>
          <cell r="E1102" t="str">
            <v>EUR</v>
          </cell>
          <cell r="F1102">
            <v>77.19</v>
          </cell>
          <cell r="G1102" t="e">
            <v>#N/A</v>
          </cell>
          <cell r="H1102" t="e">
            <v>#N/A</v>
          </cell>
          <cell r="I1102" t="str">
            <v>DEVTYPE1</v>
          </cell>
        </row>
        <row r="1103">
          <cell r="D1103">
            <v>885176</v>
          </cell>
          <cell r="E1103" t="str">
            <v>EUR</v>
          </cell>
          <cell r="F1103">
            <v>77.14</v>
          </cell>
          <cell r="G1103" t="e">
            <v>#N/A</v>
          </cell>
          <cell r="H1103" t="e">
            <v>#N/A</v>
          </cell>
          <cell r="I1103" t="str">
            <v>DEVTYPE1USA</v>
          </cell>
        </row>
        <row r="1104">
          <cell r="D1104">
            <v>888010</v>
          </cell>
          <cell r="E1104" t="str">
            <v>EUR</v>
          </cell>
          <cell r="F1104">
            <v>81.510000000000005</v>
          </cell>
          <cell r="G1104" t="str">
            <v>EUR</v>
          </cell>
          <cell r="H1104" t="e">
            <v>#VALUE!</v>
          </cell>
          <cell r="I1104" t="str">
            <v>DEVTYPE14</v>
          </cell>
        </row>
        <row r="1105">
          <cell r="D1105">
            <v>888002</v>
          </cell>
          <cell r="E1105" t="str">
            <v>EUR</v>
          </cell>
          <cell r="F1105">
            <v>197.91</v>
          </cell>
          <cell r="G1105" t="str">
            <v>EUR</v>
          </cell>
          <cell r="H1105" t="e">
            <v>#VALUE!</v>
          </cell>
          <cell r="I1105" t="str">
            <v>DEVTYPE15</v>
          </cell>
        </row>
        <row r="1106">
          <cell r="D1106">
            <v>888114</v>
          </cell>
          <cell r="E1106" t="str">
            <v>EUR</v>
          </cell>
          <cell r="F1106">
            <v>37.68</v>
          </cell>
          <cell r="G1106" t="str">
            <v>EUR</v>
          </cell>
          <cell r="H1106" t="e">
            <v>#VALUE!</v>
          </cell>
          <cell r="I1106" t="str">
            <v>DEVTYPE16W</v>
          </cell>
        </row>
        <row r="1107">
          <cell r="D1107">
            <v>888073</v>
          </cell>
          <cell r="E1107" t="str">
            <v>EUR</v>
          </cell>
          <cell r="F1107">
            <v>52</v>
          </cell>
          <cell r="G1107" t="str">
            <v>EUR</v>
          </cell>
          <cell r="H1107" t="e">
            <v>#VALUE!</v>
          </cell>
          <cell r="I1107" t="str">
            <v>DEVTYPE18</v>
          </cell>
        </row>
        <row r="1108">
          <cell r="D1108">
            <v>888095</v>
          </cell>
          <cell r="E1108" t="str">
            <v>EUR</v>
          </cell>
          <cell r="F1108">
            <v>20.88</v>
          </cell>
          <cell r="G1108" t="str">
            <v>EUR</v>
          </cell>
          <cell r="H1108" t="e">
            <v>#VALUE!</v>
          </cell>
          <cell r="I1108" t="str">
            <v>DEVTYPE19</v>
          </cell>
        </row>
        <row r="1109">
          <cell r="D1109">
            <v>887637</v>
          </cell>
          <cell r="E1109" t="str">
            <v>EUR</v>
          </cell>
          <cell r="F1109">
            <v>247.17</v>
          </cell>
          <cell r="G1109" t="str">
            <v>EUR</v>
          </cell>
          <cell r="H1109" t="e">
            <v>#VALUE!</v>
          </cell>
          <cell r="I1109" t="str">
            <v>DEVTYPE2</v>
          </cell>
        </row>
        <row r="1110">
          <cell r="D1110">
            <v>888164</v>
          </cell>
          <cell r="E1110" t="str">
            <v>EUR</v>
          </cell>
          <cell r="F1110">
            <v>15.67</v>
          </cell>
          <cell r="G1110" t="str">
            <v>EUR</v>
          </cell>
          <cell r="H1110" t="e">
            <v>#VALUE!</v>
          </cell>
          <cell r="I1110" t="str">
            <v>DEVTYPE21</v>
          </cell>
        </row>
        <row r="1111">
          <cell r="D1111">
            <v>885281</v>
          </cell>
          <cell r="E1111" t="str">
            <v>EUR</v>
          </cell>
          <cell r="F1111">
            <v>62.07</v>
          </cell>
          <cell r="G1111" t="e">
            <v>#N/A</v>
          </cell>
          <cell r="H1111" t="e">
            <v>#N/A</v>
          </cell>
          <cell r="I1111" t="str">
            <v>DEVTYPE24</v>
          </cell>
        </row>
        <row r="1112">
          <cell r="D1112">
            <v>889855</v>
          </cell>
          <cell r="E1112" t="str">
            <v>EUR</v>
          </cell>
          <cell r="F1112">
            <v>51.12</v>
          </cell>
          <cell r="G1112" t="str">
            <v>EUR</v>
          </cell>
          <cell r="H1112" t="e">
            <v>#VALUE!</v>
          </cell>
          <cell r="I1112" t="str">
            <v>DEVTYPE3</v>
          </cell>
        </row>
        <row r="1113">
          <cell r="D1113">
            <v>887733</v>
          </cell>
          <cell r="E1113" t="str">
            <v>EUR</v>
          </cell>
          <cell r="F1113">
            <v>200.15</v>
          </cell>
          <cell r="G1113" t="str">
            <v>EUR</v>
          </cell>
          <cell r="H1113" t="e">
            <v>#VALUE!</v>
          </cell>
          <cell r="I1113" t="str">
            <v>DEVTYPE5</v>
          </cell>
        </row>
        <row r="1114">
          <cell r="D1114">
            <v>887748</v>
          </cell>
          <cell r="E1114" t="str">
            <v>EUR</v>
          </cell>
          <cell r="F1114">
            <v>201.42</v>
          </cell>
          <cell r="G1114" t="str">
            <v>EUR</v>
          </cell>
          <cell r="H1114" t="e">
            <v>#VALUE!</v>
          </cell>
          <cell r="I1114" t="str">
            <v>DEVTYPE7</v>
          </cell>
        </row>
        <row r="1115">
          <cell r="D1115">
            <v>885164</v>
          </cell>
          <cell r="E1115" t="str">
            <v>EUR</v>
          </cell>
          <cell r="F1115">
            <v>337.93</v>
          </cell>
          <cell r="G1115" t="e">
            <v>#N/A</v>
          </cell>
          <cell r="H1115" t="e">
            <v>#N/A</v>
          </cell>
          <cell r="I1115" t="str">
            <v>DEVTYPE8</v>
          </cell>
        </row>
        <row r="1116">
          <cell r="D1116">
            <v>887797</v>
          </cell>
          <cell r="E1116" t="str">
            <v>EUR</v>
          </cell>
          <cell r="F1116">
            <v>209.48</v>
          </cell>
          <cell r="G1116" t="str">
            <v>EUR</v>
          </cell>
          <cell r="H1116" t="e">
            <v>#VALUE!</v>
          </cell>
          <cell r="I1116" t="str">
            <v>DEVTYPE9</v>
          </cell>
        </row>
        <row r="1117">
          <cell r="D1117">
            <v>923180</v>
          </cell>
          <cell r="E1117" t="str">
            <v>EUR</v>
          </cell>
          <cell r="F1117">
            <v>86.59</v>
          </cell>
          <cell r="G1117" t="e">
            <v>#N/A</v>
          </cell>
          <cell r="H1117" t="e">
            <v>#N/A</v>
          </cell>
          <cell r="I1117" t="str">
            <v>FAXCART61BLA</v>
          </cell>
        </row>
        <row r="1118">
          <cell r="D1118">
            <v>923181</v>
          </cell>
          <cell r="E1118" t="str">
            <v>EUR</v>
          </cell>
          <cell r="F1118">
            <v>86.59</v>
          </cell>
          <cell r="G1118" t="e">
            <v>#N/A</v>
          </cell>
          <cell r="H1118" t="e">
            <v>#N/A</v>
          </cell>
          <cell r="I1118" t="str">
            <v>FAXCART61CLR</v>
          </cell>
        </row>
        <row r="1119">
          <cell r="D1119">
            <v>430013</v>
          </cell>
          <cell r="E1119" t="str">
            <v>EUR</v>
          </cell>
          <cell r="F1119">
            <v>17.38</v>
          </cell>
          <cell r="G1119" t="str">
            <v>EUR</v>
          </cell>
          <cell r="H1119" t="e">
            <v>#VALUE!</v>
          </cell>
          <cell r="I1119" t="str">
            <v>FAXCART68BLA</v>
          </cell>
        </row>
        <row r="1120">
          <cell r="D1120">
            <v>430014</v>
          </cell>
          <cell r="E1120" t="str">
            <v>EUR</v>
          </cell>
          <cell r="F1120">
            <v>24.84</v>
          </cell>
          <cell r="G1120" t="str">
            <v>EUR</v>
          </cell>
          <cell r="H1120" t="e">
            <v>#VALUE!</v>
          </cell>
          <cell r="I1120" t="str">
            <v>FAXCART68CLR</v>
          </cell>
        </row>
        <row r="1121">
          <cell r="D1121">
            <v>334238</v>
          </cell>
          <cell r="E1121" t="str">
            <v>EUR</v>
          </cell>
          <cell r="F1121">
            <v>670.99</v>
          </cell>
          <cell r="G1121" t="e">
            <v>#N/A</v>
          </cell>
          <cell r="H1121" t="e">
            <v>#N/A</v>
          </cell>
          <cell r="I1121" t="str">
            <v>FAXCART800</v>
          </cell>
        </row>
        <row r="1122">
          <cell r="D1122">
            <v>339353</v>
          </cell>
          <cell r="E1122" t="str">
            <v>EUR</v>
          </cell>
          <cell r="F1122">
            <v>857.58</v>
          </cell>
          <cell r="G1122" t="e">
            <v>#N/A</v>
          </cell>
          <cell r="H1122" t="e">
            <v>#N/A</v>
          </cell>
          <cell r="I1122" t="str">
            <v>FAXCART88BLA</v>
          </cell>
        </row>
        <row r="1123">
          <cell r="D1123">
            <v>339342</v>
          </cell>
          <cell r="E1123" t="str">
            <v>EUR</v>
          </cell>
          <cell r="F1123">
            <v>1106.52</v>
          </cell>
          <cell r="G1123" t="e">
            <v>#N/A</v>
          </cell>
          <cell r="H1123" t="e">
            <v>#N/A</v>
          </cell>
          <cell r="I1123" t="str">
            <v>FAXCART88CLR</v>
          </cell>
        </row>
        <row r="1124">
          <cell r="D1124">
            <v>894716</v>
          </cell>
          <cell r="E1124" t="str">
            <v>EUR</v>
          </cell>
          <cell r="F1124">
            <v>239.38</v>
          </cell>
          <cell r="G1124" t="str">
            <v>EUR</v>
          </cell>
          <cell r="H1124" t="e">
            <v>#VALUE!</v>
          </cell>
          <cell r="I1124" t="str">
            <v>FAXMASTER100</v>
          </cell>
        </row>
        <row r="1125">
          <cell r="D1125">
            <v>889347</v>
          </cell>
          <cell r="E1125" t="str">
            <v>EUR</v>
          </cell>
          <cell r="F1125">
            <v>238.47</v>
          </cell>
          <cell r="G1125" t="str">
            <v>EUR</v>
          </cell>
          <cell r="H1125" t="e">
            <v>#VALUE!</v>
          </cell>
          <cell r="I1125" t="str">
            <v>FAXMASTER30</v>
          </cell>
        </row>
        <row r="1126">
          <cell r="D1126">
            <v>593928</v>
          </cell>
          <cell r="E1126" t="str">
            <v>EUR</v>
          </cell>
          <cell r="F1126">
            <v>450.76</v>
          </cell>
          <cell r="G1126" t="str">
            <v>EUR</v>
          </cell>
          <cell r="H1126" t="e">
            <v>#VALUE!</v>
          </cell>
          <cell r="I1126" t="str">
            <v>FAXMAST1000L</v>
          </cell>
        </row>
        <row r="1127">
          <cell r="D1127">
            <v>339472</v>
          </cell>
          <cell r="E1127" t="str">
            <v>EUR</v>
          </cell>
          <cell r="F1127">
            <v>177.42</v>
          </cell>
          <cell r="G1127" t="str">
            <v>EUR</v>
          </cell>
          <cell r="H1127" t="e">
            <v>#VALUE!</v>
          </cell>
          <cell r="I1127" t="str">
            <v>FAXMAST70</v>
          </cell>
        </row>
        <row r="1128">
          <cell r="D1128">
            <v>339343</v>
          </cell>
          <cell r="E1128" t="str">
            <v>EUR</v>
          </cell>
          <cell r="F1128">
            <v>310.79000000000002</v>
          </cell>
          <cell r="G1128" t="e">
            <v>#N/A</v>
          </cell>
          <cell r="H1128" t="e">
            <v>#N/A</v>
          </cell>
          <cell r="I1128" t="str">
            <v>FAXREF88BLA</v>
          </cell>
        </row>
        <row r="1129">
          <cell r="D1129">
            <v>339344</v>
          </cell>
          <cell r="E1129" t="str">
            <v>EUR</v>
          </cell>
          <cell r="F1129">
            <v>730.83</v>
          </cell>
          <cell r="G1129" t="e">
            <v>#N/A</v>
          </cell>
          <cell r="H1129" t="e">
            <v>#N/A</v>
          </cell>
          <cell r="I1129" t="str">
            <v>FAXREF88CLR</v>
          </cell>
        </row>
        <row r="1130">
          <cell r="D1130">
            <v>920616</v>
          </cell>
          <cell r="E1130" t="str">
            <v>EUR</v>
          </cell>
          <cell r="F1130">
            <v>140.31</v>
          </cell>
          <cell r="G1130" t="e">
            <v>#N/A</v>
          </cell>
          <cell r="H1130" t="e">
            <v>#N/A</v>
          </cell>
          <cell r="I1130" t="str">
            <v>FAXRIBBON500</v>
          </cell>
        </row>
        <row r="1131">
          <cell r="D1131">
            <v>430244</v>
          </cell>
          <cell r="E1131" t="str">
            <v>EUR</v>
          </cell>
          <cell r="F1131">
            <v>41.02</v>
          </cell>
          <cell r="G1131" t="str">
            <v>EUR</v>
          </cell>
          <cell r="H1131" t="e">
            <v>#VALUE!</v>
          </cell>
          <cell r="I1131" t="str">
            <v>FAXTNR1435CN</v>
          </cell>
        </row>
        <row r="1132">
          <cell r="D1132">
            <v>430400</v>
          </cell>
          <cell r="E1132" t="str">
            <v>EUR</v>
          </cell>
          <cell r="F1132">
            <v>54.83</v>
          </cell>
          <cell r="G1132" t="e">
            <v>#N/A</v>
          </cell>
          <cell r="H1132" t="e">
            <v>#N/A</v>
          </cell>
          <cell r="I1132" t="str">
            <v>FAXTN1265KOR</v>
          </cell>
        </row>
        <row r="1133">
          <cell r="D1133">
            <v>430159</v>
          </cell>
          <cell r="E1133" t="str">
            <v>EUR</v>
          </cell>
          <cell r="F1133">
            <v>38.82</v>
          </cell>
          <cell r="G1133" t="e">
            <v>#N/A</v>
          </cell>
          <cell r="H1133" t="e">
            <v>#N/A</v>
          </cell>
          <cell r="I1133" t="str">
            <v>FAXTONER1430</v>
          </cell>
        </row>
        <row r="1134">
          <cell r="D1134">
            <v>430245</v>
          </cell>
          <cell r="E1134" t="str">
            <v>EUR</v>
          </cell>
          <cell r="F1134">
            <v>74.95</v>
          </cell>
          <cell r="G1134" t="str">
            <v>EUR</v>
          </cell>
          <cell r="H1134" t="e">
            <v>#VALUE!</v>
          </cell>
          <cell r="I1134" t="str">
            <v>FAXTONER5210</v>
          </cell>
        </row>
        <row r="1135">
          <cell r="D1135">
            <v>339474</v>
          </cell>
          <cell r="E1135" t="str">
            <v>EUR</v>
          </cell>
          <cell r="F1135">
            <v>202.86</v>
          </cell>
          <cell r="G1135" t="str">
            <v>EUR</v>
          </cell>
          <cell r="H1135" t="e">
            <v>#VALUE!</v>
          </cell>
          <cell r="I1135" t="str">
            <v>FAXTONER70</v>
          </cell>
        </row>
        <row r="1136">
          <cell r="D1136">
            <v>593901</v>
          </cell>
          <cell r="E1136" t="str">
            <v>EUR</v>
          </cell>
          <cell r="F1136">
            <v>38.92</v>
          </cell>
          <cell r="G1136" t="e">
            <v>#N/A</v>
          </cell>
          <cell r="H1136" t="e">
            <v>#N/A</v>
          </cell>
          <cell r="I1136" t="str">
            <v>FAXTON1000L</v>
          </cell>
        </row>
        <row r="1137">
          <cell r="D1137">
            <v>430278</v>
          </cell>
          <cell r="E1137" t="str">
            <v>EUR</v>
          </cell>
          <cell r="F1137">
            <v>43.76</v>
          </cell>
          <cell r="G1137" t="str">
            <v>EUR</v>
          </cell>
          <cell r="H1137" t="e">
            <v>#VALUE!</v>
          </cell>
          <cell r="I1137" t="str">
            <v>FAXTON1240CN</v>
          </cell>
        </row>
        <row r="1138">
          <cell r="D1138">
            <v>430382</v>
          </cell>
          <cell r="E1138" t="str">
            <v>EUR</v>
          </cell>
          <cell r="F1138">
            <v>43.76</v>
          </cell>
          <cell r="G1138" t="e">
            <v>#N/A</v>
          </cell>
          <cell r="H1138" t="e">
            <v>#N/A</v>
          </cell>
          <cell r="I1138" t="str">
            <v>FAXTON1240UK</v>
          </cell>
        </row>
        <row r="1139">
          <cell r="D1139">
            <v>430351</v>
          </cell>
          <cell r="E1139" t="str">
            <v>EUR</v>
          </cell>
          <cell r="F1139">
            <v>36.21</v>
          </cell>
          <cell r="G1139" t="str">
            <v>EUR</v>
          </cell>
          <cell r="H1139" t="e">
            <v>#VALUE!</v>
          </cell>
          <cell r="I1139" t="str">
            <v>FAXTON1260CN</v>
          </cell>
        </row>
        <row r="1140">
          <cell r="D1140">
            <v>430225</v>
          </cell>
          <cell r="E1140" t="str">
            <v>EUR</v>
          </cell>
          <cell r="F1140">
            <v>42.13</v>
          </cell>
          <cell r="G1140" t="str">
            <v>EUR</v>
          </cell>
          <cell r="H1140" t="e">
            <v>#VALUE!</v>
          </cell>
          <cell r="I1140" t="str">
            <v>FAXTON1435CN</v>
          </cell>
        </row>
        <row r="1141">
          <cell r="D1141">
            <v>339481</v>
          </cell>
          <cell r="E1141" t="str">
            <v>EUR</v>
          </cell>
          <cell r="F1141">
            <v>177.61</v>
          </cell>
          <cell r="G1141" t="e">
            <v>#N/A</v>
          </cell>
          <cell r="H1141" t="e">
            <v>#N/A</v>
          </cell>
          <cell r="I1141" t="str">
            <v>FAXTON150FRA</v>
          </cell>
        </row>
        <row r="1142">
          <cell r="D1142">
            <v>889878</v>
          </cell>
          <cell r="E1142" t="str">
            <v>EUR</v>
          </cell>
          <cell r="F1142">
            <v>148.43</v>
          </cell>
          <cell r="G1142" t="str">
            <v>EUR</v>
          </cell>
          <cell r="H1142" t="e">
            <v>#VALUE!</v>
          </cell>
          <cell r="I1142" t="str">
            <v>FAXTON30TWN</v>
          </cell>
        </row>
        <row r="1143">
          <cell r="D1143">
            <v>207946</v>
          </cell>
          <cell r="E1143" t="str">
            <v>EUR</v>
          </cell>
          <cell r="F1143">
            <v>25.6</v>
          </cell>
          <cell r="G1143" t="e">
            <v>#N/A</v>
          </cell>
          <cell r="H1143" t="e">
            <v>#N/A</v>
          </cell>
          <cell r="I1143" t="str">
            <v>FUSERSHEET</v>
          </cell>
        </row>
        <row r="1144">
          <cell r="D1144">
            <v>400323</v>
          </cell>
          <cell r="E1144" t="str">
            <v>EUR</v>
          </cell>
          <cell r="F1144">
            <v>25.32</v>
          </cell>
          <cell r="G1144" t="str">
            <v>EUR</v>
          </cell>
          <cell r="H1144" t="e">
            <v>#VALUE!</v>
          </cell>
          <cell r="I1144" t="str">
            <v>FUSER204</v>
          </cell>
        </row>
        <row r="1145">
          <cell r="D1145">
            <v>889782</v>
          </cell>
          <cell r="E1145" t="str">
            <v>EUR</v>
          </cell>
          <cell r="F1145">
            <v>111.27</v>
          </cell>
          <cell r="G1145" t="str">
            <v>EUR</v>
          </cell>
          <cell r="H1145" t="e">
            <v>#VALUE!</v>
          </cell>
          <cell r="I1145" t="str">
            <v>IMAGEUNIT1</v>
          </cell>
        </row>
        <row r="1146">
          <cell r="D1146">
            <v>366490</v>
          </cell>
          <cell r="E1146" t="str">
            <v>EUR</v>
          </cell>
          <cell r="F1146">
            <v>190.74</v>
          </cell>
          <cell r="G1146" t="e">
            <v>#N/A</v>
          </cell>
          <cell r="H1146" t="e">
            <v>#N/A</v>
          </cell>
          <cell r="I1146" t="str">
            <v>INKROLLED410</v>
          </cell>
        </row>
        <row r="1147">
          <cell r="D1147">
            <v>400441</v>
          </cell>
          <cell r="E1147" t="str">
            <v>EUR</v>
          </cell>
          <cell r="F1147">
            <v>163.19</v>
          </cell>
          <cell r="G1147" t="str">
            <v>EUR</v>
          </cell>
          <cell r="H1147" t="e">
            <v>#VALUE!</v>
          </cell>
          <cell r="I1147" t="str">
            <v>INKROLLTYPEA</v>
          </cell>
        </row>
        <row r="1148">
          <cell r="D1148">
            <v>208050</v>
          </cell>
          <cell r="E1148" t="str">
            <v>EUR</v>
          </cell>
          <cell r="F1148">
            <v>310</v>
          </cell>
          <cell r="G1148" t="e">
            <v>#N/A</v>
          </cell>
          <cell r="H1148" t="e">
            <v>#N/A</v>
          </cell>
          <cell r="I1148" t="str">
            <v>LR1TONERBLA</v>
          </cell>
        </row>
        <row r="1149">
          <cell r="D1149">
            <v>208047</v>
          </cell>
          <cell r="E1149" t="str">
            <v>EUR</v>
          </cell>
          <cell r="F1149">
            <v>211.28</v>
          </cell>
          <cell r="G1149" t="e">
            <v>#N/A</v>
          </cell>
          <cell r="H1149" t="e">
            <v>#N/A</v>
          </cell>
          <cell r="I1149" t="str">
            <v>LR1TONERBLU</v>
          </cell>
        </row>
        <row r="1150">
          <cell r="D1150">
            <v>208048</v>
          </cell>
          <cell r="E1150" t="str">
            <v>EUR</v>
          </cell>
          <cell r="F1150">
            <v>211.28</v>
          </cell>
          <cell r="G1150" t="e">
            <v>#N/A</v>
          </cell>
          <cell r="H1150" t="e">
            <v>#N/A</v>
          </cell>
          <cell r="I1150" t="str">
            <v>LR1TONERGRE</v>
          </cell>
        </row>
        <row r="1151">
          <cell r="D1151">
            <v>208046</v>
          </cell>
          <cell r="E1151" t="str">
            <v>EUR</v>
          </cell>
          <cell r="F1151">
            <v>211.28</v>
          </cell>
          <cell r="G1151" t="e">
            <v>#N/A</v>
          </cell>
          <cell r="H1151" t="e">
            <v>#N/A</v>
          </cell>
          <cell r="I1151" t="str">
            <v>LR1TONERRED</v>
          </cell>
        </row>
        <row r="1152">
          <cell r="D1152">
            <v>208049</v>
          </cell>
          <cell r="E1152" t="str">
            <v>EUR</v>
          </cell>
          <cell r="F1152">
            <v>211.28</v>
          </cell>
          <cell r="G1152" t="e">
            <v>#N/A</v>
          </cell>
          <cell r="H1152" t="e">
            <v>#N/A</v>
          </cell>
          <cell r="I1152" t="str">
            <v>LR1TONERSEP</v>
          </cell>
        </row>
        <row r="1153">
          <cell r="D1153">
            <v>400404</v>
          </cell>
          <cell r="E1153" t="str">
            <v>EUR</v>
          </cell>
          <cell r="F1153">
            <v>83.61</v>
          </cell>
          <cell r="G1153" t="str">
            <v>EUR</v>
          </cell>
          <cell r="H1153" t="e">
            <v>#VALUE!</v>
          </cell>
          <cell r="I1153" t="str">
            <v>MAINTEN1400</v>
          </cell>
        </row>
        <row r="1154">
          <cell r="D1154">
            <v>400401</v>
          </cell>
          <cell r="E1154" t="str">
            <v>EUR</v>
          </cell>
          <cell r="F1154">
            <v>96.4</v>
          </cell>
          <cell r="G1154" t="str">
            <v>EUR</v>
          </cell>
          <cell r="H1154" t="e">
            <v>#VALUE!</v>
          </cell>
          <cell r="I1154" t="str">
            <v>MAINTEN2000</v>
          </cell>
        </row>
        <row r="1155">
          <cell r="D1155">
            <v>400620</v>
          </cell>
          <cell r="E1155" t="str">
            <v>EUR</v>
          </cell>
          <cell r="F1155">
            <v>106.22</v>
          </cell>
          <cell r="G1155" t="str">
            <v>EUR</v>
          </cell>
          <cell r="H1155" t="e">
            <v>#VALUE!</v>
          </cell>
          <cell r="I1155" t="str">
            <v>MAINT2600CHN</v>
          </cell>
        </row>
        <row r="1156">
          <cell r="D1156">
            <v>400594</v>
          </cell>
          <cell r="E1156" t="str">
            <v>EUR</v>
          </cell>
          <cell r="F1156">
            <v>93.2</v>
          </cell>
          <cell r="G1156" t="str">
            <v>EUR</v>
          </cell>
          <cell r="H1156" t="e">
            <v>#VALUE!</v>
          </cell>
          <cell r="I1156" t="str">
            <v>MAINT3800A</v>
          </cell>
        </row>
        <row r="1157">
          <cell r="D1157">
            <v>400595</v>
          </cell>
          <cell r="E1157" t="str">
            <v>EUR</v>
          </cell>
          <cell r="F1157">
            <v>177.55</v>
          </cell>
          <cell r="G1157" t="str">
            <v>EUR</v>
          </cell>
          <cell r="H1157" t="e">
            <v>#VALUE!</v>
          </cell>
          <cell r="I1157" t="str">
            <v>MAINT3800B</v>
          </cell>
        </row>
        <row r="1158">
          <cell r="D1158">
            <v>400569</v>
          </cell>
          <cell r="E1158" t="str">
            <v>EUR</v>
          </cell>
          <cell r="F1158">
            <v>195.76</v>
          </cell>
          <cell r="G1158" t="str">
            <v>EUR</v>
          </cell>
          <cell r="H1158" t="e">
            <v>#VALUE!</v>
          </cell>
          <cell r="I1158" t="str">
            <v>MAINT3800C</v>
          </cell>
        </row>
        <row r="1159">
          <cell r="D1159">
            <v>400661</v>
          </cell>
          <cell r="E1159" t="str">
            <v>EUR</v>
          </cell>
          <cell r="F1159">
            <v>54.36</v>
          </cell>
          <cell r="G1159" t="str">
            <v>EUR</v>
          </cell>
          <cell r="H1159" t="e">
            <v>#VALUE!</v>
          </cell>
          <cell r="I1159" t="str">
            <v>MAINT3800D</v>
          </cell>
        </row>
        <row r="1160">
          <cell r="D1160">
            <v>400662</v>
          </cell>
          <cell r="E1160" t="str">
            <v>EUR</v>
          </cell>
          <cell r="F1160">
            <v>5.19</v>
          </cell>
          <cell r="G1160" t="str">
            <v>EUR</v>
          </cell>
          <cell r="H1160" t="e">
            <v>#VALUE!</v>
          </cell>
          <cell r="I1160" t="str">
            <v>MAINT3800E</v>
          </cell>
        </row>
        <row r="1161">
          <cell r="D1161">
            <v>400548</v>
          </cell>
          <cell r="E1161" t="str">
            <v>EUR</v>
          </cell>
          <cell r="F1161">
            <v>29.44</v>
          </cell>
          <cell r="G1161" t="str">
            <v>EUR</v>
          </cell>
          <cell r="H1161" t="e">
            <v>#VALUE!</v>
          </cell>
          <cell r="I1161" t="str">
            <v>MAINT3800F</v>
          </cell>
        </row>
        <row r="1162">
          <cell r="D1162">
            <v>400549</v>
          </cell>
          <cell r="E1162" t="str">
            <v>EUR</v>
          </cell>
          <cell r="F1162">
            <v>27.51</v>
          </cell>
          <cell r="G1162" t="str">
            <v>EUR</v>
          </cell>
          <cell r="H1162" t="e">
            <v>#VALUE!</v>
          </cell>
          <cell r="I1162" t="str">
            <v>MAINT3800G</v>
          </cell>
        </row>
        <row r="1163">
          <cell r="D1163">
            <v>400576</v>
          </cell>
          <cell r="E1163" t="str">
            <v>EUR</v>
          </cell>
          <cell r="F1163">
            <v>2.68</v>
          </cell>
          <cell r="G1163" t="str">
            <v>EUR</v>
          </cell>
          <cell r="H1163" t="e">
            <v>#VALUE!</v>
          </cell>
          <cell r="I1163" t="str">
            <v>MAINT3800H</v>
          </cell>
        </row>
        <row r="1164">
          <cell r="D1164">
            <v>361093</v>
          </cell>
          <cell r="E1164" t="str">
            <v>EUR</v>
          </cell>
          <cell r="F1164">
            <v>94.83</v>
          </cell>
          <cell r="G1164" t="e">
            <v>#N/A</v>
          </cell>
          <cell r="H1164" t="e">
            <v>#N/A</v>
          </cell>
          <cell r="I1164" t="str">
            <v>MKITMP01</v>
          </cell>
        </row>
        <row r="1165">
          <cell r="D1165">
            <v>209911</v>
          </cell>
          <cell r="E1165" t="str">
            <v>EUR</v>
          </cell>
          <cell r="F1165">
            <v>104.21</v>
          </cell>
          <cell r="G1165" t="str">
            <v>EUR</v>
          </cell>
          <cell r="H1165" t="e">
            <v>#VALUE!</v>
          </cell>
          <cell r="I1165" t="str">
            <v>MV250MAST</v>
          </cell>
        </row>
        <row r="1166">
          <cell r="D1166">
            <v>894718</v>
          </cell>
          <cell r="E1166" t="str">
            <v>EUR</v>
          </cell>
          <cell r="F1166">
            <v>239.38</v>
          </cell>
          <cell r="G1166" t="str">
            <v>EUR</v>
          </cell>
          <cell r="H1166" t="e">
            <v>#VALUE!</v>
          </cell>
          <cell r="I1166" t="str">
            <v>MV300MAST</v>
          </cell>
        </row>
        <row r="1167">
          <cell r="D1167">
            <v>887675</v>
          </cell>
          <cell r="E1167" t="str">
            <v>EUR</v>
          </cell>
          <cell r="F1167">
            <v>222.79</v>
          </cell>
          <cell r="G1167" t="str">
            <v>EUR</v>
          </cell>
          <cell r="H1167" t="e">
            <v>#VALUE!</v>
          </cell>
          <cell r="I1167" t="str">
            <v>MV300TONER</v>
          </cell>
        </row>
        <row r="1168">
          <cell r="D1168">
            <v>889606</v>
          </cell>
          <cell r="E1168" t="str">
            <v>EUR</v>
          </cell>
          <cell r="F1168">
            <v>104.03</v>
          </cell>
          <cell r="G1168" t="str">
            <v>EUR</v>
          </cell>
          <cell r="H1168" t="e">
            <v>#VALUE!</v>
          </cell>
          <cell r="I1168" t="str">
            <v>MV80MAST</v>
          </cell>
        </row>
        <row r="1169">
          <cell r="D1169">
            <v>889744</v>
          </cell>
          <cell r="E1169" t="str">
            <v>EUR</v>
          </cell>
          <cell r="F1169">
            <v>55.01</v>
          </cell>
          <cell r="G1169" t="str">
            <v>EUR</v>
          </cell>
          <cell r="H1169" t="e">
            <v>#VALUE!</v>
          </cell>
          <cell r="I1169" t="str">
            <v>MV80TONER</v>
          </cell>
        </row>
        <row r="1170">
          <cell r="D1170">
            <v>889015</v>
          </cell>
          <cell r="E1170" t="str">
            <v>EUR</v>
          </cell>
          <cell r="F1170">
            <v>126.4</v>
          </cell>
          <cell r="G1170" t="e">
            <v>#N/A</v>
          </cell>
          <cell r="H1170" t="e">
            <v>#N/A</v>
          </cell>
          <cell r="I1170" t="str">
            <v>M10MASTUNT2</v>
          </cell>
        </row>
        <row r="1171">
          <cell r="D1171">
            <v>887660</v>
          </cell>
          <cell r="E1171" t="str">
            <v>EUR</v>
          </cell>
          <cell r="F1171">
            <v>23.58</v>
          </cell>
          <cell r="G1171" t="e">
            <v>#N/A</v>
          </cell>
          <cell r="H1171" t="e">
            <v>#N/A</v>
          </cell>
          <cell r="I1171" t="str">
            <v>M10TONBLAUK</v>
          </cell>
        </row>
        <row r="1172">
          <cell r="D1172">
            <v>889351</v>
          </cell>
          <cell r="E1172" t="str">
            <v>EUR</v>
          </cell>
          <cell r="F1172">
            <v>128.18</v>
          </cell>
          <cell r="G1172" t="str">
            <v>EUR</v>
          </cell>
          <cell r="H1172" t="e">
            <v>#VALUE!</v>
          </cell>
          <cell r="I1172" t="str">
            <v>M100MASTUNT2</v>
          </cell>
        </row>
        <row r="1173">
          <cell r="D1173">
            <v>889260</v>
          </cell>
          <cell r="E1173" t="str">
            <v>EUR</v>
          </cell>
          <cell r="F1173">
            <v>118.13</v>
          </cell>
          <cell r="G1173" t="str">
            <v>EUR</v>
          </cell>
          <cell r="H1173" t="e">
            <v>#VALUE!</v>
          </cell>
          <cell r="I1173" t="str">
            <v>M5MASTUNT2</v>
          </cell>
        </row>
        <row r="1174">
          <cell r="D1174">
            <v>887659</v>
          </cell>
          <cell r="E1174" t="str">
            <v>EUR</v>
          </cell>
          <cell r="F1174">
            <v>23.58</v>
          </cell>
          <cell r="G1174" t="e">
            <v>#N/A</v>
          </cell>
          <cell r="H1174" t="e">
            <v>#N/A</v>
          </cell>
          <cell r="I1174" t="str">
            <v>M5TONERBLAUK</v>
          </cell>
        </row>
        <row r="1175">
          <cell r="D1175">
            <v>882019</v>
          </cell>
          <cell r="E1175" t="str">
            <v>EUR</v>
          </cell>
          <cell r="F1175">
            <v>43.8</v>
          </cell>
          <cell r="G1175" t="e">
            <v>#N/A</v>
          </cell>
          <cell r="H1175" t="e">
            <v>#N/A</v>
          </cell>
          <cell r="I1175" t="str">
            <v>M5TONERGRE</v>
          </cell>
        </row>
        <row r="1176">
          <cell r="D1176">
            <v>889207</v>
          </cell>
          <cell r="E1176" t="str">
            <v>EUR</v>
          </cell>
          <cell r="F1176">
            <v>40.51</v>
          </cell>
          <cell r="G1176" t="str">
            <v>EUR</v>
          </cell>
          <cell r="H1176" t="e">
            <v>#VALUE!</v>
          </cell>
          <cell r="I1176" t="str">
            <v>M5TONERRED</v>
          </cell>
        </row>
        <row r="1177">
          <cell r="D1177">
            <v>887664</v>
          </cell>
          <cell r="E1177" t="str">
            <v>EUR</v>
          </cell>
          <cell r="F1177">
            <v>26.21</v>
          </cell>
          <cell r="G1177" t="e">
            <v>#N/A</v>
          </cell>
          <cell r="H1177" t="e">
            <v>#N/A</v>
          </cell>
          <cell r="I1177" t="str">
            <v>M6TONERGER</v>
          </cell>
        </row>
        <row r="1178">
          <cell r="D1178">
            <v>889405</v>
          </cell>
          <cell r="E1178" t="str">
            <v>EUR</v>
          </cell>
          <cell r="F1178">
            <v>113.23</v>
          </cell>
          <cell r="G1178" t="str">
            <v>EUR</v>
          </cell>
          <cell r="H1178" t="e">
            <v>#VALUE!</v>
          </cell>
          <cell r="I1178" t="str">
            <v>NC11DEVBLA</v>
          </cell>
        </row>
        <row r="1179">
          <cell r="D1179">
            <v>889408</v>
          </cell>
          <cell r="E1179" t="str">
            <v>EUR</v>
          </cell>
          <cell r="F1179">
            <v>48.52</v>
          </cell>
          <cell r="G1179" t="str">
            <v>EUR</v>
          </cell>
          <cell r="H1179" t="e">
            <v>#VALUE!</v>
          </cell>
          <cell r="I1179" t="str">
            <v>NC11DEVCYN</v>
          </cell>
        </row>
        <row r="1180">
          <cell r="D1180">
            <v>889407</v>
          </cell>
          <cell r="E1180" t="str">
            <v>EUR</v>
          </cell>
          <cell r="F1180">
            <v>48.52</v>
          </cell>
          <cell r="G1180" t="str">
            <v>EUR</v>
          </cell>
          <cell r="H1180" t="e">
            <v>#VALUE!</v>
          </cell>
          <cell r="I1180" t="str">
            <v>NC11DEVMAG</v>
          </cell>
        </row>
        <row r="1181">
          <cell r="D1181">
            <v>889406</v>
          </cell>
          <cell r="E1181" t="str">
            <v>EUR</v>
          </cell>
          <cell r="F1181">
            <v>48.52</v>
          </cell>
          <cell r="G1181" t="str">
            <v>EUR</v>
          </cell>
          <cell r="H1181" t="e">
            <v>#VALUE!</v>
          </cell>
          <cell r="I1181" t="str">
            <v>NC11DEVYLW</v>
          </cell>
        </row>
        <row r="1182">
          <cell r="D1182">
            <v>887481</v>
          </cell>
          <cell r="E1182" t="str">
            <v>EUR</v>
          </cell>
          <cell r="F1182">
            <v>131.27000000000001</v>
          </cell>
          <cell r="G1182" t="e">
            <v>#N/A</v>
          </cell>
          <cell r="H1182" t="e">
            <v>#N/A</v>
          </cell>
          <cell r="I1182" t="str">
            <v>NC11TONERBLA</v>
          </cell>
        </row>
        <row r="1183">
          <cell r="D1183">
            <v>887487</v>
          </cell>
          <cell r="E1183" t="str">
            <v>EUR</v>
          </cell>
          <cell r="F1183">
            <v>75.459999999999994</v>
          </cell>
          <cell r="G1183" t="str">
            <v>EUR</v>
          </cell>
          <cell r="H1183" t="e">
            <v>#VALUE!</v>
          </cell>
          <cell r="I1183" t="str">
            <v>NC11TONERCYN</v>
          </cell>
        </row>
        <row r="1184">
          <cell r="D1184">
            <v>887485</v>
          </cell>
          <cell r="E1184" t="str">
            <v>EUR</v>
          </cell>
          <cell r="F1184">
            <v>75.459999999999994</v>
          </cell>
          <cell r="G1184" t="str">
            <v>EUR</v>
          </cell>
          <cell r="H1184" t="e">
            <v>#VALUE!</v>
          </cell>
          <cell r="I1184" t="str">
            <v>NC11TONERMAG</v>
          </cell>
        </row>
        <row r="1185">
          <cell r="D1185">
            <v>887483</v>
          </cell>
          <cell r="E1185" t="str">
            <v>EUR</v>
          </cell>
          <cell r="F1185">
            <v>75.459999999999994</v>
          </cell>
          <cell r="G1185" t="str">
            <v>EUR</v>
          </cell>
          <cell r="H1185" t="e">
            <v>#VALUE!</v>
          </cell>
          <cell r="I1185" t="str">
            <v>NC11TONERYLW</v>
          </cell>
        </row>
        <row r="1186">
          <cell r="D1186">
            <v>889526</v>
          </cell>
          <cell r="E1186" t="str">
            <v>EUR</v>
          </cell>
          <cell r="F1186">
            <v>98.77</v>
          </cell>
          <cell r="G1186" t="str">
            <v>EUR</v>
          </cell>
          <cell r="H1186" t="e">
            <v>#VALUE!</v>
          </cell>
          <cell r="I1186" t="str">
            <v>NC305DEVBLA</v>
          </cell>
        </row>
        <row r="1187">
          <cell r="D1187">
            <v>411113</v>
          </cell>
          <cell r="E1187" t="str">
            <v>EUR</v>
          </cell>
          <cell r="F1187">
            <v>62.01</v>
          </cell>
          <cell r="G1187" t="str">
            <v>EUR</v>
          </cell>
          <cell r="H1187" t="e">
            <v>#VALUE!</v>
          </cell>
          <cell r="I1187" t="str">
            <v>PCU1013CHN</v>
          </cell>
        </row>
        <row r="1188">
          <cell r="D1188">
            <v>411018</v>
          </cell>
          <cell r="E1188" t="str">
            <v>EUR</v>
          </cell>
          <cell r="F1188">
            <v>117.67</v>
          </cell>
          <cell r="G1188" t="str">
            <v>EUR</v>
          </cell>
          <cell r="H1188" t="e">
            <v>#VALUE!</v>
          </cell>
          <cell r="I1188" t="str">
            <v>PCU1027</v>
          </cell>
        </row>
        <row r="1189">
          <cell r="D1189">
            <v>410423</v>
          </cell>
          <cell r="E1189" t="str">
            <v>EUR</v>
          </cell>
          <cell r="F1189">
            <v>125.26</v>
          </cell>
          <cell r="G1189" t="str">
            <v>EUR</v>
          </cell>
          <cell r="H1189" t="e">
            <v>#VALUE!</v>
          </cell>
          <cell r="I1189" t="str">
            <v>PCU270</v>
          </cell>
        </row>
        <row r="1190">
          <cell r="D1190">
            <v>400633</v>
          </cell>
          <cell r="E1190" t="str">
            <v>EUR</v>
          </cell>
          <cell r="F1190">
            <v>117.67</v>
          </cell>
          <cell r="G1190" t="str">
            <v>EUR</v>
          </cell>
          <cell r="H1190" t="e">
            <v>#VALUE!</v>
          </cell>
          <cell r="I1190" t="str">
            <v>PCU320</v>
          </cell>
        </row>
        <row r="1191">
          <cell r="D1191">
            <v>410509</v>
          </cell>
          <cell r="E1191" t="str">
            <v>EUR</v>
          </cell>
          <cell r="F1191">
            <v>57.52</v>
          </cell>
          <cell r="G1191" t="str">
            <v>EUR</v>
          </cell>
          <cell r="H1191" t="e">
            <v>#VALUE!</v>
          </cell>
          <cell r="I1191" t="str">
            <v>STAPLEREFH</v>
          </cell>
        </row>
        <row r="1192">
          <cell r="D1192">
            <v>410802</v>
          </cell>
          <cell r="E1192" t="str">
            <v>EUR</v>
          </cell>
          <cell r="F1192">
            <v>27.48</v>
          </cell>
          <cell r="G1192" t="str">
            <v>EUR</v>
          </cell>
          <cell r="H1192" t="e">
            <v>#VALUE!</v>
          </cell>
          <cell r="I1192" t="str">
            <v>STAPLEREFK</v>
          </cell>
        </row>
        <row r="1193">
          <cell r="D1193">
            <v>411241</v>
          </cell>
          <cell r="E1193" t="str">
            <v>EUR</v>
          </cell>
          <cell r="F1193">
            <v>19.75</v>
          </cell>
          <cell r="G1193" t="str">
            <v>EUR</v>
          </cell>
          <cell r="H1193" t="e">
            <v>#VALUE!</v>
          </cell>
          <cell r="I1193" t="str">
            <v>STAPLEREFL</v>
          </cell>
        </row>
        <row r="1194">
          <cell r="D1194">
            <v>207866</v>
          </cell>
          <cell r="E1194" t="str">
            <v>EUR</v>
          </cell>
          <cell r="F1194">
            <v>29.36</v>
          </cell>
          <cell r="G1194" t="e">
            <v>#N/A</v>
          </cell>
          <cell r="H1194" t="e">
            <v>#N/A</v>
          </cell>
          <cell r="I1194" t="str">
            <v>STAPLETYPEB</v>
          </cell>
        </row>
        <row r="1195">
          <cell r="D1195">
            <v>208171</v>
          </cell>
          <cell r="E1195" t="str">
            <v>EUR</v>
          </cell>
          <cell r="F1195">
            <v>22.06</v>
          </cell>
          <cell r="G1195" t="str">
            <v>EUR</v>
          </cell>
          <cell r="H1195" t="e">
            <v>#VALUE!</v>
          </cell>
          <cell r="I1195" t="str">
            <v>STAPLETYPEC</v>
          </cell>
        </row>
        <row r="1196">
          <cell r="D1196">
            <v>208532</v>
          </cell>
          <cell r="E1196" t="str">
            <v>EUR</v>
          </cell>
          <cell r="F1196">
            <v>17.64</v>
          </cell>
          <cell r="G1196" t="str">
            <v>EUR</v>
          </cell>
          <cell r="H1196" t="e">
            <v>#VALUE!</v>
          </cell>
          <cell r="I1196" t="str">
            <v>STAPLETYPED</v>
          </cell>
        </row>
        <row r="1197">
          <cell r="D1197">
            <v>317927</v>
          </cell>
          <cell r="E1197" t="str">
            <v>EUR</v>
          </cell>
          <cell r="F1197">
            <v>16.03</v>
          </cell>
          <cell r="G1197" t="str">
            <v>EUR</v>
          </cell>
          <cell r="H1197" t="e">
            <v>#VALUE!</v>
          </cell>
          <cell r="I1197" t="str">
            <v>STAPLETYPEE</v>
          </cell>
        </row>
        <row r="1198">
          <cell r="D1198">
            <v>209307</v>
          </cell>
          <cell r="E1198" t="str">
            <v>EUR</v>
          </cell>
          <cell r="F1198">
            <v>24.08</v>
          </cell>
          <cell r="G1198" t="str">
            <v>EUR</v>
          </cell>
          <cell r="H1198" t="e">
            <v>#VALUE!</v>
          </cell>
          <cell r="I1198" t="str">
            <v>STAPLETYPEF</v>
          </cell>
        </row>
        <row r="1199">
          <cell r="D1199">
            <v>410133</v>
          </cell>
          <cell r="E1199" t="str">
            <v>EUR</v>
          </cell>
          <cell r="F1199">
            <v>24.08</v>
          </cell>
          <cell r="G1199" t="str">
            <v>EUR</v>
          </cell>
          <cell r="H1199" t="e">
            <v>#VALUE!</v>
          </cell>
          <cell r="I1199" t="str">
            <v>STAPLETYPEG</v>
          </cell>
        </row>
        <row r="1200">
          <cell r="D1200">
            <v>410508</v>
          </cell>
          <cell r="E1200" t="str">
            <v>EUR</v>
          </cell>
          <cell r="F1200">
            <v>25.55</v>
          </cell>
          <cell r="G1200" t="str">
            <v>EUR</v>
          </cell>
          <cell r="H1200" t="e">
            <v>#VALUE!</v>
          </cell>
          <cell r="I1200" t="str">
            <v>STAPLETYPEH</v>
          </cell>
        </row>
        <row r="1201">
          <cell r="D1201">
            <v>410597</v>
          </cell>
          <cell r="E1201" t="str">
            <v>EUR</v>
          </cell>
          <cell r="F1201">
            <v>29.56</v>
          </cell>
          <cell r="G1201" t="str">
            <v>EUR</v>
          </cell>
          <cell r="H1201" t="e">
            <v>#VALUE!</v>
          </cell>
          <cell r="I1201" t="str">
            <v>STAPLETYPEJ</v>
          </cell>
        </row>
        <row r="1202">
          <cell r="D1202">
            <v>410801</v>
          </cell>
          <cell r="E1202" t="str">
            <v>EUR</v>
          </cell>
          <cell r="F1202">
            <v>15.7</v>
          </cell>
          <cell r="G1202" t="str">
            <v>EUR</v>
          </cell>
          <cell r="H1202" t="e">
            <v>#VALUE!</v>
          </cell>
          <cell r="I1202" t="str">
            <v>STAPLETYPEK</v>
          </cell>
        </row>
        <row r="1203">
          <cell r="D1203">
            <v>411240</v>
          </cell>
          <cell r="E1203" t="str">
            <v>EUR</v>
          </cell>
          <cell r="F1203">
            <v>11.82</v>
          </cell>
          <cell r="G1203" t="str">
            <v>EUR</v>
          </cell>
          <cell r="H1203" t="e">
            <v>#VALUE!</v>
          </cell>
          <cell r="I1203" t="str">
            <v>STAPLETYPEL</v>
          </cell>
        </row>
        <row r="1204">
          <cell r="D1204">
            <v>922479</v>
          </cell>
          <cell r="E1204" t="str">
            <v>EUR</v>
          </cell>
          <cell r="F1204">
            <v>36.880000000000003</v>
          </cell>
          <cell r="G1204" t="e">
            <v>#N/A</v>
          </cell>
          <cell r="H1204" t="e">
            <v>#N/A</v>
          </cell>
          <cell r="I1204" t="str">
            <v>STAPLE85SWE</v>
          </cell>
        </row>
        <row r="1205">
          <cell r="D1205">
            <v>923978</v>
          </cell>
          <cell r="E1205" t="str">
            <v>EUR</v>
          </cell>
          <cell r="F1205">
            <v>107.99</v>
          </cell>
          <cell r="G1205" t="e">
            <v>#N/A</v>
          </cell>
          <cell r="H1205" t="e">
            <v>#N/A</v>
          </cell>
          <cell r="I1205" t="str">
            <v>TONAP1610USA</v>
          </cell>
        </row>
        <row r="1206">
          <cell r="D1206">
            <v>923978</v>
          </cell>
          <cell r="E1206" t="str">
            <v>EUR</v>
          </cell>
          <cell r="F1206">
            <v>107.99</v>
          </cell>
          <cell r="G1206" t="e">
            <v>#N/A</v>
          </cell>
          <cell r="H1206" t="e">
            <v>#N/A</v>
          </cell>
          <cell r="I1206" t="str">
            <v>TONAP1610USA</v>
          </cell>
        </row>
        <row r="1207">
          <cell r="D1207">
            <v>889341</v>
          </cell>
          <cell r="E1207" t="str">
            <v>EUR</v>
          </cell>
          <cell r="F1207">
            <v>70.180000000000007</v>
          </cell>
          <cell r="G1207" t="str">
            <v>EUR</v>
          </cell>
          <cell r="H1207" t="e">
            <v>#VALUE!</v>
          </cell>
          <cell r="I1207" t="str">
            <v>TONCOLLUN</v>
          </cell>
        </row>
        <row r="1208">
          <cell r="D1208">
            <v>885104</v>
          </cell>
          <cell r="E1208" t="str">
            <v>EUR</v>
          </cell>
          <cell r="F1208">
            <v>65.459999999999994</v>
          </cell>
          <cell r="G1208" t="e">
            <v>#N/A</v>
          </cell>
          <cell r="H1208" t="e">
            <v>#N/A</v>
          </cell>
          <cell r="I1208" t="str">
            <v>TONER10DFRA</v>
          </cell>
        </row>
        <row r="1209">
          <cell r="D1209">
            <v>888037</v>
          </cell>
          <cell r="E1209" t="str">
            <v>EUR</v>
          </cell>
          <cell r="F1209">
            <v>104.94</v>
          </cell>
          <cell r="G1209" t="str">
            <v>EUR</v>
          </cell>
          <cell r="H1209" t="e">
            <v>#VALUE!</v>
          </cell>
          <cell r="I1209" t="str">
            <v>TONER105CYN</v>
          </cell>
        </row>
        <row r="1210">
          <cell r="D1210">
            <v>888036</v>
          </cell>
          <cell r="E1210" t="str">
            <v>EUR</v>
          </cell>
          <cell r="F1210">
            <v>104.94</v>
          </cell>
          <cell r="G1210" t="str">
            <v>EUR</v>
          </cell>
          <cell r="H1210" t="e">
            <v>#VALUE!</v>
          </cell>
          <cell r="I1210" t="str">
            <v>TONER105MAG</v>
          </cell>
        </row>
        <row r="1211">
          <cell r="D1211">
            <v>888035</v>
          </cell>
          <cell r="E1211" t="str">
            <v>EUR</v>
          </cell>
          <cell r="F1211">
            <v>104.94</v>
          </cell>
          <cell r="G1211" t="str">
            <v>EUR</v>
          </cell>
          <cell r="H1211" t="e">
            <v>#VALUE!</v>
          </cell>
          <cell r="I1211" t="str">
            <v>TONER105YLW</v>
          </cell>
        </row>
        <row r="1212">
          <cell r="D1212">
            <v>885109</v>
          </cell>
          <cell r="E1212" t="str">
            <v>EUR</v>
          </cell>
          <cell r="F1212">
            <v>47.4</v>
          </cell>
          <cell r="G1212" t="e">
            <v>#N/A</v>
          </cell>
          <cell r="H1212" t="e">
            <v>#N/A</v>
          </cell>
          <cell r="I1212" t="str">
            <v>TONER20DEFRA</v>
          </cell>
        </row>
        <row r="1213">
          <cell r="D1213">
            <v>888032</v>
          </cell>
          <cell r="E1213" t="str">
            <v>EUR</v>
          </cell>
          <cell r="F1213">
            <v>41.79</v>
          </cell>
          <cell r="G1213" t="str">
            <v>EUR</v>
          </cell>
          <cell r="H1213" t="e">
            <v>#VALUE!</v>
          </cell>
          <cell r="I1213" t="str">
            <v>TONER205BLA</v>
          </cell>
        </row>
        <row r="1214">
          <cell r="D1214">
            <v>887849</v>
          </cell>
          <cell r="E1214" t="str">
            <v>EUR</v>
          </cell>
          <cell r="F1214">
            <v>75.05</v>
          </cell>
          <cell r="G1214" t="str">
            <v>EUR</v>
          </cell>
          <cell r="H1214" t="e">
            <v>#VALUE!</v>
          </cell>
          <cell r="I1214" t="str">
            <v>TONTYPEHCYN</v>
          </cell>
        </row>
        <row r="1215">
          <cell r="D1215">
            <v>887848</v>
          </cell>
          <cell r="E1215" t="str">
            <v>EUR</v>
          </cell>
          <cell r="F1215">
            <v>75.05</v>
          </cell>
          <cell r="G1215" t="str">
            <v>EUR</v>
          </cell>
          <cell r="H1215" t="e">
            <v>#VALUE!</v>
          </cell>
          <cell r="I1215" t="str">
            <v>TONTYPEHMAG</v>
          </cell>
        </row>
        <row r="1216">
          <cell r="D1216">
            <v>887845</v>
          </cell>
          <cell r="E1216" t="str">
            <v>EUR</v>
          </cell>
          <cell r="F1216">
            <v>79.05</v>
          </cell>
          <cell r="G1216" t="str">
            <v>EUR</v>
          </cell>
          <cell r="H1216" t="e">
            <v>#VALUE!</v>
          </cell>
          <cell r="I1216" t="str">
            <v>TONTYPEHXBLA</v>
          </cell>
        </row>
        <row r="1217">
          <cell r="D1217">
            <v>887847</v>
          </cell>
          <cell r="E1217" t="str">
            <v>EUR</v>
          </cell>
          <cell r="F1217">
            <v>75.05</v>
          </cell>
          <cell r="G1217" t="str">
            <v>EUR</v>
          </cell>
          <cell r="H1217" t="e">
            <v>#VALUE!</v>
          </cell>
          <cell r="I1217" t="str">
            <v>TONTYPEHYLW</v>
          </cell>
        </row>
        <row r="1218">
          <cell r="D1218">
            <v>887813</v>
          </cell>
          <cell r="E1218" t="str">
            <v>EUR</v>
          </cell>
          <cell r="F1218">
            <v>86.89</v>
          </cell>
          <cell r="G1218" t="str">
            <v>EUR</v>
          </cell>
          <cell r="H1218" t="e">
            <v>#VALUE!</v>
          </cell>
          <cell r="I1218" t="str">
            <v>TONTYPEJBLA</v>
          </cell>
        </row>
        <row r="1219">
          <cell r="D1219">
            <v>887816</v>
          </cell>
          <cell r="E1219" t="str">
            <v>EUR</v>
          </cell>
          <cell r="F1219">
            <v>96.57</v>
          </cell>
          <cell r="G1219" t="str">
            <v>EUR</v>
          </cell>
          <cell r="H1219" t="e">
            <v>#VALUE!</v>
          </cell>
          <cell r="I1219" t="str">
            <v>TONTYPEJCYN</v>
          </cell>
        </row>
        <row r="1220">
          <cell r="D1220">
            <v>887815</v>
          </cell>
          <cell r="E1220" t="str">
            <v>EUR</v>
          </cell>
          <cell r="F1220">
            <v>96.57</v>
          </cell>
          <cell r="G1220" t="str">
            <v>EUR</v>
          </cell>
          <cell r="H1220" t="e">
            <v>#VALUE!</v>
          </cell>
          <cell r="I1220" t="str">
            <v>TONTYPEJMAG</v>
          </cell>
        </row>
        <row r="1221">
          <cell r="D1221">
            <v>887814</v>
          </cell>
          <cell r="E1221" t="str">
            <v>EUR</v>
          </cell>
          <cell r="F1221">
            <v>96.57</v>
          </cell>
          <cell r="G1221" t="str">
            <v>EUR</v>
          </cell>
          <cell r="H1221" t="e">
            <v>#VALUE!</v>
          </cell>
          <cell r="I1221" t="str">
            <v>TONTYPEJYLW</v>
          </cell>
        </row>
        <row r="1222">
          <cell r="D1222">
            <v>887914</v>
          </cell>
          <cell r="E1222" t="str">
            <v>EUR</v>
          </cell>
          <cell r="F1222">
            <v>49.16</v>
          </cell>
          <cell r="G1222" t="str">
            <v>EUR</v>
          </cell>
          <cell r="H1222" t="e">
            <v>#VALUE!</v>
          </cell>
          <cell r="I1222" t="str">
            <v>TONTYPEK1BLA</v>
          </cell>
        </row>
        <row r="1223">
          <cell r="D1223">
            <v>887933</v>
          </cell>
          <cell r="E1223" t="str">
            <v>EUR</v>
          </cell>
          <cell r="F1223">
            <v>125.61</v>
          </cell>
          <cell r="G1223" t="str">
            <v>EUR</v>
          </cell>
          <cell r="H1223" t="e">
            <v>#VALUE!</v>
          </cell>
          <cell r="I1223" t="str">
            <v>TONTYPEK1CYN</v>
          </cell>
        </row>
        <row r="1224">
          <cell r="D1224">
            <v>887927</v>
          </cell>
          <cell r="E1224" t="str">
            <v>EUR</v>
          </cell>
          <cell r="F1224">
            <v>125.61</v>
          </cell>
          <cell r="G1224" t="str">
            <v>EUR</v>
          </cell>
          <cell r="H1224" t="e">
            <v>#VALUE!</v>
          </cell>
          <cell r="I1224" t="str">
            <v>TONTYPEK1MAG</v>
          </cell>
        </row>
        <row r="1225">
          <cell r="D1225">
            <v>887921</v>
          </cell>
          <cell r="E1225" t="str">
            <v>EUR</v>
          </cell>
          <cell r="F1225">
            <v>125.61</v>
          </cell>
          <cell r="G1225" t="str">
            <v>EUR</v>
          </cell>
          <cell r="H1225" t="e">
            <v>#VALUE!</v>
          </cell>
          <cell r="I1225" t="str">
            <v>TONTYPEK1YLW</v>
          </cell>
        </row>
        <row r="1226">
          <cell r="D1226">
            <v>887890</v>
          </cell>
          <cell r="E1226" t="str">
            <v>EUR</v>
          </cell>
          <cell r="F1226">
            <v>131.54</v>
          </cell>
          <cell r="G1226" t="str">
            <v>EUR</v>
          </cell>
          <cell r="H1226" t="e">
            <v>#VALUE!</v>
          </cell>
          <cell r="I1226" t="str">
            <v>TONTYPEL1BLA</v>
          </cell>
        </row>
        <row r="1227">
          <cell r="D1227">
            <v>887908</v>
          </cell>
          <cell r="E1227" t="str">
            <v>EUR</v>
          </cell>
          <cell r="F1227">
            <v>149.5</v>
          </cell>
          <cell r="G1227" t="str">
            <v>EUR</v>
          </cell>
          <cell r="H1227" t="e">
            <v>#VALUE!</v>
          </cell>
          <cell r="I1227" t="str">
            <v>TONTYPEL1CYN</v>
          </cell>
        </row>
        <row r="1228">
          <cell r="D1228">
            <v>887902</v>
          </cell>
          <cell r="E1228" t="str">
            <v>EUR</v>
          </cell>
          <cell r="F1228">
            <v>149.5</v>
          </cell>
          <cell r="G1228" t="str">
            <v>EUR</v>
          </cell>
          <cell r="H1228" t="e">
            <v>#VALUE!</v>
          </cell>
          <cell r="I1228" t="str">
            <v>TONTYPEL1MAG</v>
          </cell>
        </row>
        <row r="1229">
          <cell r="D1229">
            <v>887896</v>
          </cell>
          <cell r="E1229" t="str">
            <v>EUR</v>
          </cell>
          <cell r="F1229">
            <v>149.5</v>
          </cell>
          <cell r="G1229" t="str">
            <v>EUR</v>
          </cell>
          <cell r="H1229" t="e">
            <v>#VALUE!</v>
          </cell>
          <cell r="I1229" t="str">
            <v>TONTYPEL1YLW</v>
          </cell>
        </row>
        <row r="1230">
          <cell r="D1230">
            <v>885165</v>
          </cell>
          <cell r="E1230" t="str">
            <v>EUR</v>
          </cell>
          <cell r="F1230">
            <v>53.65</v>
          </cell>
          <cell r="G1230" t="e">
            <v>#N/A</v>
          </cell>
          <cell r="H1230" t="e">
            <v>#N/A</v>
          </cell>
          <cell r="I1230" t="str">
            <v>TONTYPE1100W</v>
          </cell>
        </row>
        <row r="1231">
          <cell r="D1231">
            <v>410303</v>
          </cell>
          <cell r="E1231" t="str">
            <v>EUR</v>
          </cell>
          <cell r="F1231">
            <v>73.39</v>
          </cell>
          <cell r="G1231" t="str">
            <v>EUR</v>
          </cell>
          <cell r="H1231" t="e">
            <v>#VALUE!</v>
          </cell>
          <cell r="I1231" t="str">
            <v>TONTYPE185</v>
          </cell>
        </row>
        <row r="1232">
          <cell r="D1232">
            <v>394002</v>
          </cell>
          <cell r="E1232" t="str">
            <v>EUR</v>
          </cell>
          <cell r="F1232">
            <v>9.3800000000000008</v>
          </cell>
          <cell r="G1232" t="e">
            <v>#N/A</v>
          </cell>
          <cell r="H1232" t="e">
            <v>#N/A</v>
          </cell>
          <cell r="I1232" t="str">
            <v>TON6000P02CH</v>
          </cell>
        </row>
        <row r="1233">
          <cell r="D1233">
            <v>885195</v>
          </cell>
          <cell r="E1233" t="str">
            <v>EUR</v>
          </cell>
          <cell r="F1233">
            <v>141.65</v>
          </cell>
          <cell r="G1233" t="e">
            <v>#N/A</v>
          </cell>
          <cell r="H1233" t="e">
            <v>#N/A</v>
          </cell>
          <cell r="I1233" t="str">
            <v>TON6205FRA</v>
          </cell>
        </row>
        <row r="1234">
          <cell r="D1234">
            <v>401092</v>
          </cell>
          <cell r="E1234" t="str">
            <v>EUR</v>
          </cell>
          <cell r="F1234">
            <v>43.4</v>
          </cell>
          <cell r="G1234" t="e">
            <v>#N/A</v>
          </cell>
          <cell r="H1234" t="e">
            <v>#N/A</v>
          </cell>
          <cell r="I1234" t="str">
            <v>1120DTONER</v>
          </cell>
        </row>
        <row r="1235">
          <cell r="D1235">
            <v>401129</v>
          </cell>
          <cell r="E1235" t="str">
            <v>EUR</v>
          </cell>
          <cell r="F1235">
            <v>56.73</v>
          </cell>
          <cell r="G1235" t="e">
            <v>#N/A</v>
          </cell>
          <cell r="H1235" t="e">
            <v>#N/A</v>
          </cell>
          <cell r="I1235" t="str">
            <v>1125DTONUK</v>
          </cell>
        </row>
        <row r="1236">
          <cell r="D1236">
            <v>888029</v>
          </cell>
          <cell r="E1236" t="str">
            <v>EUR</v>
          </cell>
          <cell r="F1236">
            <v>65.010000000000005</v>
          </cell>
          <cell r="G1236" t="str">
            <v>EUR</v>
          </cell>
          <cell r="H1236" t="e">
            <v>#VALUE!</v>
          </cell>
          <cell r="I1236" t="str">
            <v>1160WTONER</v>
          </cell>
        </row>
        <row r="1237">
          <cell r="D1237">
            <v>885122</v>
          </cell>
          <cell r="E1237" t="str">
            <v>EUR</v>
          </cell>
          <cell r="F1237">
            <v>45.24</v>
          </cell>
          <cell r="G1237" t="e">
            <v>#N/A</v>
          </cell>
          <cell r="H1237" t="e">
            <v>#N/A</v>
          </cell>
          <cell r="I1237" t="str">
            <v>1205TONERUK</v>
          </cell>
        </row>
        <row r="1238">
          <cell r="D1238">
            <v>339588</v>
          </cell>
          <cell r="E1238" t="str">
            <v>EUR</v>
          </cell>
          <cell r="F1238">
            <v>150.01</v>
          </cell>
          <cell r="G1238" t="str">
            <v>EUR</v>
          </cell>
          <cell r="H1238" t="e">
            <v>#VALUE!</v>
          </cell>
          <cell r="I1238" t="str">
            <v>1210DTONER</v>
          </cell>
        </row>
        <row r="1239">
          <cell r="D1239">
            <v>887754</v>
          </cell>
          <cell r="E1239" t="str">
            <v>EUR</v>
          </cell>
          <cell r="F1239">
            <v>39.21</v>
          </cell>
          <cell r="G1239" t="e">
            <v>#N/A</v>
          </cell>
          <cell r="H1239" t="e">
            <v>#N/A</v>
          </cell>
          <cell r="I1239" t="str">
            <v>1215TONER</v>
          </cell>
        </row>
        <row r="1240">
          <cell r="D1240">
            <v>888078</v>
          </cell>
          <cell r="E1240" t="str">
            <v>EUR</v>
          </cell>
          <cell r="F1240">
            <v>39.21</v>
          </cell>
          <cell r="G1240" t="str">
            <v>EUR</v>
          </cell>
          <cell r="H1240" t="e">
            <v>#VALUE!</v>
          </cell>
          <cell r="I1240" t="str">
            <v>1215TONERKOR</v>
          </cell>
        </row>
        <row r="1241">
          <cell r="D1241">
            <v>888087</v>
          </cell>
          <cell r="E1241" t="str">
            <v>EUR</v>
          </cell>
          <cell r="F1241">
            <v>13.03</v>
          </cell>
          <cell r="G1241" t="str">
            <v>EUR</v>
          </cell>
          <cell r="H1241" t="e">
            <v>#VALUE!</v>
          </cell>
          <cell r="I1241" t="str">
            <v>1220DTONER</v>
          </cell>
        </row>
        <row r="1242">
          <cell r="D1242">
            <v>885258</v>
          </cell>
          <cell r="E1242" t="str">
            <v>EUR</v>
          </cell>
          <cell r="F1242">
            <v>9.33</v>
          </cell>
          <cell r="G1242" t="e">
            <v>#N/A</v>
          </cell>
          <cell r="H1242" t="e">
            <v>#N/A</v>
          </cell>
          <cell r="I1242" t="str">
            <v>1250DTONER</v>
          </cell>
        </row>
        <row r="1243">
          <cell r="D1243">
            <v>411073</v>
          </cell>
          <cell r="E1243" t="str">
            <v>EUR</v>
          </cell>
          <cell r="F1243">
            <v>45.56</v>
          </cell>
          <cell r="G1243" t="str">
            <v>EUR</v>
          </cell>
          <cell r="H1243" t="e">
            <v>#VALUE!</v>
          </cell>
          <cell r="I1243" t="str">
            <v>1255DTONCHN</v>
          </cell>
        </row>
        <row r="1244">
          <cell r="D1244">
            <v>887661</v>
          </cell>
          <cell r="E1244" t="str">
            <v>EUR</v>
          </cell>
          <cell r="F1244">
            <v>25.3</v>
          </cell>
          <cell r="G1244" t="e">
            <v>#N/A</v>
          </cell>
          <cell r="H1244" t="e">
            <v>#N/A</v>
          </cell>
          <cell r="I1244" t="str">
            <v>2050TONBLAUK</v>
          </cell>
        </row>
        <row r="1245">
          <cell r="D1245">
            <v>889309</v>
          </cell>
          <cell r="E1245" t="str">
            <v>EUR</v>
          </cell>
          <cell r="F1245">
            <v>50.91</v>
          </cell>
          <cell r="G1245" t="e">
            <v>#N/A</v>
          </cell>
          <cell r="H1245" t="e">
            <v>#N/A</v>
          </cell>
          <cell r="I1245" t="str">
            <v>2050TONERBLU</v>
          </cell>
        </row>
        <row r="1246">
          <cell r="D1246">
            <v>889313</v>
          </cell>
          <cell r="E1246" t="str">
            <v>EUR</v>
          </cell>
          <cell r="F1246">
            <v>50.91</v>
          </cell>
          <cell r="G1246" t="e">
            <v>#N/A</v>
          </cell>
          <cell r="H1246" t="e">
            <v>#N/A</v>
          </cell>
          <cell r="I1246" t="str">
            <v>2050TONERGRE</v>
          </cell>
        </row>
        <row r="1247">
          <cell r="D1247">
            <v>889873</v>
          </cell>
          <cell r="E1247" t="str">
            <v>EUR</v>
          </cell>
          <cell r="F1247">
            <v>166.78</v>
          </cell>
          <cell r="G1247" t="str">
            <v>EUR</v>
          </cell>
          <cell r="H1247" t="e">
            <v>#VALUE!</v>
          </cell>
          <cell r="I1247" t="str">
            <v>2100DTONER</v>
          </cell>
        </row>
        <row r="1248">
          <cell r="D1248">
            <v>889776</v>
          </cell>
          <cell r="E1248" t="str">
            <v>EUR</v>
          </cell>
          <cell r="F1248">
            <v>195.44</v>
          </cell>
          <cell r="G1248" t="str">
            <v>EUR</v>
          </cell>
          <cell r="H1248" t="e">
            <v>#VALUE!</v>
          </cell>
          <cell r="I1248" t="str">
            <v>2200EXTONER</v>
          </cell>
        </row>
        <row r="1249">
          <cell r="D1249">
            <v>889614</v>
          </cell>
          <cell r="E1249" t="str">
            <v>EUR</v>
          </cell>
          <cell r="F1249">
            <v>50.52</v>
          </cell>
          <cell r="G1249" t="str">
            <v>EUR</v>
          </cell>
          <cell r="H1249" t="e">
            <v>#VALUE!</v>
          </cell>
          <cell r="I1249" t="str">
            <v>2205DTONER</v>
          </cell>
        </row>
        <row r="1250">
          <cell r="D1250">
            <v>887977</v>
          </cell>
          <cell r="E1250" t="str">
            <v>EUR</v>
          </cell>
          <cell r="F1250">
            <v>75.930000000000007</v>
          </cell>
          <cell r="G1250" t="e">
            <v>#N/A</v>
          </cell>
          <cell r="H1250" t="e">
            <v>#N/A</v>
          </cell>
          <cell r="I1250" t="str">
            <v>2210DTONER</v>
          </cell>
        </row>
        <row r="1251">
          <cell r="D1251">
            <v>885229</v>
          </cell>
          <cell r="E1251" t="str">
            <v>EUR</v>
          </cell>
          <cell r="F1251">
            <v>73.7</v>
          </cell>
          <cell r="G1251" t="e">
            <v>#N/A</v>
          </cell>
          <cell r="H1251" t="e">
            <v>#N/A</v>
          </cell>
          <cell r="I1251" t="str">
            <v>2210DTONER2</v>
          </cell>
        </row>
        <row r="1252">
          <cell r="D1252">
            <v>885266</v>
          </cell>
          <cell r="E1252" t="str">
            <v>EUR</v>
          </cell>
          <cell r="F1252">
            <v>12.21</v>
          </cell>
          <cell r="G1252" t="e">
            <v>#N/A</v>
          </cell>
          <cell r="H1252" t="e">
            <v>#N/A</v>
          </cell>
          <cell r="I1252" t="str">
            <v>2220DTONFRA</v>
          </cell>
        </row>
        <row r="1253">
          <cell r="D1253">
            <v>887620</v>
          </cell>
          <cell r="E1253" t="str">
            <v>EUR</v>
          </cell>
          <cell r="F1253">
            <v>28.01</v>
          </cell>
          <cell r="G1253" t="e">
            <v>#N/A</v>
          </cell>
          <cell r="H1253" t="e">
            <v>#N/A</v>
          </cell>
          <cell r="I1253" t="str">
            <v>3000TONERUK</v>
          </cell>
        </row>
        <row r="1254">
          <cell r="D1254">
            <v>889268</v>
          </cell>
          <cell r="E1254" t="str">
            <v>EUR</v>
          </cell>
          <cell r="F1254">
            <v>34.42</v>
          </cell>
          <cell r="G1254" t="str">
            <v>EUR</v>
          </cell>
          <cell r="H1254" t="e">
            <v>#VALUE!</v>
          </cell>
          <cell r="I1254" t="str">
            <v>310DEV</v>
          </cell>
        </row>
        <row r="1255">
          <cell r="D1255">
            <v>887612</v>
          </cell>
          <cell r="E1255" t="str">
            <v>EUR</v>
          </cell>
          <cell r="F1255">
            <v>18.059999999999999</v>
          </cell>
          <cell r="G1255" t="e">
            <v>#N/A</v>
          </cell>
          <cell r="H1255" t="e">
            <v>#N/A</v>
          </cell>
          <cell r="I1255" t="str">
            <v>310TONERUK</v>
          </cell>
        </row>
        <row r="1256">
          <cell r="D1256">
            <v>887681</v>
          </cell>
          <cell r="E1256" t="str">
            <v>EUR</v>
          </cell>
          <cell r="F1256">
            <v>18.059999999999999</v>
          </cell>
          <cell r="G1256" t="e">
            <v>#N/A</v>
          </cell>
          <cell r="H1256" t="e">
            <v>#N/A</v>
          </cell>
          <cell r="I1256" t="str">
            <v>320TONERUK</v>
          </cell>
        </row>
        <row r="1257">
          <cell r="D1257">
            <v>885137</v>
          </cell>
          <cell r="E1257" t="str">
            <v>EUR</v>
          </cell>
          <cell r="F1257">
            <v>97.05</v>
          </cell>
          <cell r="G1257" t="e">
            <v>#N/A</v>
          </cell>
          <cell r="H1257" t="e">
            <v>#N/A</v>
          </cell>
          <cell r="I1257" t="str">
            <v>3200DTONFRA</v>
          </cell>
        </row>
        <row r="1258">
          <cell r="D1258">
            <v>885180</v>
          </cell>
          <cell r="E1258" t="str">
            <v>EUR</v>
          </cell>
          <cell r="F1258">
            <v>97.05</v>
          </cell>
          <cell r="G1258" t="e">
            <v>#N/A</v>
          </cell>
          <cell r="H1258" t="e">
            <v>#N/A</v>
          </cell>
          <cell r="I1258" t="str">
            <v>3200DTONUK</v>
          </cell>
        </row>
        <row r="1259">
          <cell r="D1259">
            <v>888063</v>
          </cell>
          <cell r="E1259" t="str">
            <v>EUR</v>
          </cell>
          <cell r="F1259">
            <v>21.94</v>
          </cell>
          <cell r="G1259" t="e">
            <v>#N/A</v>
          </cell>
          <cell r="H1259" t="e">
            <v>#N/A</v>
          </cell>
          <cell r="I1259" t="str">
            <v>3205DTONER</v>
          </cell>
        </row>
        <row r="1260">
          <cell r="D1260">
            <v>885251</v>
          </cell>
          <cell r="E1260" t="str">
            <v>EUR</v>
          </cell>
          <cell r="F1260">
            <v>20.74</v>
          </cell>
          <cell r="G1260" t="e">
            <v>#N/A</v>
          </cell>
          <cell r="H1260" t="e">
            <v>#N/A</v>
          </cell>
          <cell r="I1260" t="str">
            <v>3205DTONFRA</v>
          </cell>
        </row>
        <row r="1261">
          <cell r="D1261">
            <v>889415</v>
          </cell>
          <cell r="E1261" t="str">
            <v>EUR</v>
          </cell>
          <cell r="F1261">
            <v>35.96</v>
          </cell>
          <cell r="G1261" t="e">
            <v>#N/A</v>
          </cell>
          <cell r="H1261" t="e">
            <v>#N/A</v>
          </cell>
          <cell r="I1261" t="str">
            <v>3300DEVUSA</v>
          </cell>
        </row>
        <row r="1262">
          <cell r="D1262">
            <v>889411</v>
          </cell>
          <cell r="E1262" t="str">
            <v>EUR</v>
          </cell>
          <cell r="F1262">
            <v>43.24</v>
          </cell>
          <cell r="G1262" t="e">
            <v>#N/A</v>
          </cell>
          <cell r="H1262" t="e">
            <v>#N/A</v>
          </cell>
          <cell r="I1262" t="str">
            <v>3300TONERUK</v>
          </cell>
        </row>
        <row r="1263">
          <cell r="D1263">
            <v>887133</v>
          </cell>
          <cell r="E1263" t="str">
            <v>EUR</v>
          </cell>
          <cell r="F1263">
            <v>51.95</v>
          </cell>
          <cell r="G1263" t="e">
            <v>#N/A</v>
          </cell>
          <cell r="H1263" t="e">
            <v>#N/A</v>
          </cell>
          <cell r="I1263" t="str">
            <v>4000DEVUSA</v>
          </cell>
        </row>
        <row r="1264">
          <cell r="D1264">
            <v>887621</v>
          </cell>
          <cell r="E1264" t="str">
            <v>EUR</v>
          </cell>
          <cell r="F1264">
            <v>36.85</v>
          </cell>
          <cell r="G1264" t="e">
            <v>#N/A</v>
          </cell>
          <cell r="H1264" t="e">
            <v>#N/A</v>
          </cell>
          <cell r="I1264" t="str">
            <v>4000TONERUK</v>
          </cell>
        </row>
        <row r="1265">
          <cell r="D1265">
            <v>887564</v>
          </cell>
          <cell r="E1265" t="str">
            <v>EUR</v>
          </cell>
          <cell r="F1265">
            <v>32.520000000000003</v>
          </cell>
          <cell r="G1265" t="str">
            <v>EUR</v>
          </cell>
          <cell r="H1265" t="e">
            <v>#VALUE!</v>
          </cell>
          <cell r="I1265" t="str">
            <v>4418DEVBLA</v>
          </cell>
        </row>
        <row r="1266">
          <cell r="D1266">
            <v>887566</v>
          </cell>
          <cell r="E1266" t="str">
            <v>EUR</v>
          </cell>
          <cell r="F1266">
            <v>67.45</v>
          </cell>
          <cell r="G1266" t="str">
            <v>EUR</v>
          </cell>
          <cell r="H1266" t="e">
            <v>#VALUE!</v>
          </cell>
          <cell r="I1266" t="str">
            <v>4418DEVBLU</v>
          </cell>
        </row>
        <row r="1267">
          <cell r="D1267">
            <v>887567</v>
          </cell>
          <cell r="E1267" t="str">
            <v>EUR</v>
          </cell>
          <cell r="F1267">
            <v>67.45</v>
          </cell>
          <cell r="G1267" t="str">
            <v>EUR</v>
          </cell>
          <cell r="H1267" t="e">
            <v>#VALUE!</v>
          </cell>
          <cell r="I1267" t="str">
            <v>4418DEVGRE</v>
          </cell>
        </row>
        <row r="1268">
          <cell r="D1268">
            <v>887565</v>
          </cell>
          <cell r="E1268" t="str">
            <v>EUR</v>
          </cell>
          <cell r="F1268">
            <v>64.11</v>
          </cell>
          <cell r="G1268" t="str">
            <v>EUR</v>
          </cell>
          <cell r="H1268" t="e">
            <v>#VALUE!</v>
          </cell>
          <cell r="I1268" t="str">
            <v>4418DEVRED</v>
          </cell>
        </row>
        <row r="1269">
          <cell r="D1269">
            <v>887610</v>
          </cell>
          <cell r="E1269" t="str">
            <v>EUR</v>
          </cell>
          <cell r="F1269">
            <v>37.840000000000003</v>
          </cell>
          <cell r="G1269" t="e">
            <v>#N/A</v>
          </cell>
          <cell r="H1269" t="e">
            <v>#N/A</v>
          </cell>
          <cell r="I1269" t="str">
            <v>4418TONBLAUK</v>
          </cell>
        </row>
        <row r="1270">
          <cell r="D1270">
            <v>887530</v>
          </cell>
          <cell r="E1270" t="str">
            <v>EUR</v>
          </cell>
          <cell r="F1270">
            <v>45.58</v>
          </cell>
          <cell r="G1270" t="str">
            <v>EUR</v>
          </cell>
          <cell r="H1270" t="e">
            <v>#VALUE!</v>
          </cell>
          <cell r="I1270" t="str">
            <v>4418TONERBLU</v>
          </cell>
        </row>
        <row r="1271">
          <cell r="D1271">
            <v>887533</v>
          </cell>
          <cell r="E1271" t="str">
            <v>EUR</v>
          </cell>
          <cell r="F1271">
            <v>45.58</v>
          </cell>
          <cell r="G1271" t="str">
            <v>EUR</v>
          </cell>
          <cell r="H1271" t="e">
            <v>#VALUE!</v>
          </cell>
          <cell r="I1271" t="str">
            <v>4418TONERGRE</v>
          </cell>
        </row>
        <row r="1272">
          <cell r="D1272">
            <v>887527</v>
          </cell>
          <cell r="E1272" t="str">
            <v>EUR</v>
          </cell>
          <cell r="F1272">
            <v>45.58</v>
          </cell>
          <cell r="G1272" t="str">
            <v>EUR</v>
          </cell>
          <cell r="H1272" t="e">
            <v>#VALUE!</v>
          </cell>
          <cell r="I1272" t="str">
            <v>4418TONERRED</v>
          </cell>
        </row>
        <row r="1273">
          <cell r="D1273">
            <v>887459</v>
          </cell>
          <cell r="E1273" t="str">
            <v>EUR</v>
          </cell>
          <cell r="F1273">
            <v>136.13</v>
          </cell>
          <cell r="G1273" t="str">
            <v>EUR</v>
          </cell>
          <cell r="H1273" t="e">
            <v>#VALUE!</v>
          </cell>
          <cell r="I1273" t="str">
            <v>4460TONERBLA</v>
          </cell>
        </row>
        <row r="1274">
          <cell r="D1274">
            <v>885103</v>
          </cell>
          <cell r="E1274" t="str">
            <v>EUR</v>
          </cell>
          <cell r="F1274">
            <v>31.21</v>
          </cell>
          <cell r="G1274" t="e">
            <v>#N/A</v>
          </cell>
          <cell r="H1274" t="e">
            <v>#N/A</v>
          </cell>
          <cell r="I1274" t="str">
            <v>450TONERFRA</v>
          </cell>
        </row>
        <row r="1275">
          <cell r="D1275">
            <v>889490</v>
          </cell>
          <cell r="E1275" t="str">
            <v>EUR</v>
          </cell>
          <cell r="F1275">
            <v>31.21</v>
          </cell>
          <cell r="G1275" t="e">
            <v>#N/A</v>
          </cell>
          <cell r="H1275" t="e">
            <v>#N/A</v>
          </cell>
          <cell r="I1275" t="str">
            <v>450TONERUK</v>
          </cell>
        </row>
        <row r="1276">
          <cell r="D1276">
            <v>887622</v>
          </cell>
          <cell r="E1276" t="str">
            <v>EUR</v>
          </cell>
          <cell r="F1276">
            <v>33.9</v>
          </cell>
          <cell r="G1276" t="e">
            <v>#N/A</v>
          </cell>
          <cell r="H1276" t="e">
            <v>#N/A</v>
          </cell>
          <cell r="I1276" t="str">
            <v>5000TONERUK</v>
          </cell>
        </row>
        <row r="1277">
          <cell r="D1277">
            <v>887655</v>
          </cell>
          <cell r="E1277" t="str">
            <v>EUR</v>
          </cell>
          <cell r="F1277">
            <v>56.5</v>
          </cell>
          <cell r="G1277" t="e">
            <v>#N/A</v>
          </cell>
          <cell r="H1277" t="e">
            <v>#N/A</v>
          </cell>
          <cell r="I1277" t="str">
            <v>5010TONBLUK</v>
          </cell>
        </row>
        <row r="1278">
          <cell r="D1278">
            <v>889292</v>
          </cell>
          <cell r="E1278" t="str">
            <v>EUR</v>
          </cell>
          <cell r="F1278">
            <v>24.9</v>
          </cell>
          <cell r="G1278" t="str">
            <v>EUR</v>
          </cell>
          <cell r="H1278" t="e">
            <v>#VALUE!</v>
          </cell>
          <cell r="I1278" t="str">
            <v>510DEVBLU</v>
          </cell>
        </row>
        <row r="1279">
          <cell r="D1279">
            <v>889289</v>
          </cell>
          <cell r="E1279" t="str">
            <v>EUR</v>
          </cell>
          <cell r="F1279">
            <v>24.9</v>
          </cell>
          <cell r="G1279" t="str">
            <v>EUR</v>
          </cell>
          <cell r="H1279" t="e">
            <v>#VALUE!</v>
          </cell>
          <cell r="I1279" t="str">
            <v>510DEVRED</v>
          </cell>
        </row>
        <row r="1280">
          <cell r="D1280">
            <v>887616</v>
          </cell>
          <cell r="E1280" t="str">
            <v>EUR</v>
          </cell>
          <cell r="F1280">
            <v>37.54</v>
          </cell>
          <cell r="G1280" t="e">
            <v>#N/A</v>
          </cell>
          <cell r="H1280" t="e">
            <v>#N/A</v>
          </cell>
          <cell r="I1280" t="str">
            <v>510TONBLAUK</v>
          </cell>
        </row>
        <row r="1281">
          <cell r="D1281">
            <v>889283</v>
          </cell>
          <cell r="E1281" t="str">
            <v>EUR</v>
          </cell>
          <cell r="F1281">
            <v>44.42</v>
          </cell>
          <cell r="G1281" t="str">
            <v>EUR</v>
          </cell>
          <cell r="H1281" t="e">
            <v>#VALUE!</v>
          </cell>
          <cell r="I1281" t="str">
            <v>510TONERBLU</v>
          </cell>
        </row>
        <row r="1282">
          <cell r="D1282">
            <v>889286</v>
          </cell>
          <cell r="E1282" t="str">
            <v>EUR</v>
          </cell>
          <cell r="F1282">
            <v>44.42</v>
          </cell>
          <cell r="G1282" t="str">
            <v>EUR</v>
          </cell>
          <cell r="H1282" t="e">
            <v>#VALUE!</v>
          </cell>
          <cell r="I1282" t="str">
            <v>510TONERGRE</v>
          </cell>
        </row>
        <row r="1283">
          <cell r="D1283">
            <v>889280</v>
          </cell>
          <cell r="E1283" t="str">
            <v>EUR</v>
          </cell>
          <cell r="F1283">
            <v>44.42</v>
          </cell>
          <cell r="G1283" t="str">
            <v>EUR</v>
          </cell>
          <cell r="H1283" t="e">
            <v>#VALUE!</v>
          </cell>
          <cell r="I1283" t="str">
            <v>510TONERRED</v>
          </cell>
        </row>
        <row r="1284">
          <cell r="D1284">
            <v>887741</v>
          </cell>
          <cell r="E1284" t="str">
            <v>EUR</v>
          </cell>
          <cell r="F1284">
            <v>121</v>
          </cell>
          <cell r="G1284" t="e">
            <v>#N/A</v>
          </cell>
          <cell r="H1284" t="e">
            <v>#N/A</v>
          </cell>
          <cell r="I1284" t="str">
            <v>5200DTONER</v>
          </cell>
        </row>
        <row r="1285">
          <cell r="D1285">
            <v>885190</v>
          </cell>
          <cell r="E1285" t="str">
            <v>EUR</v>
          </cell>
          <cell r="F1285">
            <v>117.3</v>
          </cell>
          <cell r="G1285" t="e">
            <v>#N/A</v>
          </cell>
          <cell r="H1285" t="e">
            <v>#N/A</v>
          </cell>
          <cell r="I1285" t="str">
            <v>5200DTONFRA</v>
          </cell>
        </row>
        <row r="1286">
          <cell r="D1286">
            <v>887995</v>
          </cell>
          <cell r="E1286" t="str">
            <v>EUR</v>
          </cell>
          <cell r="F1286">
            <v>130.72</v>
          </cell>
          <cell r="G1286" t="e">
            <v>#N/A</v>
          </cell>
          <cell r="H1286" t="e">
            <v>#N/A</v>
          </cell>
          <cell r="I1286" t="str">
            <v>5205DTONER</v>
          </cell>
        </row>
        <row r="1287">
          <cell r="D1287">
            <v>885241</v>
          </cell>
          <cell r="E1287" t="str">
            <v>EUR</v>
          </cell>
          <cell r="F1287">
            <v>123.32</v>
          </cell>
          <cell r="G1287" t="e">
            <v>#N/A</v>
          </cell>
          <cell r="H1287" t="e">
            <v>#N/A</v>
          </cell>
          <cell r="I1287" t="str">
            <v>5205DTONER2</v>
          </cell>
        </row>
        <row r="1288">
          <cell r="D1288">
            <v>885102</v>
          </cell>
          <cell r="E1288" t="str">
            <v>EUR</v>
          </cell>
          <cell r="F1288">
            <v>113.22</v>
          </cell>
          <cell r="G1288" t="e">
            <v>#N/A</v>
          </cell>
          <cell r="H1288" t="e">
            <v>#N/A</v>
          </cell>
          <cell r="I1288" t="str">
            <v>610TONERFRA</v>
          </cell>
        </row>
        <row r="1289">
          <cell r="D1289">
            <v>887642</v>
          </cell>
          <cell r="E1289" t="str">
            <v>EUR</v>
          </cell>
          <cell r="F1289">
            <v>113.22</v>
          </cell>
          <cell r="G1289" t="e">
            <v>#N/A</v>
          </cell>
          <cell r="H1289" t="e">
            <v>#N/A</v>
          </cell>
          <cell r="I1289" t="str">
            <v>610TONERUK</v>
          </cell>
        </row>
        <row r="1290">
          <cell r="D1290">
            <v>885274</v>
          </cell>
          <cell r="E1290" t="str">
            <v>EUR</v>
          </cell>
          <cell r="F1290">
            <v>31.58</v>
          </cell>
          <cell r="G1290" t="e">
            <v>#N/A</v>
          </cell>
          <cell r="H1290" t="e">
            <v>#N/A</v>
          </cell>
          <cell r="I1290" t="str">
            <v>6210DTONER</v>
          </cell>
        </row>
        <row r="1291">
          <cell r="D1291">
            <v>887576</v>
          </cell>
          <cell r="E1291" t="str">
            <v>EUR</v>
          </cell>
          <cell r="F1291">
            <v>67.430000000000007</v>
          </cell>
          <cell r="G1291" t="str">
            <v>EUR</v>
          </cell>
          <cell r="H1291" t="e">
            <v>#VALUE!</v>
          </cell>
          <cell r="I1291" t="str">
            <v>670DEV</v>
          </cell>
        </row>
        <row r="1292">
          <cell r="D1292">
            <v>887571</v>
          </cell>
          <cell r="E1292" t="str">
            <v>EUR</v>
          </cell>
          <cell r="F1292">
            <v>47.81</v>
          </cell>
          <cell r="G1292" t="e">
            <v>#N/A</v>
          </cell>
          <cell r="H1292" t="e">
            <v>#N/A</v>
          </cell>
          <cell r="I1292" t="str">
            <v>670TONERUSA</v>
          </cell>
        </row>
        <row r="1293">
          <cell r="D1293">
            <v>887656</v>
          </cell>
          <cell r="E1293" t="str">
            <v>EUR</v>
          </cell>
          <cell r="F1293">
            <v>69.62</v>
          </cell>
          <cell r="G1293" t="e">
            <v>#N/A</v>
          </cell>
          <cell r="H1293" t="e">
            <v>#N/A</v>
          </cell>
          <cell r="I1293" t="str">
            <v>7770TONERUK</v>
          </cell>
        </row>
        <row r="1294">
          <cell r="D1294">
            <v>887447</v>
          </cell>
          <cell r="E1294" t="str">
            <v>EUR</v>
          </cell>
          <cell r="F1294">
            <v>495.57</v>
          </cell>
          <cell r="G1294" t="str">
            <v>EUR</v>
          </cell>
          <cell r="H1294" t="e">
            <v>#VALUE!</v>
          </cell>
          <cell r="I1294" t="str">
            <v>800TONERBLA</v>
          </cell>
        </row>
        <row r="1295">
          <cell r="D1295">
            <v>889553</v>
          </cell>
          <cell r="E1295" t="str">
            <v>EUR</v>
          </cell>
          <cell r="F1295">
            <v>32.01</v>
          </cell>
          <cell r="G1295" t="str">
            <v>EUR</v>
          </cell>
          <cell r="H1295" t="e">
            <v>#VALUE!</v>
          </cell>
          <cell r="I1295" t="str">
            <v>8015DEVBLA</v>
          </cell>
        </row>
        <row r="1296">
          <cell r="D1296">
            <v>889562</v>
          </cell>
          <cell r="E1296" t="str">
            <v>EUR</v>
          </cell>
          <cell r="F1296">
            <v>32.01</v>
          </cell>
          <cell r="G1296" t="str">
            <v>EUR</v>
          </cell>
          <cell r="H1296" t="e">
            <v>#VALUE!</v>
          </cell>
          <cell r="I1296" t="str">
            <v>8015DEVCYN</v>
          </cell>
        </row>
        <row r="1297">
          <cell r="D1297">
            <v>889556</v>
          </cell>
          <cell r="E1297" t="str">
            <v>EUR</v>
          </cell>
          <cell r="F1297">
            <v>32.01</v>
          </cell>
          <cell r="G1297" t="str">
            <v>EUR</v>
          </cell>
          <cell r="H1297" t="e">
            <v>#VALUE!</v>
          </cell>
          <cell r="I1297" t="str">
            <v>8015DEVYLW</v>
          </cell>
        </row>
        <row r="1298">
          <cell r="D1298">
            <v>889541</v>
          </cell>
          <cell r="E1298" t="str">
            <v>EUR</v>
          </cell>
          <cell r="F1298">
            <v>182.98</v>
          </cell>
          <cell r="G1298" t="str">
            <v>EUR</v>
          </cell>
          <cell r="H1298" t="e">
            <v>#VALUE!</v>
          </cell>
          <cell r="I1298" t="str">
            <v>8015TONBLA</v>
          </cell>
        </row>
        <row r="1299">
          <cell r="D1299">
            <v>889550</v>
          </cell>
          <cell r="E1299" t="str">
            <v>EUR</v>
          </cell>
          <cell r="F1299">
            <v>182.98</v>
          </cell>
          <cell r="G1299" t="str">
            <v>EUR</v>
          </cell>
          <cell r="H1299" t="e">
            <v>#VALUE!</v>
          </cell>
          <cell r="I1299" t="str">
            <v>8015TONCYN</v>
          </cell>
        </row>
        <row r="1300">
          <cell r="D1300">
            <v>889547</v>
          </cell>
          <cell r="E1300" t="str">
            <v>EUR</v>
          </cell>
          <cell r="F1300">
            <v>182.98</v>
          </cell>
          <cell r="G1300" t="str">
            <v>EUR</v>
          </cell>
          <cell r="H1300" t="e">
            <v>#VALUE!</v>
          </cell>
          <cell r="I1300" t="str">
            <v>8015TONMAG</v>
          </cell>
        </row>
        <row r="1301">
          <cell r="D1301">
            <v>889544</v>
          </cell>
          <cell r="E1301" t="str">
            <v>EUR</v>
          </cell>
          <cell r="F1301">
            <v>182.98</v>
          </cell>
          <cell r="G1301" t="str">
            <v>EUR</v>
          </cell>
          <cell r="H1301" t="e">
            <v>#VALUE!</v>
          </cell>
          <cell r="I1301" t="str">
            <v>8015TONYLW</v>
          </cell>
        </row>
        <row r="1302">
          <cell r="D1302">
            <v>887188</v>
          </cell>
          <cell r="E1302" t="str">
            <v>EUR</v>
          </cell>
          <cell r="F1302">
            <v>162.24</v>
          </cell>
          <cell r="G1302" t="str">
            <v>EUR</v>
          </cell>
          <cell r="H1302" t="e">
            <v>#VALUE!</v>
          </cell>
          <cell r="I1302" t="str">
            <v>820DEV</v>
          </cell>
        </row>
        <row r="1303">
          <cell r="D1303">
            <v>888009</v>
          </cell>
          <cell r="E1303" t="str">
            <v>EUR</v>
          </cell>
          <cell r="F1303">
            <v>139.9</v>
          </cell>
          <cell r="G1303" t="str">
            <v>EUR</v>
          </cell>
          <cell r="H1303" t="e">
            <v>#VALUE!</v>
          </cell>
          <cell r="I1303" t="str">
            <v>8200DTONER</v>
          </cell>
        </row>
        <row r="1304">
          <cell r="D1304">
            <v>888157</v>
          </cell>
          <cell r="E1304" t="str">
            <v>EUR</v>
          </cell>
          <cell r="F1304">
            <v>36.28</v>
          </cell>
          <cell r="G1304" t="e">
            <v>#N/A</v>
          </cell>
          <cell r="H1304" t="e">
            <v>#N/A</v>
          </cell>
          <cell r="I1304" t="str">
            <v>8205DTONER</v>
          </cell>
        </row>
        <row r="1305">
          <cell r="D1305">
            <v>885344</v>
          </cell>
          <cell r="E1305" t="str">
            <v>EUR</v>
          </cell>
          <cell r="F1305">
            <v>34.229999999999997</v>
          </cell>
          <cell r="G1305" t="e">
            <v>#N/A</v>
          </cell>
          <cell r="H1305" t="e">
            <v>#N/A</v>
          </cell>
          <cell r="I1305" t="str">
            <v>8205DTONFRA</v>
          </cell>
        </row>
        <row r="1306">
          <cell r="D1306">
            <v>889580</v>
          </cell>
          <cell r="E1306" t="str">
            <v>EUR</v>
          </cell>
          <cell r="F1306">
            <v>145.87</v>
          </cell>
          <cell r="G1306" t="str">
            <v>EUR</v>
          </cell>
          <cell r="H1306" t="e">
            <v>#VALUE!</v>
          </cell>
          <cell r="I1306" t="str">
            <v>8800DEVBLA</v>
          </cell>
        </row>
        <row r="1307">
          <cell r="D1307">
            <v>887695</v>
          </cell>
          <cell r="E1307" t="str">
            <v>EUR</v>
          </cell>
          <cell r="F1307">
            <v>238.17</v>
          </cell>
          <cell r="G1307" t="e">
            <v>#N/A</v>
          </cell>
          <cell r="H1307" t="e">
            <v>#N/A</v>
          </cell>
          <cell r="I1307" t="str">
            <v>8800TONERUK</v>
          </cell>
        </row>
        <row r="1308">
          <cell r="D1308">
            <v>889737</v>
          </cell>
          <cell r="E1308" t="str">
            <v>EUR</v>
          </cell>
          <cell r="F1308">
            <v>81.290000000000006</v>
          </cell>
          <cell r="G1308" t="str">
            <v>EUR</v>
          </cell>
          <cell r="H1308" t="e">
            <v>#VALUE!</v>
          </cell>
          <cell r="I1308" t="str">
            <v>9100CLDEV</v>
          </cell>
        </row>
        <row r="1309">
          <cell r="D1309">
            <v>889736</v>
          </cell>
          <cell r="E1309" t="str">
            <v>EUR</v>
          </cell>
          <cell r="F1309">
            <v>76.08</v>
          </cell>
          <cell r="G1309" t="str">
            <v>EUR</v>
          </cell>
          <cell r="H1309" t="e">
            <v>#VALUE!</v>
          </cell>
          <cell r="I1309" t="str">
            <v>9100DEV</v>
          </cell>
        </row>
        <row r="1310">
          <cell r="D1310">
            <v>889735</v>
          </cell>
          <cell r="E1310" t="str">
            <v>EUR</v>
          </cell>
          <cell r="F1310">
            <v>232.54</v>
          </cell>
          <cell r="G1310" t="str">
            <v>EUR</v>
          </cell>
          <cell r="H1310" t="e">
            <v>#VALUE!</v>
          </cell>
          <cell r="I1310" t="str">
            <v>9100TONER</v>
          </cell>
        </row>
        <row r="1311">
          <cell r="D1311">
            <v>209890</v>
          </cell>
          <cell r="E1311" t="str">
            <v>EUR</v>
          </cell>
          <cell r="F1311">
            <v>98.6</v>
          </cell>
          <cell r="G1311" t="str">
            <v>EUR</v>
          </cell>
          <cell r="H1311" t="e">
            <v>#VALUE!</v>
          </cell>
          <cell r="I1311" t="str">
            <v>AF251MAST</v>
          </cell>
        </row>
        <row r="1312">
          <cell r="D1312">
            <v>400398</v>
          </cell>
          <cell r="E1312" t="str">
            <v>EUR</v>
          </cell>
          <cell r="F1312">
            <v>57.15</v>
          </cell>
          <cell r="G1312" t="str">
            <v>EUR</v>
          </cell>
          <cell r="H1312" t="e">
            <v>#VALUE!</v>
          </cell>
          <cell r="I1312" t="str">
            <v>AP1400TONER</v>
          </cell>
        </row>
        <row r="1313">
          <cell r="D1313">
            <v>923961</v>
          </cell>
          <cell r="E1313" t="str">
            <v>EUR</v>
          </cell>
          <cell r="F1313">
            <v>107.99</v>
          </cell>
          <cell r="G1313" t="e">
            <v>#N/A</v>
          </cell>
          <cell r="H1313" t="e">
            <v>#N/A</v>
          </cell>
          <cell r="I1313" t="str">
            <v>AP1610TONER</v>
          </cell>
        </row>
        <row r="1314">
          <cell r="D1314">
            <v>400679</v>
          </cell>
          <cell r="E1314" t="str">
            <v>EUR</v>
          </cell>
          <cell r="F1314">
            <v>143.82</v>
          </cell>
          <cell r="G1314" t="e">
            <v>#N/A</v>
          </cell>
          <cell r="H1314" t="e">
            <v>#N/A</v>
          </cell>
          <cell r="I1314" t="str">
            <v>AP200TONCHN</v>
          </cell>
        </row>
        <row r="1315">
          <cell r="D1315">
            <v>400618</v>
          </cell>
          <cell r="E1315" t="str">
            <v>EUR</v>
          </cell>
          <cell r="F1315">
            <v>147.27000000000001</v>
          </cell>
          <cell r="G1315" t="e">
            <v>#N/A</v>
          </cell>
          <cell r="H1315" t="e">
            <v>#N/A</v>
          </cell>
          <cell r="I1315" t="str">
            <v>AP200TONER</v>
          </cell>
        </row>
        <row r="1316">
          <cell r="D1316">
            <v>400395</v>
          </cell>
          <cell r="E1316" t="str">
            <v>EUR</v>
          </cell>
          <cell r="F1316">
            <v>95.43</v>
          </cell>
          <cell r="G1316" t="str">
            <v>EUR</v>
          </cell>
          <cell r="H1316" t="e">
            <v>#VALUE!</v>
          </cell>
          <cell r="I1316" t="str">
            <v>AP2000TONER</v>
          </cell>
        </row>
        <row r="1317">
          <cell r="D1317">
            <v>400321</v>
          </cell>
          <cell r="E1317" t="str">
            <v>EUR</v>
          </cell>
          <cell r="F1317">
            <v>25.22</v>
          </cell>
          <cell r="G1317" t="str">
            <v>EUR</v>
          </cell>
          <cell r="H1317" t="e">
            <v>#VALUE!</v>
          </cell>
          <cell r="I1317" t="str">
            <v>AP204OIL</v>
          </cell>
        </row>
        <row r="1318">
          <cell r="D1318">
            <v>400320</v>
          </cell>
          <cell r="E1318" t="str">
            <v>EUR</v>
          </cell>
          <cell r="F1318">
            <v>136.46</v>
          </cell>
          <cell r="G1318" t="str">
            <v>EUR</v>
          </cell>
          <cell r="H1318" t="e">
            <v>#VALUE!</v>
          </cell>
          <cell r="I1318" t="str">
            <v>AP204PCU</v>
          </cell>
        </row>
        <row r="1319">
          <cell r="D1319">
            <v>400316</v>
          </cell>
          <cell r="E1319" t="str">
            <v>EUR</v>
          </cell>
          <cell r="F1319">
            <v>63.16</v>
          </cell>
          <cell r="G1319" t="str">
            <v>EUR</v>
          </cell>
          <cell r="H1319" t="e">
            <v>#VALUE!</v>
          </cell>
          <cell r="I1319" t="str">
            <v>AP204TONBLA</v>
          </cell>
        </row>
        <row r="1320">
          <cell r="D1320">
            <v>400317</v>
          </cell>
          <cell r="E1320" t="str">
            <v>EUR</v>
          </cell>
          <cell r="F1320">
            <v>56.38</v>
          </cell>
          <cell r="G1320" t="str">
            <v>EUR</v>
          </cell>
          <cell r="H1320" t="e">
            <v>#VALUE!</v>
          </cell>
          <cell r="I1320" t="str">
            <v>AP204TONCYN</v>
          </cell>
        </row>
        <row r="1321">
          <cell r="D1321">
            <v>400318</v>
          </cell>
          <cell r="E1321" t="str">
            <v>EUR</v>
          </cell>
          <cell r="F1321">
            <v>56.38</v>
          </cell>
          <cell r="G1321" t="str">
            <v>EUR</v>
          </cell>
          <cell r="H1321" t="e">
            <v>#VALUE!</v>
          </cell>
          <cell r="I1321" t="str">
            <v>AP204TONMAG</v>
          </cell>
        </row>
        <row r="1322">
          <cell r="D1322">
            <v>400319</v>
          </cell>
          <cell r="E1322" t="str">
            <v>EUR</v>
          </cell>
          <cell r="F1322">
            <v>56.38</v>
          </cell>
          <cell r="G1322" t="str">
            <v>EUR</v>
          </cell>
          <cell r="H1322" t="e">
            <v>#VALUE!</v>
          </cell>
          <cell r="I1322" t="str">
            <v>AP204TONYLW</v>
          </cell>
        </row>
        <row r="1323">
          <cell r="D1323">
            <v>400322</v>
          </cell>
          <cell r="E1323" t="str">
            <v>EUR</v>
          </cell>
          <cell r="F1323">
            <v>8.2799999999999994</v>
          </cell>
          <cell r="G1323" t="str">
            <v>EUR</v>
          </cell>
          <cell r="H1323" t="e">
            <v>#VALUE!</v>
          </cell>
          <cell r="I1323" t="str">
            <v>AP204WASTE</v>
          </cell>
        </row>
        <row r="1324">
          <cell r="D1324">
            <v>400514</v>
          </cell>
          <cell r="E1324" t="str">
            <v>EUR</v>
          </cell>
          <cell r="F1324">
            <v>25.32</v>
          </cell>
          <cell r="G1324" t="str">
            <v>EUR</v>
          </cell>
          <cell r="H1324" t="e">
            <v>#VALUE!</v>
          </cell>
          <cell r="I1324" t="str">
            <v>AP206FUSER</v>
          </cell>
        </row>
        <row r="1325">
          <cell r="D1325">
            <v>400511</v>
          </cell>
          <cell r="E1325" t="str">
            <v>EUR</v>
          </cell>
          <cell r="F1325">
            <v>151.63</v>
          </cell>
          <cell r="G1325" t="str">
            <v>EUR</v>
          </cell>
          <cell r="H1325" t="e">
            <v>#VALUE!</v>
          </cell>
          <cell r="I1325" t="str">
            <v>AP206PCU</v>
          </cell>
        </row>
        <row r="1326">
          <cell r="D1326">
            <v>400507</v>
          </cell>
          <cell r="E1326" t="str">
            <v>EUR</v>
          </cell>
          <cell r="F1326">
            <v>73.680000000000007</v>
          </cell>
          <cell r="G1326" t="str">
            <v>EUR</v>
          </cell>
          <cell r="H1326" t="e">
            <v>#VALUE!</v>
          </cell>
          <cell r="I1326" t="str">
            <v>AP206TONBLA</v>
          </cell>
        </row>
        <row r="1327">
          <cell r="D1327">
            <v>400508</v>
          </cell>
          <cell r="E1327" t="str">
            <v>EUR</v>
          </cell>
          <cell r="F1327">
            <v>69.739999999999995</v>
          </cell>
          <cell r="G1327" t="str">
            <v>EUR</v>
          </cell>
          <cell r="H1327" t="e">
            <v>#VALUE!</v>
          </cell>
          <cell r="I1327" t="str">
            <v>AP206TONCYN</v>
          </cell>
        </row>
        <row r="1328">
          <cell r="D1328">
            <v>400509</v>
          </cell>
          <cell r="E1328" t="str">
            <v>EUR</v>
          </cell>
          <cell r="F1328">
            <v>69.739999999999995</v>
          </cell>
          <cell r="G1328" t="str">
            <v>EUR</v>
          </cell>
          <cell r="H1328" t="e">
            <v>#VALUE!</v>
          </cell>
          <cell r="I1328" t="str">
            <v>AP206TONMAG</v>
          </cell>
        </row>
        <row r="1329">
          <cell r="D1329">
            <v>400510</v>
          </cell>
          <cell r="E1329" t="str">
            <v>EUR</v>
          </cell>
          <cell r="F1329">
            <v>69.739999999999995</v>
          </cell>
          <cell r="G1329" t="str">
            <v>EUR</v>
          </cell>
          <cell r="H1329" t="e">
            <v>#VALUE!</v>
          </cell>
          <cell r="I1329" t="str">
            <v>AP206TONYLW</v>
          </cell>
        </row>
        <row r="1330">
          <cell r="D1330">
            <v>400513</v>
          </cell>
          <cell r="E1330" t="str">
            <v>EUR</v>
          </cell>
          <cell r="F1330">
            <v>8.2799999999999994</v>
          </cell>
          <cell r="G1330" t="str">
            <v>EUR</v>
          </cell>
          <cell r="H1330" t="e">
            <v>#VALUE!</v>
          </cell>
          <cell r="I1330" t="str">
            <v>AP206WASTE</v>
          </cell>
        </row>
        <row r="1331">
          <cell r="D1331">
            <v>400760</v>
          </cell>
          <cell r="E1331" t="str">
            <v>EUR</v>
          </cell>
          <cell r="F1331">
            <v>147.25</v>
          </cell>
          <cell r="G1331" t="str">
            <v>EUR</v>
          </cell>
          <cell r="H1331" t="e">
            <v>#VALUE!</v>
          </cell>
          <cell r="I1331" t="str">
            <v>AP215TONCHN</v>
          </cell>
        </row>
        <row r="1332">
          <cell r="D1332">
            <v>400342</v>
          </cell>
          <cell r="E1332" t="str">
            <v>EUR</v>
          </cell>
          <cell r="F1332">
            <v>17.45</v>
          </cell>
          <cell r="G1332" t="e">
            <v>#N/A</v>
          </cell>
          <cell r="H1332" t="e">
            <v>#N/A</v>
          </cell>
          <cell r="I1332" t="str">
            <v>AP305OIL</v>
          </cell>
        </row>
        <row r="1333">
          <cell r="D1333">
            <v>400344</v>
          </cell>
          <cell r="E1333" t="str">
            <v>EUR</v>
          </cell>
          <cell r="F1333">
            <v>231.68</v>
          </cell>
          <cell r="G1333" t="str">
            <v>EUR</v>
          </cell>
          <cell r="H1333" t="e">
            <v>#VALUE!</v>
          </cell>
          <cell r="I1333" t="str">
            <v>AP305PCU</v>
          </cell>
        </row>
        <row r="1334">
          <cell r="D1334">
            <v>400338</v>
          </cell>
          <cell r="E1334" t="str">
            <v>EUR</v>
          </cell>
          <cell r="F1334">
            <v>81</v>
          </cell>
          <cell r="G1334" t="e">
            <v>#N/A</v>
          </cell>
          <cell r="H1334" t="e">
            <v>#N/A</v>
          </cell>
          <cell r="I1334" t="str">
            <v>AP305TONBLA</v>
          </cell>
        </row>
        <row r="1335">
          <cell r="D1335">
            <v>400339</v>
          </cell>
          <cell r="E1335" t="str">
            <v>EUR</v>
          </cell>
          <cell r="F1335">
            <v>100</v>
          </cell>
          <cell r="G1335" t="e">
            <v>#N/A</v>
          </cell>
          <cell r="H1335" t="e">
            <v>#N/A</v>
          </cell>
          <cell r="I1335" t="str">
            <v>AP305TONCYN</v>
          </cell>
        </row>
        <row r="1336">
          <cell r="D1336">
            <v>400340</v>
          </cell>
          <cell r="E1336" t="str">
            <v>EUR</v>
          </cell>
          <cell r="F1336">
            <v>100</v>
          </cell>
          <cell r="G1336" t="e">
            <v>#N/A</v>
          </cell>
          <cell r="H1336" t="e">
            <v>#N/A</v>
          </cell>
          <cell r="I1336" t="str">
            <v>AP305TONMAG</v>
          </cell>
        </row>
        <row r="1337">
          <cell r="D1337">
            <v>400341</v>
          </cell>
          <cell r="E1337" t="str">
            <v>EUR</v>
          </cell>
          <cell r="F1337">
            <v>100</v>
          </cell>
          <cell r="G1337" t="e">
            <v>#N/A</v>
          </cell>
          <cell r="H1337" t="e">
            <v>#N/A</v>
          </cell>
          <cell r="I1337" t="str">
            <v>AP305TONYLW</v>
          </cell>
        </row>
        <row r="1338">
          <cell r="D1338">
            <v>400343</v>
          </cell>
          <cell r="E1338" t="str">
            <v>EUR</v>
          </cell>
          <cell r="F1338">
            <v>10.66</v>
          </cell>
          <cell r="G1338" t="str">
            <v>EUR</v>
          </cell>
          <cell r="H1338" t="e">
            <v>#VALUE!</v>
          </cell>
          <cell r="I1338" t="str">
            <v>AP305WASTE</v>
          </cell>
        </row>
        <row r="1339">
          <cell r="D1339">
            <v>400496</v>
          </cell>
          <cell r="E1339" t="str">
            <v>EUR</v>
          </cell>
          <cell r="F1339">
            <v>14.96</v>
          </cell>
          <cell r="G1339" t="str">
            <v>EUR</v>
          </cell>
          <cell r="H1339" t="e">
            <v>#VALUE!</v>
          </cell>
          <cell r="I1339" t="str">
            <v>AP306CHARGER</v>
          </cell>
        </row>
        <row r="1340">
          <cell r="D1340">
            <v>400497</v>
          </cell>
          <cell r="E1340" t="str">
            <v>EUR</v>
          </cell>
          <cell r="F1340">
            <v>16.7</v>
          </cell>
          <cell r="G1340" t="str">
            <v>EUR</v>
          </cell>
          <cell r="H1340" t="e">
            <v>#VALUE!</v>
          </cell>
          <cell r="I1340" t="str">
            <v>AP306OIL</v>
          </cell>
        </row>
        <row r="1341">
          <cell r="D1341">
            <v>400490</v>
          </cell>
          <cell r="E1341" t="str">
            <v>EUR</v>
          </cell>
          <cell r="F1341">
            <v>272.57</v>
          </cell>
          <cell r="G1341" t="str">
            <v>EUR</v>
          </cell>
          <cell r="H1341" t="e">
            <v>#VALUE!</v>
          </cell>
          <cell r="I1341" t="str">
            <v>AP306PCU</v>
          </cell>
        </row>
        <row r="1342">
          <cell r="D1342">
            <v>400491</v>
          </cell>
          <cell r="E1342" t="str">
            <v>EUR</v>
          </cell>
          <cell r="F1342">
            <v>91.8</v>
          </cell>
          <cell r="G1342" t="str">
            <v>EUR</v>
          </cell>
          <cell r="H1342" t="e">
            <v>#VALUE!</v>
          </cell>
          <cell r="I1342" t="str">
            <v>AP306TONBLA</v>
          </cell>
        </row>
        <row r="1343">
          <cell r="D1343">
            <v>400492</v>
          </cell>
          <cell r="E1343" t="str">
            <v>EUR</v>
          </cell>
          <cell r="F1343">
            <v>113.33</v>
          </cell>
          <cell r="G1343" t="str">
            <v>EUR</v>
          </cell>
          <cell r="H1343" t="e">
            <v>#VALUE!</v>
          </cell>
          <cell r="I1343" t="str">
            <v>AP306TONCYN</v>
          </cell>
        </row>
        <row r="1344">
          <cell r="D1344">
            <v>400493</v>
          </cell>
          <cell r="E1344" t="str">
            <v>EUR</v>
          </cell>
          <cell r="F1344">
            <v>113.33</v>
          </cell>
          <cell r="G1344" t="str">
            <v>EUR</v>
          </cell>
          <cell r="H1344" t="e">
            <v>#VALUE!</v>
          </cell>
          <cell r="I1344" t="str">
            <v>AP306TONMAG</v>
          </cell>
        </row>
        <row r="1345">
          <cell r="D1345">
            <v>400494</v>
          </cell>
          <cell r="E1345" t="str">
            <v>EUR</v>
          </cell>
          <cell r="F1345">
            <v>113.33</v>
          </cell>
          <cell r="G1345" t="str">
            <v>EUR</v>
          </cell>
          <cell r="H1345" t="e">
            <v>#VALUE!</v>
          </cell>
          <cell r="I1345" t="str">
            <v>AP306TONYLW</v>
          </cell>
        </row>
        <row r="1346">
          <cell r="D1346">
            <v>400495</v>
          </cell>
          <cell r="E1346" t="str">
            <v>EUR</v>
          </cell>
          <cell r="F1346">
            <v>10.45</v>
          </cell>
          <cell r="G1346" t="str">
            <v>EUR</v>
          </cell>
          <cell r="H1346" t="e">
            <v>#VALUE!</v>
          </cell>
          <cell r="I1346" t="str">
            <v>AP306WASTE</v>
          </cell>
        </row>
        <row r="1347">
          <cell r="D1347">
            <v>889409</v>
          </cell>
          <cell r="E1347" t="str">
            <v>EUR</v>
          </cell>
          <cell r="F1347">
            <v>27.35</v>
          </cell>
          <cell r="G1347" t="str">
            <v>EUR</v>
          </cell>
          <cell r="H1347" t="e">
            <v>#VALUE!</v>
          </cell>
          <cell r="I1347" t="str">
            <v>CLEANCARRIER</v>
          </cell>
        </row>
        <row r="1348">
          <cell r="D1348">
            <v>392000</v>
          </cell>
          <cell r="E1348" t="str">
            <v>EUR</v>
          </cell>
          <cell r="F1348">
            <v>60.89</v>
          </cell>
          <cell r="G1348" t="str">
            <v>EUR</v>
          </cell>
          <cell r="H1348" t="e">
            <v>#VALUE!</v>
          </cell>
          <cell r="I1348" t="str">
            <v>DEVCART12PLS</v>
          </cell>
        </row>
        <row r="1349">
          <cell r="D1349">
            <v>886907</v>
          </cell>
          <cell r="E1349" t="str">
            <v>EUR</v>
          </cell>
          <cell r="F1349">
            <v>29.13</v>
          </cell>
          <cell r="G1349" t="e">
            <v>#N/A</v>
          </cell>
          <cell r="H1349" t="e">
            <v>#N/A</v>
          </cell>
          <cell r="I1349" t="str">
            <v>DEVTYPEDMAG</v>
          </cell>
        </row>
        <row r="1350">
          <cell r="D1350">
            <v>889759</v>
          </cell>
          <cell r="E1350" t="str">
            <v>EUR</v>
          </cell>
          <cell r="F1350">
            <v>26.4</v>
          </cell>
          <cell r="G1350" t="str">
            <v>EUR</v>
          </cell>
          <cell r="H1350" t="e">
            <v>#VALUE!</v>
          </cell>
          <cell r="I1350" t="str">
            <v>DEVTYPEFBLA</v>
          </cell>
        </row>
        <row r="1351">
          <cell r="D1351">
            <v>889762</v>
          </cell>
          <cell r="E1351" t="str">
            <v>EUR</v>
          </cell>
          <cell r="F1351">
            <v>26.4</v>
          </cell>
          <cell r="G1351" t="str">
            <v>EUR</v>
          </cell>
          <cell r="H1351" t="e">
            <v>#VALUE!</v>
          </cell>
          <cell r="I1351" t="str">
            <v>DEVTYPEFCYN</v>
          </cell>
        </row>
        <row r="1352">
          <cell r="D1352">
            <v>889761</v>
          </cell>
          <cell r="E1352" t="str">
            <v>EUR</v>
          </cell>
          <cell r="F1352">
            <v>26.4</v>
          </cell>
          <cell r="G1352" t="str">
            <v>EUR</v>
          </cell>
          <cell r="H1352" t="e">
            <v>#VALUE!</v>
          </cell>
          <cell r="I1352" t="str">
            <v>DEVTYPEFMAG</v>
          </cell>
        </row>
        <row r="1353">
          <cell r="D1353">
            <v>889760</v>
          </cell>
          <cell r="E1353" t="str">
            <v>EUR</v>
          </cell>
          <cell r="F1353">
            <v>26.4</v>
          </cell>
          <cell r="G1353" t="str">
            <v>EUR</v>
          </cell>
          <cell r="H1353" t="e">
            <v>#VALUE!</v>
          </cell>
          <cell r="I1353" t="str">
            <v>DEVTYPEFYLW</v>
          </cell>
        </row>
        <row r="1354">
          <cell r="D1354">
            <v>889882</v>
          </cell>
          <cell r="E1354" t="str">
            <v>EUR</v>
          </cell>
          <cell r="F1354">
            <v>26.4</v>
          </cell>
          <cell r="G1354" t="str">
            <v>EUR</v>
          </cell>
          <cell r="H1354" t="e">
            <v>#VALUE!</v>
          </cell>
          <cell r="I1354" t="str">
            <v>DEVTYPEGCYN</v>
          </cell>
        </row>
        <row r="1355">
          <cell r="D1355">
            <v>889881</v>
          </cell>
          <cell r="E1355" t="str">
            <v>EUR</v>
          </cell>
          <cell r="F1355">
            <v>26.4</v>
          </cell>
          <cell r="G1355" t="str">
            <v>EUR</v>
          </cell>
          <cell r="H1355" t="e">
            <v>#VALUE!</v>
          </cell>
          <cell r="I1355" t="str">
            <v>DEVTYPEGMAG</v>
          </cell>
        </row>
        <row r="1356">
          <cell r="D1356">
            <v>889880</v>
          </cell>
          <cell r="E1356" t="str">
            <v>EUR</v>
          </cell>
          <cell r="F1356">
            <v>26.4</v>
          </cell>
          <cell r="G1356" t="str">
            <v>EUR</v>
          </cell>
          <cell r="H1356" t="e">
            <v>#VALUE!</v>
          </cell>
          <cell r="I1356" t="str">
            <v>DEVTYPEGYLW</v>
          </cell>
        </row>
        <row r="1357">
          <cell r="D1357">
            <v>887880</v>
          </cell>
          <cell r="E1357" t="str">
            <v>EUR</v>
          </cell>
          <cell r="F1357">
            <v>21.59</v>
          </cell>
          <cell r="G1357" t="str">
            <v>EUR</v>
          </cell>
          <cell r="H1357" t="e">
            <v>#VALUE!</v>
          </cell>
          <cell r="I1357" t="str">
            <v>DEVTYPEKBLA</v>
          </cell>
        </row>
        <row r="1358">
          <cell r="D1358">
            <v>887883</v>
          </cell>
          <cell r="E1358" t="str">
            <v>EUR</v>
          </cell>
          <cell r="F1358">
            <v>54.14</v>
          </cell>
          <cell r="G1358" t="str">
            <v>EUR</v>
          </cell>
          <cell r="H1358" t="e">
            <v>#VALUE!</v>
          </cell>
          <cell r="I1358" t="str">
            <v>DEVTYPEKCYN</v>
          </cell>
        </row>
        <row r="1359">
          <cell r="D1359">
            <v>887882</v>
          </cell>
          <cell r="E1359" t="str">
            <v>EUR</v>
          </cell>
          <cell r="F1359">
            <v>54.14</v>
          </cell>
          <cell r="G1359" t="str">
            <v>EUR</v>
          </cell>
          <cell r="H1359" t="e">
            <v>#VALUE!</v>
          </cell>
          <cell r="I1359" t="str">
            <v>DEVTYPEKMAG</v>
          </cell>
        </row>
        <row r="1360">
          <cell r="D1360">
            <v>887881</v>
          </cell>
          <cell r="E1360" t="str">
            <v>EUR</v>
          </cell>
          <cell r="F1360">
            <v>54.14</v>
          </cell>
          <cell r="G1360" t="str">
            <v>EUR</v>
          </cell>
          <cell r="H1360" t="e">
            <v>#VALUE!</v>
          </cell>
          <cell r="I1360" t="str">
            <v>DEVTYPEKYLW</v>
          </cell>
        </row>
        <row r="1361">
          <cell r="D1361">
            <v>887951</v>
          </cell>
          <cell r="E1361" t="str">
            <v>EUR</v>
          </cell>
          <cell r="F1361">
            <v>74.69</v>
          </cell>
          <cell r="G1361" t="str">
            <v>EUR</v>
          </cell>
          <cell r="H1361" t="e">
            <v>#VALUE!</v>
          </cell>
          <cell r="I1361" t="str">
            <v>DEVTYPELBLA</v>
          </cell>
        </row>
        <row r="1362">
          <cell r="D1362">
            <v>887954</v>
          </cell>
          <cell r="E1362" t="str">
            <v>EUR</v>
          </cell>
          <cell r="F1362">
            <v>59.74</v>
          </cell>
          <cell r="G1362" t="str">
            <v>EUR</v>
          </cell>
          <cell r="H1362" t="e">
            <v>#VALUE!</v>
          </cell>
          <cell r="I1362" t="str">
            <v>DEVTYPELCYN</v>
          </cell>
        </row>
        <row r="1363">
          <cell r="D1363">
            <v>887953</v>
          </cell>
          <cell r="E1363" t="str">
            <v>EUR</v>
          </cell>
          <cell r="F1363">
            <v>59.74</v>
          </cell>
          <cell r="G1363" t="str">
            <v>EUR</v>
          </cell>
          <cell r="H1363" t="e">
            <v>#VALUE!</v>
          </cell>
          <cell r="I1363" t="str">
            <v>DEVTYPELMAG</v>
          </cell>
        </row>
        <row r="1364">
          <cell r="D1364">
            <v>887952</v>
          </cell>
          <cell r="E1364" t="str">
            <v>EUR</v>
          </cell>
          <cell r="F1364">
            <v>59.74</v>
          </cell>
          <cell r="G1364" t="str">
            <v>EUR</v>
          </cell>
          <cell r="H1364" t="e">
            <v>#VALUE!</v>
          </cell>
          <cell r="I1364" t="str">
            <v>DEVTYPELYLW</v>
          </cell>
        </row>
        <row r="1365">
          <cell r="D1365">
            <v>889455</v>
          </cell>
          <cell r="E1365" t="str">
            <v>EUR</v>
          </cell>
          <cell r="F1365">
            <v>75.930000000000007</v>
          </cell>
          <cell r="G1365" t="e">
            <v>#N/A</v>
          </cell>
          <cell r="H1365" t="e">
            <v>#N/A</v>
          </cell>
          <cell r="I1365" t="str">
            <v>DEVTYPE1</v>
          </cell>
        </row>
        <row r="1366">
          <cell r="D1366">
            <v>885176</v>
          </cell>
          <cell r="E1366" t="str">
            <v>EUR</v>
          </cell>
          <cell r="F1366">
            <v>72.98</v>
          </cell>
          <cell r="G1366" t="e">
            <v>#N/A</v>
          </cell>
          <cell r="H1366" t="e">
            <v>#N/A</v>
          </cell>
          <cell r="I1366" t="str">
            <v>DEVTYPE1USA</v>
          </cell>
        </row>
        <row r="1367">
          <cell r="D1367">
            <v>888010</v>
          </cell>
          <cell r="E1367" t="str">
            <v>EUR</v>
          </cell>
          <cell r="F1367">
            <v>76.89</v>
          </cell>
          <cell r="G1367" t="str">
            <v>EUR</v>
          </cell>
          <cell r="H1367" t="e">
            <v>#VALUE!</v>
          </cell>
          <cell r="I1367" t="str">
            <v>DEVTYPE14</v>
          </cell>
        </row>
        <row r="1368">
          <cell r="D1368">
            <v>888002</v>
          </cell>
          <cell r="E1368" t="str">
            <v>EUR</v>
          </cell>
          <cell r="F1368">
            <v>186.71</v>
          </cell>
          <cell r="G1368" t="str">
            <v>EUR</v>
          </cell>
          <cell r="H1368" t="e">
            <v>#VALUE!</v>
          </cell>
          <cell r="I1368" t="str">
            <v>DEVTYPE15</v>
          </cell>
        </row>
        <row r="1369">
          <cell r="D1369">
            <v>888114</v>
          </cell>
          <cell r="E1369" t="str">
            <v>EUR</v>
          </cell>
          <cell r="F1369">
            <v>35.54</v>
          </cell>
          <cell r="G1369" t="str">
            <v>EUR</v>
          </cell>
          <cell r="H1369" t="e">
            <v>#VALUE!</v>
          </cell>
          <cell r="I1369" t="str">
            <v>DEVTYPE16W</v>
          </cell>
        </row>
        <row r="1370">
          <cell r="D1370">
            <v>888073</v>
          </cell>
          <cell r="E1370" t="str">
            <v>EUR</v>
          </cell>
          <cell r="F1370">
            <v>49.2</v>
          </cell>
          <cell r="G1370" t="str">
            <v>EUR</v>
          </cell>
          <cell r="H1370" t="e">
            <v>#VALUE!</v>
          </cell>
          <cell r="I1370" t="str">
            <v>DEVTYPE18</v>
          </cell>
        </row>
        <row r="1371">
          <cell r="D1371">
            <v>888095</v>
          </cell>
          <cell r="E1371" t="str">
            <v>EUR</v>
          </cell>
          <cell r="F1371">
            <v>19.760000000000002</v>
          </cell>
          <cell r="G1371" t="str">
            <v>EUR</v>
          </cell>
          <cell r="H1371" t="e">
            <v>#VALUE!</v>
          </cell>
          <cell r="I1371" t="str">
            <v>DEVTYPE19</v>
          </cell>
        </row>
        <row r="1372">
          <cell r="D1372">
            <v>887637</v>
          </cell>
          <cell r="E1372" t="str">
            <v>EUR</v>
          </cell>
          <cell r="F1372">
            <v>233.86</v>
          </cell>
          <cell r="G1372" t="str">
            <v>EUR</v>
          </cell>
          <cell r="H1372" t="e">
            <v>#VALUE!</v>
          </cell>
          <cell r="I1372" t="str">
            <v>DEVTYPE2</v>
          </cell>
        </row>
        <row r="1373">
          <cell r="D1373">
            <v>888164</v>
          </cell>
          <cell r="E1373" t="str">
            <v>EUR</v>
          </cell>
          <cell r="F1373">
            <v>14.83</v>
          </cell>
          <cell r="G1373" t="str">
            <v>EUR</v>
          </cell>
          <cell r="H1373" t="e">
            <v>#VALUE!</v>
          </cell>
          <cell r="I1373" t="str">
            <v>DEVTYPE21</v>
          </cell>
        </row>
        <row r="1374">
          <cell r="D1374">
            <v>885281</v>
          </cell>
          <cell r="E1374" t="str">
            <v>EUR</v>
          </cell>
          <cell r="F1374">
            <v>58.56</v>
          </cell>
          <cell r="G1374" t="e">
            <v>#N/A</v>
          </cell>
          <cell r="H1374" t="e">
            <v>#N/A</v>
          </cell>
          <cell r="I1374" t="str">
            <v>DEVTYPE24</v>
          </cell>
        </row>
        <row r="1375">
          <cell r="D1375">
            <v>889855</v>
          </cell>
          <cell r="E1375" t="str">
            <v>EUR</v>
          </cell>
          <cell r="F1375">
            <v>48.36</v>
          </cell>
          <cell r="G1375" t="str">
            <v>EUR</v>
          </cell>
          <cell r="H1375" t="e">
            <v>#VALUE!</v>
          </cell>
          <cell r="I1375" t="str">
            <v>DEVTYPE3</v>
          </cell>
        </row>
        <row r="1376">
          <cell r="D1376">
            <v>887733</v>
          </cell>
          <cell r="E1376" t="str">
            <v>EUR</v>
          </cell>
          <cell r="F1376">
            <v>189.37</v>
          </cell>
          <cell r="G1376" t="str">
            <v>EUR</v>
          </cell>
          <cell r="H1376" t="e">
            <v>#VALUE!</v>
          </cell>
          <cell r="I1376" t="str">
            <v>DEVTYPE5</v>
          </cell>
        </row>
        <row r="1377">
          <cell r="D1377">
            <v>887748</v>
          </cell>
          <cell r="E1377" t="str">
            <v>EUR</v>
          </cell>
          <cell r="F1377">
            <v>190.58</v>
          </cell>
          <cell r="G1377" t="str">
            <v>EUR</v>
          </cell>
          <cell r="H1377" t="e">
            <v>#VALUE!</v>
          </cell>
          <cell r="I1377" t="str">
            <v>DEVTYPE7</v>
          </cell>
        </row>
        <row r="1378">
          <cell r="D1378">
            <v>887797</v>
          </cell>
          <cell r="E1378" t="str">
            <v>EUR</v>
          </cell>
          <cell r="F1378">
            <v>198.2</v>
          </cell>
          <cell r="G1378" t="str">
            <v>EUR</v>
          </cell>
          <cell r="H1378" t="e">
            <v>#VALUE!</v>
          </cell>
          <cell r="I1378" t="str">
            <v>DEVTYPE9</v>
          </cell>
        </row>
        <row r="1379">
          <cell r="D1379">
            <v>339032</v>
          </cell>
          <cell r="E1379" t="str">
            <v>EUR</v>
          </cell>
          <cell r="F1379">
            <v>49.68</v>
          </cell>
          <cell r="G1379" t="e">
            <v>#N/A</v>
          </cell>
          <cell r="H1379" t="e">
            <v>#N/A</v>
          </cell>
          <cell r="I1379" t="str">
            <v>FAXCART1200</v>
          </cell>
        </row>
        <row r="1380">
          <cell r="D1380">
            <v>923180</v>
          </cell>
          <cell r="E1380" t="str">
            <v>EUR</v>
          </cell>
          <cell r="F1380">
            <v>86.59</v>
          </cell>
          <cell r="G1380" t="e">
            <v>#N/A</v>
          </cell>
          <cell r="H1380" t="e">
            <v>#N/A</v>
          </cell>
          <cell r="I1380" t="str">
            <v>FAXCART61BLA</v>
          </cell>
        </row>
        <row r="1381">
          <cell r="D1381">
            <v>923181</v>
          </cell>
          <cell r="E1381" t="str">
            <v>EUR</v>
          </cell>
          <cell r="F1381">
            <v>86.59</v>
          </cell>
          <cell r="G1381" t="e">
            <v>#N/A</v>
          </cell>
          <cell r="H1381" t="e">
            <v>#N/A</v>
          </cell>
          <cell r="I1381" t="str">
            <v>FAXCART61CLR</v>
          </cell>
        </row>
        <row r="1382">
          <cell r="D1382">
            <v>430013</v>
          </cell>
          <cell r="E1382" t="str">
            <v>EUR</v>
          </cell>
          <cell r="F1382">
            <v>17.38</v>
          </cell>
          <cell r="G1382" t="str">
            <v>EUR</v>
          </cell>
          <cell r="H1382" t="e">
            <v>#VALUE!</v>
          </cell>
          <cell r="I1382" t="str">
            <v>FAXCART68BLA</v>
          </cell>
        </row>
        <row r="1383">
          <cell r="D1383">
            <v>430014</v>
          </cell>
          <cell r="E1383" t="str">
            <v>EUR</v>
          </cell>
          <cell r="F1383">
            <v>23.88</v>
          </cell>
          <cell r="G1383" t="str">
            <v>EUR</v>
          </cell>
          <cell r="H1383" t="e">
            <v>#VALUE!</v>
          </cell>
          <cell r="I1383" t="str">
            <v>FAXCART68CLR</v>
          </cell>
        </row>
        <row r="1384">
          <cell r="D1384">
            <v>334238</v>
          </cell>
          <cell r="E1384" t="str">
            <v>EUR</v>
          </cell>
          <cell r="F1384">
            <v>670.99</v>
          </cell>
          <cell r="G1384" t="e">
            <v>#N/A</v>
          </cell>
          <cell r="H1384" t="e">
            <v>#N/A</v>
          </cell>
          <cell r="I1384" t="str">
            <v>FAXCART800</v>
          </cell>
        </row>
        <row r="1385">
          <cell r="D1385">
            <v>339353</v>
          </cell>
          <cell r="E1385" t="str">
            <v>EUR</v>
          </cell>
          <cell r="F1385">
            <v>857.58</v>
          </cell>
          <cell r="G1385" t="e">
            <v>#N/A</v>
          </cell>
          <cell r="H1385" t="e">
            <v>#N/A</v>
          </cell>
          <cell r="I1385" t="str">
            <v>FAXCART88BLA</v>
          </cell>
        </row>
        <row r="1386">
          <cell r="D1386">
            <v>339342</v>
          </cell>
          <cell r="E1386" t="str">
            <v>EUR</v>
          </cell>
          <cell r="F1386">
            <v>1106.52</v>
          </cell>
          <cell r="G1386" t="e">
            <v>#N/A</v>
          </cell>
          <cell r="H1386" t="e">
            <v>#N/A</v>
          </cell>
          <cell r="I1386" t="str">
            <v>FAXCART88CLR</v>
          </cell>
        </row>
        <row r="1387">
          <cell r="D1387">
            <v>894716</v>
          </cell>
          <cell r="E1387" t="str">
            <v>EUR</v>
          </cell>
          <cell r="F1387">
            <v>226.49</v>
          </cell>
          <cell r="G1387" t="str">
            <v>EUR</v>
          </cell>
          <cell r="H1387" t="e">
            <v>#VALUE!</v>
          </cell>
          <cell r="I1387" t="str">
            <v>FAXMASTER100</v>
          </cell>
        </row>
        <row r="1388">
          <cell r="D1388">
            <v>889347</v>
          </cell>
          <cell r="E1388" t="str">
            <v>EUR</v>
          </cell>
          <cell r="F1388">
            <v>225.63</v>
          </cell>
          <cell r="G1388" t="str">
            <v>EUR</v>
          </cell>
          <cell r="H1388" t="e">
            <v>#VALUE!</v>
          </cell>
          <cell r="I1388" t="str">
            <v>FAXMASTER30</v>
          </cell>
        </row>
        <row r="1389">
          <cell r="D1389">
            <v>593928</v>
          </cell>
          <cell r="E1389" t="str">
            <v>EUR</v>
          </cell>
          <cell r="F1389">
            <v>426.49</v>
          </cell>
          <cell r="G1389" t="str">
            <v>EUR</v>
          </cell>
          <cell r="H1389" t="e">
            <v>#VALUE!</v>
          </cell>
          <cell r="I1389" t="str">
            <v>FAXMAST1000L</v>
          </cell>
        </row>
        <row r="1390">
          <cell r="D1390">
            <v>339472</v>
          </cell>
          <cell r="E1390" t="str">
            <v>EUR</v>
          </cell>
          <cell r="F1390">
            <v>167.87</v>
          </cell>
          <cell r="G1390" t="str">
            <v>EUR</v>
          </cell>
          <cell r="H1390" t="e">
            <v>#VALUE!</v>
          </cell>
          <cell r="I1390" t="str">
            <v>FAXMAST70</v>
          </cell>
        </row>
        <row r="1391">
          <cell r="D1391">
            <v>339343</v>
          </cell>
          <cell r="E1391" t="str">
            <v>EUR</v>
          </cell>
          <cell r="F1391">
            <v>320.61</v>
          </cell>
          <cell r="G1391" t="e">
            <v>#N/A</v>
          </cell>
          <cell r="H1391" t="e">
            <v>#N/A</v>
          </cell>
          <cell r="I1391" t="str">
            <v>FAXREF88BLA</v>
          </cell>
        </row>
        <row r="1392">
          <cell r="D1392">
            <v>339344</v>
          </cell>
          <cell r="E1392" t="str">
            <v>EUR</v>
          </cell>
          <cell r="F1392">
            <v>758.17</v>
          </cell>
          <cell r="G1392" t="e">
            <v>#N/A</v>
          </cell>
          <cell r="H1392" t="e">
            <v>#N/A</v>
          </cell>
          <cell r="I1392" t="str">
            <v>FAXREF88CLR</v>
          </cell>
        </row>
        <row r="1393">
          <cell r="D1393">
            <v>920616</v>
          </cell>
          <cell r="E1393" t="str">
            <v>EUR</v>
          </cell>
          <cell r="F1393">
            <v>140.30000000000001</v>
          </cell>
          <cell r="G1393" t="e">
            <v>#N/A</v>
          </cell>
          <cell r="H1393" t="e">
            <v>#N/A</v>
          </cell>
          <cell r="I1393" t="str">
            <v>FAXRIBBON500</v>
          </cell>
        </row>
        <row r="1394">
          <cell r="D1394">
            <v>430244</v>
          </cell>
          <cell r="E1394" t="str">
            <v>EUR</v>
          </cell>
          <cell r="F1394">
            <v>40.26</v>
          </cell>
          <cell r="G1394" t="str">
            <v>EUR</v>
          </cell>
          <cell r="H1394" t="e">
            <v>#VALUE!</v>
          </cell>
          <cell r="I1394" t="str">
            <v>FAXTNR1435CN</v>
          </cell>
        </row>
        <row r="1395">
          <cell r="D1395">
            <v>430159</v>
          </cell>
          <cell r="E1395" t="str">
            <v>EUR</v>
          </cell>
          <cell r="F1395">
            <v>36.909999999999997</v>
          </cell>
          <cell r="G1395" t="e">
            <v>#N/A</v>
          </cell>
          <cell r="H1395" t="e">
            <v>#N/A</v>
          </cell>
          <cell r="I1395" t="str">
            <v>FAXTONER1430</v>
          </cell>
        </row>
        <row r="1396">
          <cell r="D1396">
            <v>887721</v>
          </cell>
          <cell r="E1396" t="str">
            <v>EUR</v>
          </cell>
          <cell r="F1396">
            <v>194.15</v>
          </cell>
          <cell r="G1396" t="e">
            <v>#N/A</v>
          </cell>
          <cell r="H1396" t="e">
            <v>#N/A</v>
          </cell>
          <cell r="I1396" t="str">
            <v>FAXTONER150</v>
          </cell>
        </row>
        <row r="1397">
          <cell r="D1397">
            <v>430245</v>
          </cell>
          <cell r="E1397" t="str">
            <v>EUR</v>
          </cell>
          <cell r="F1397">
            <v>74.95</v>
          </cell>
          <cell r="G1397" t="str">
            <v>EUR</v>
          </cell>
          <cell r="H1397" t="e">
            <v>#VALUE!</v>
          </cell>
          <cell r="I1397" t="str">
            <v>FAXTONER5210</v>
          </cell>
        </row>
        <row r="1398">
          <cell r="D1398">
            <v>339474</v>
          </cell>
          <cell r="E1398" t="str">
            <v>EUR</v>
          </cell>
          <cell r="F1398">
            <v>191.93</v>
          </cell>
          <cell r="G1398" t="str">
            <v>EUR</v>
          </cell>
          <cell r="H1398" t="e">
            <v>#VALUE!</v>
          </cell>
          <cell r="I1398" t="str">
            <v>FAXTONER70</v>
          </cell>
        </row>
        <row r="1399">
          <cell r="D1399">
            <v>593901</v>
          </cell>
          <cell r="E1399" t="str">
            <v>EUR</v>
          </cell>
          <cell r="F1399">
            <v>45.67</v>
          </cell>
          <cell r="G1399" t="e">
            <v>#N/A</v>
          </cell>
          <cell r="H1399" t="e">
            <v>#N/A</v>
          </cell>
          <cell r="I1399" t="str">
            <v>FAXTON1000L</v>
          </cell>
        </row>
        <row r="1400">
          <cell r="D1400">
            <v>430278</v>
          </cell>
          <cell r="E1400" t="str">
            <v>EUR</v>
          </cell>
          <cell r="F1400">
            <v>43.76</v>
          </cell>
          <cell r="G1400" t="str">
            <v>EUR</v>
          </cell>
          <cell r="H1400" t="e">
            <v>#VALUE!</v>
          </cell>
          <cell r="I1400" t="str">
            <v>FAXTON1240CN</v>
          </cell>
        </row>
        <row r="1401">
          <cell r="D1401">
            <v>430382</v>
          </cell>
          <cell r="E1401" t="str">
            <v>EUR</v>
          </cell>
          <cell r="F1401">
            <v>43.76</v>
          </cell>
          <cell r="G1401" t="e">
            <v>#N/A</v>
          </cell>
          <cell r="H1401" t="e">
            <v>#N/A</v>
          </cell>
          <cell r="I1401" t="str">
            <v>FAXTON1240UK</v>
          </cell>
        </row>
        <row r="1402">
          <cell r="D1402">
            <v>430351</v>
          </cell>
          <cell r="E1402" t="str">
            <v>EUR</v>
          </cell>
          <cell r="F1402">
            <v>36.21</v>
          </cell>
          <cell r="G1402" t="str">
            <v>EUR</v>
          </cell>
          <cell r="H1402" t="e">
            <v>#VALUE!</v>
          </cell>
          <cell r="I1402" t="str">
            <v>FAXTON1260CN</v>
          </cell>
        </row>
        <row r="1403">
          <cell r="D1403">
            <v>430225</v>
          </cell>
          <cell r="E1403" t="str">
            <v>EUR</v>
          </cell>
          <cell r="F1403">
            <v>41.34</v>
          </cell>
          <cell r="G1403" t="str">
            <v>EUR</v>
          </cell>
          <cell r="H1403" t="e">
            <v>#VALUE!</v>
          </cell>
          <cell r="I1403" t="str">
            <v>FAXTON1435CN</v>
          </cell>
        </row>
        <row r="1404">
          <cell r="D1404">
            <v>339481</v>
          </cell>
          <cell r="E1404" t="str">
            <v>EUR</v>
          </cell>
          <cell r="F1404">
            <v>177.61</v>
          </cell>
          <cell r="G1404" t="e">
            <v>#N/A</v>
          </cell>
          <cell r="H1404" t="e">
            <v>#N/A</v>
          </cell>
          <cell r="I1404" t="str">
            <v>FAXTON150FRA</v>
          </cell>
        </row>
        <row r="1405">
          <cell r="D1405">
            <v>889878</v>
          </cell>
          <cell r="E1405" t="str">
            <v>EUR</v>
          </cell>
          <cell r="F1405">
            <v>140.43</v>
          </cell>
          <cell r="G1405" t="str">
            <v>EUR</v>
          </cell>
          <cell r="H1405" t="e">
            <v>#VALUE!</v>
          </cell>
          <cell r="I1405" t="str">
            <v>FAXTON30TWN</v>
          </cell>
        </row>
        <row r="1406">
          <cell r="D1406">
            <v>400323</v>
          </cell>
          <cell r="E1406" t="str">
            <v>EUR</v>
          </cell>
          <cell r="F1406">
            <v>25.32</v>
          </cell>
          <cell r="G1406" t="str">
            <v>EUR</v>
          </cell>
          <cell r="H1406" t="e">
            <v>#VALUE!</v>
          </cell>
          <cell r="I1406" t="str">
            <v>FUSER204</v>
          </cell>
        </row>
        <row r="1407">
          <cell r="D1407">
            <v>889782</v>
          </cell>
          <cell r="E1407" t="str">
            <v>EUR</v>
          </cell>
          <cell r="F1407">
            <v>105.28</v>
          </cell>
          <cell r="G1407" t="str">
            <v>EUR</v>
          </cell>
          <cell r="H1407" t="e">
            <v>#VALUE!</v>
          </cell>
          <cell r="I1407" t="str">
            <v>IMAGEUNIT1</v>
          </cell>
        </row>
        <row r="1408">
          <cell r="D1408">
            <v>208050</v>
          </cell>
          <cell r="E1408" t="str">
            <v>EUR</v>
          </cell>
          <cell r="F1408">
            <v>309.99</v>
          </cell>
          <cell r="G1408" t="e">
            <v>#N/A</v>
          </cell>
          <cell r="H1408" t="e">
            <v>#N/A</v>
          </cell>
          <cell r="I1408" t="str">
            <v>LR1TONERBLA</v>
          </cell>
        </row>
        <row r="1409">
          <cell r="D1409">
            <v>400404</v>
          </cell>
          <cell r="E1409" t="str">
            <v>EUR</v>
          </cell>
          <cell r="F1409">
            <v>83.61</v>
          </cell>
          <cell r="G1409" t="str">
            <v>EUR</v>
          </cell>
          <cell r="H1409" t="e">
            <v>#VALUE!</v>
          </cell>
          <cell r="I1409" t="str">
            <v>MAINTEN1400</v>
          </cell>
        </row>
        <row r="1410">
          <cell r="D1410">
            <v>400401</v>
          </cell>
          <cell r="E1410" t="str">
            <v>EUR</v>
          </cell>
          <cell r="F1410">
            <v>96.4</v>
          </cell>
          <cell r="G1410" t="str">
            <v>EUR</v>
          </cell>
          <cell r="H1410" t="e">
            <v>#VALUE!</v>
          </cell>
          <cell r="I1410" t="str">
            <v>MAINTEN2000</v>
          </cell>
        </row>
        <row r="1411">
          <cell r="D1411">
            <v>400620</v>
          </cell>
          <cell r="E1411" t="str">
            <v>EUR</v>
          </cell>
          <cell r="F1411">
            <v>106.22</v>
          </cell>
          <cell r="G1411" t="str">
            <v>EUR</v>
          </cell>
          <cell r="H1411" t="e">
            <v>#VALUE!</v>
          </cell>
          <cell r="I1411" t="str">
            <v>MAINT2600CHN</v>
          </cell>
        </row>
        <row r="1412">
          <cell r="D1412">
            <v>400594</v>
          </cell>
          <cell r="E1412" t="str">
            <v>EUR</v>
          </cell>
          <cell r="F1412">
            <v>93.2</v>
          </cell>
          <cell r="G1412" t="str">
            <v>EUR</v>
          </cell>
          <cell r="H1412" t="e">
            <v>#VALUE!</v>
          </cell>
          <cell r="I1412" t="str">
            <v>MAINT3800A</v>
          </cell>
        </row>
        <row r="1413">
          <cell r="D1413">
            <v>400595</v>
          </cell>
          <cell r="E1413" t="str">
            <v>EUR</v>
          </cell>
          <cell r="F1413">
            <v>177.55</v>
          </cell>
          <cell r="G1413" t="str">
            <v>EUR</v>
          </cell>
          <cell r="H1413" t="e">
            <v>#VALUE!</v>
          </cell>
          <cell r="I1413" t="str">
            <v>MAINT3800B</v>
          </cell>
        </row>
        <row r="1414">
          <cell r="D1414">
            <v>400569</v>
          </cell>
          <cell r="E1414" t="str">
            <v>EUR</v>
          </cell>
          <cell r="F1414">
            <v>195.76</v>
          </cell>
          <cell r="G1414" t="str">
            <v>EUR</v>
          </cell>
          <cell r="H1414" t="e">
            <v>#VALUE!</v>
          </cell>
          <cell r="I1414" t="str">
            <v>MAINT3800C</v>
          </cell>
        </row>
        <row r="1415">
          <cell r="D1415">
            <v>400661</v>
          </cell>
          <cell r="E1415" t="str">
            <v>EUR</v>
          </cell>
          <cell r="F1415">
            <v>54.36</v>
          </cell>
          <cell r="G1415" t="str">
            <v>EUR</v>
          </cell>
          <cell r="H1415" t="e">
            <v>#VALUE!</v>
          </cell>
          <cell r="I1415" t="str">
            <v>MAINT3800D</v>
          </cell>
        </row>
        <row r="1416">
          <cell r="D1416">
            <v>400662</v>
          </cell>
          <cell r="E1416" t="str">
            <v>EUR</v>
          </cell>
          <cell r="F1416">
            <v>5.19</v>
          </cell>
          <cell r="G1416" t="str">
            <v>EUR</v>
          </cell>
          <cell r="H1416" t="e">
            <v>#VALUE!</v>
          </cell>
          <cell r="I1416" t="str">
            <v>MAINT3800E</v>
          </cell>
        </row>
        <row r="1417">
          <cell r="D1417">
            <v>400548</v>
          </cell>
          <cell r="E1417" t="str">
            <v>EUR</v>
          </cell>
          <cell r="F1417">
            <v>29.44</v>
          </cell>
          <cell r="G1417" t="str">
            <v>EUR</v>
          </cell>
          <cell r="H1417" t="e">
            <v>#VALUE!</v>
          </cell>
          <cell r="I1417" t="str">
            <v>MAINT3800F</v>
          </cell>
        </row>
        <row r="1418">
          <cell r="D1418">
            <v>400549</v>
          </cell>
          <cell r="E1418" t="str">
            <v>EUR</v>
          </cell>
          <cell r="F1418">
            <v>27.51</v>
          </cell>
          <cell r="G1418" t="str">
            <v>EUR</v>
          </cell>
          <cell r="H1418" t="e">
            <v>#VALUE!</v>
          </cell>
          <cell r="I1418" t="str">
            <v>MAINT3800G</v>
          </cell>
        </row>
        <row r="1419">
          <cell r="D1419">
            <v>400576</v>
          </cell>
          <cell r="E1419" t="str">
            <v>EUR</v>
          </cell>
          <cell r="F1419">
            <v>2.68</v>
          </cell>
          <cell r="G1419" t="str">
            <v>EUR</v>
          </cell>
          <cell r="H1419" t="e">
            <v>#VALUE!</v>
          </cell>
          <cell r="I1419" t="str">
            <v>MAINT3800H</v>
          </cell>
        </row>
        <row r="1420">
          <cell r="D1420">
            <v>209911</v>
          </cell>
          <cell r="E1420" t="str">
            <v>EUR</v>
          </cell>
          <cell r="F1420">
            <v>98.6</v>
          </cell>
          <cell r="G1420" t="str">
            <v>EUR</v>
          </cell>
          <cell r="H1420" t="e">
            <v>#VALUE!</v>
          </cell>
          <cell r="I1420" t="str">
            <v>MV250MAST</v>
          </cell>
        </row>
        <row r="1421">
          <cell r="D1421">
            <v>894718</v>
          </cell>
          <cell r="E1421" t="str">
            <v>EUR</v>
          </cell>
          <cell r="F1421">
            <v>226.49</v>
          </cell>
          <cell r="G1421" t="str">
            <v>EUR</v>
          </cell>
          <cell r="H1421" t="e">
            <v>#VALUE!</v>
          </cell>
          <cell r="I1421" t="str">
            <v>MV300MAST</v>
          </cell>
        </row>
        <row r="1422">
          <cell r="D1422">
            <v>887675</v>
          </cell>
          <cell r="E1422" t="str">
            <v>EUR</v>
          </cell>
          <cell r="F1422">
            <v>210.8</v>
          </cell>
          <cell r="G1422" t="str">
            <v>EUR</v>
          </cell>
          <cell r="H1422" t="e">
            <v>#VALUE!</v>
          </cell>
          <cell r="I1422" t="str">
            <v>MV300TONER</v>
          </cell>
        </row>
        <row r="1423">
          <cell r="D1423">
            <v>889606</v>
          </cell>
          <cell r="E1423" t="str">
            <v>EUR</v>
          </cell>
          <cell r="F1423">
            <v>98.42</v>
          </cell>
          <cell r="G1423" t="str">
            <v>EUR</v>
          </cell>
          <cell r="H1423" t="e">
            <v>#VALUE!</v>
          </cell>
          <cell r="I1423" t="str">
            <v>MV80MAST</v>
          </cell>
        </row>
        <row r="1424">
          <cell r="D1424">
            <v>889744</v>
          </cell>
          <cell r="E1424" t="str">
            <v>EUR</v>
          </cell>
          <cell r="F1424">
            <v>52.05</v>
          </cell>
          <cell r="G1424" t="str">
            <v>EUR</v>
          </cell>
          <cell r="H1424" t="e">
            <v>#VALUE!</v>
          </cell>
          <cell r="I1424" t="str">
            <v>MV80TONER</v>
          </cell>
        </row>
        <row r="1425">
          <cell r="D1425">
            <v>889015</v>
          </cell>
          <cell r="E1425" t="str">
            <v>EUR</v>
          </cell>
          <cell r="F1425">
            <v>119.59</v>
          </cell>
          <cell r="G1425" t="e">
            <v>#N/A</v>
          </cell>
          <cell r="H1425" t="e">
            <v>#N/A</v>
          </cell>
          <cell r="I1425" t="str">
            <v>M10MASTUNT2</v>
          </cell>
        </row>
        <row r="1426">
          <cell r="D1426">
            <v>887660</v>
          </cell>
          <cell r="E1426" t="str">
            <v>EUR</v>
          </cell>
          <cell r="F1426">
            <v>23.59</v>
          </cell>
          <cell r="G1426" t="e">
            <v>#N/A</v>
          </cell>
          <cell r="H1426" t="e">
            <v>#N/A</v>
          </cell>
          <cell r="I1426" t="str">
            <v>M10TONBLAUK</v>
          </cell>
        </row>
        <row r="1427">
          <cell r="D1427">
            <v>889351</v>
          </cell>
          <cell r="E1427" t="str">
            <v>EUR</v>
          </cell>
          <cell r="F1427">
            <v>121.28</v>
          </cell>
          <cell r="G1427" t="str">
            <v>EUR</v>
          </cell>
          <cell r="H1427" t="e">
            <v>#VALUE!</v>
          </cell>
          <cell r="I1427" t="str">
            <v>M100MASTUNT2</v>
          </cell>
        </row>
        <row r="1428">
          <cell r="D1428">
            <v>889260</v>
          </cell>
          <cell r="E1428" t="str">
            <v>EUR</v>
          </cell>
          <cell r="F1428">
            <v>111.76</v>
          </cell>
          <cell r="G1428" t="str">
            <v>EUR</v>
          </cell>
          <cell r="H1428" t="e">
            <v>#VALUE!</v>
          </cell>
          <cell r="I1428" t="str">
            <v>M5MASTUNT2</v>
          </cell>
        </row>
        <row r="1429">
          <cell r="D1429">
            <v>887659</v>
          </cell>
          <cell r="E1429" t="str">
            <v>EUR</v>
          </cell>
          <cell r="F1429">
            <v>23.59</v>
          </cell>
          <cell r="G1429" t="e">
            <v>#N/A</v>
          </cell>
          <cell r="H1429" t="e">
            <v>#N/A</v>
          </cell>
          <cell r="I1429" t="str">
            <v>M5TONERBLAUK</v>
          </cell>
        </row>
        <row r="1430">
          <cell r="D1430">
            <v>882019</v>
          </cell>
          <cell r="E1430" t="str">
            <v>EUR</v>
          </cell>
          <cell r="F1430">
            <v>41.44</v>
          </cell>
          <cell r="G1430" t="e">
            <v>#N/A</v>
          </cell>
          <cell r="H1430" t="e">
            <v>#N/A</v>
          </cell>
          <cell r="I1430" t="str">
            <v>M5TONERGRE</v>
          </cell>
        </row>
        <row r="1431">
          <cell r="D1431">
            <v>889207</v>
          </cell>
          <cell r="E1431" t="str">
            <v>EUR</v>
          </cell>
          <cell r="F1431">
            <v>38.33</v>
          </cell>
          <cell r="G1431" t="str">
            <v>EUR</v>
          </cell>
          <cell r="H1431" t="e">
            <v>#VALUE!</v>
          </cell>
          <cell r="I1431" t="str">
            <v>M5TONERRED</v>
          </cell>
        </row>
        <row r="1432">
          <cell r="D1432">
            <v>887664</v>
          </cell>
          <cell r="E1432" t="str">
            <v>EUR</v>
          </cell>
          <cell r="F1432">
            <v>26.21</v>
          </cell>
          <cell r="G1432" t="e">
            <v>#N/A</v>
          </cell>
          <cell r="H1432" t="e">
            <v>#N/A</v>
          </cell>
          <cell r="I1432" t="str">
            <v>M6TONERGER</v>
          </cell>
        </row>
        <row r="1433">
          <cell r="D1433">
            <v>889405</v>
          </cell>
          <cell r="E1433" t="str">
            <v>EUR</v>
          </cell>
          <cell r="F1433">
            <v>107.13</v>
          </cell>
          <cell r="G1433" t="str">
            <v>EUR</v>
          </cell>
          <cell r="H1433" t="e">
            <v>#VALUE!</v>
          </cell>
          <cell r="I1433" t="str">
            <v>NC11DEVBLA</v>
          </cell>
        </row>
        <row r="1434">
          <cell r="D1434">
            <v>889408</v>
          </cell>
          <cell r="E1434" t="str">
            <v>EUR</v>
          </cell>
          <cell r="F1434">
            <v>45.91</v>
          </cell>
          <cell r="G1434" t="str">
            <v>EUR</v>
          </cell>
          <cell r="H1434" t="e">
            <v>#VALUE!</v>
          </cell>
          <cell r="I1434" t="str">
            <v>NC11DEVCYN</v>
          </cell>
        </row>
        <row r="1435">
          <cell r="D1435">
            <v>889407</v>
          </cell>
          <cell r="E1435" t="str">
            <v>EUR</v>
          </cell>
          <cell r="F1435">
            <v>45.91</v>
          </cell>
          <cell r="G1435" t="str">
            <v>EUR</v>
          </cell>
          <cell r="H1435" t="e">
            <v>#VALUE!</v>
          </cell>
          <cell r="I1435" t="str">
            <v>NC11DEVMAG</v>
          </cell>
        </row>
        <row r="1436">
          <cell r="D1436">
            <v>889406</v>
          </cell>
          <cell r="E1436" t="str">
            <v>EUR</v>
          </cell>
          <cell r="F1436">
            <v>45.91</v>
          </cell>
          <cell r="G1436" t="str">
            <v>EUR</v>
          </cell>
          <cell r="H1436" t="e">
            <v>#VALUE!</v>
          </cell>
          <cell r="I1436" t="str">
            <v>NC11DEVYLW</v>
          </cell>
        </row>
        <row r="1437">
          <cell r="D1437">
            <v>887481</v>
          </cell>
          <cell r="E1437" t="str">
            <v>EUR</v>
          </cell>
          <cell r="F1437">
            <v>128.04</v>
          </cell>
          <cell r="G1437" t="e">
            <v>#N/A</v>
          </cell>
          <cell r="H1437" t="e">
            <v>#N/A</v>
          </cell>
          <cell r="I1437" t="str">
            <v>NC11TONERBLA</v>
          </cell>
        </row>
        <row r="1438">
          <cell r="D1438">
            <v>887487</v>
          </cell>
          <cell r="E1438" t="str">
            <v>EUR</v>
          </cell>
          <cell r="F1438">
            <v>71.400000000000006</v>
          </cell>
          <cell r="G1438" t="str">
            <v>EUR</v>
          </cell>
          <cell r="H1438" t="e">
            <v>#VALUE!</v>
          </cell>
          <cell r="I1438" t="str">
            <v>NC11TONERCYN</v>
          </cell>
        </row>
        <row r="1439">
          <cell r="D1439">
            <v>887485</v>
          </cell>
          <cell r="E1439" t="str">
            <v>EUR</v>
          </cell>
          <cell r="F1439">
            <v>71.400000000000006</v>
          </cell>
          <cell r="G1439" t="str">
            <v>EUR</v>
          </cell>
          <cell r="H1439" t="e">
            <v>#VALUE!</v>
          </cell>
          <cell r="I1439" t="str">
            <v>NC11TONERMAG</v>
          </cell>
        </row>
        <row r="1440">
          <cell r="D1440">
            <v>887483</v>
          </cell>
          <cell r="E1440" t="str">
            <v>EUR</v>
          </cell>
          <cell r="F1440">
            <v>71.400000000000006</v>
          </cell>
          <cell r="G1440" t="str">
            <v>EUR</v>
          </cell>
          <cell r="H1440" t="e">
            <v>#VALUE!</v>
          </cell>
          <cell r="I1440" t="str">
            <v>NC11TONERYLW</v>
          </cell>
        </row>
        <row r="1441">
          <cell r="D1441">
            <v>889526</v>
          </cell>
          <cell r="E1441" t="str">
            <v>EUR</v>
          </cell>
          <cell r="F1441">
            <v>93.45</v>
          </cell>
          <cell r="G1441" t="str">
            <v>EUR</v>
          </cell>
          <cell r="H1441" t="e">
            <v>#VALUE!</v>
          </cell>
          <cell r="I1441" t="str">
            <v>NC305DEVBLA</v>
          </cell>
        </row>
        <row r="1442">
          <cell r="D1442">
            <v>394800</v>
          </cell>
          <cell r="E1442" t="str">
            <v>EUR</v>
          </cell>
          <cell r="F1442">
            <v>89.34</v>
          </cell>
          <cell r="G1442" t="str">
            <v>EUR</v>
          </cell>
          <cell r="H1442" t="e">
            <v>#VALUE!</v>
          </cell>
          <cell r="I1442" t="str">
            <v>OPCCARTTYP12</v>
          </cell>
        </row>
        <row r="1443">
          <cell r="D1443">
            <v>411113</v>
          </cell>
          <cell r="E1443" t="str">
            <v>EUR</v>
          </cell>
          <cell r="F1443">
            <v>62.01</v>
          </cell>
          <cell r="G1443" t="str">
            <v>EUR</v>
          </cell>
          <cell r="H1443" t="e">
            <v>#VALUE!</v>
          </cell>
          <cell r="I1443" t="str">
            <v>PCU1013CHN</v>
          </cell>
        </row>
        <row r="1444">
          <cell r="D1444">
            <v>411018</v>
          </cell>
          <cell r="E1444" t="str">
            <v>EUR</v>
          </cell>
          <cell r="F1444">
            <v>117.67</v>
          </cell>
          <cell r="G1444" t="str">
            <v>EUR</v>
          </cell>
          <cell r="H1444" t="e">
            <v>#VALUE!</v>
          </cell>
          <cell r="I1444" t="str">
            <v>PCU1027</v>
          </cell>
        </row>
        <row r="1445">
          <cell r="D1445">
            <v>410423</v>
          </cell>
          <cell r="E1445" t="str">
            <v>EUR</v>
          </cell>
          <cell r="F1445">
            <v>122.81</v>
          </cell>
          <cell r="G1445" t="str">
            <v>EUR</v>
          </cell>
          <cell r="H1445" t="e">
            <v>#VALUE!</v>
          </cell>
          <cell r="I1445" t="str">
            <v>PCU270</v>
          </cell>
        </row>
        <row r="1446">
          <cell r="D1446">
            <v>400633</v>
          </cell>
          <cell r="E1446" t="str">
            <v>EUR</v>
          </cell>
          <cell r="F1446">
            <v>117.67</v>
          </cell>
          <cell r="G1446" t="str">
            <v>EUR</v>
          </cell>
          <cell r="H1446" t="e">
            <v>#VALUE!</v>
          </cell>
          <cell r="I1446" t="str">
            <v>PCU320</v>
          </cell>
        </row>
        <row r="1447">
          <cell r="D1447">
            <v>923112</v>
          </cell>
          <cell r="E1447" t="str">
            <v>EUR</v>
          </cell>
          <cell r="F1447">
            <v>22</v>
          </cell>
          <cell r="G1447" t="e">
            <v>#N/A</v>
          </cell>
          <cell r="H1447" t="e">
            <v>#N/A</v>
          </cell>
          <cell r="I1447" t="str">
            <v>SAM1220DTON</v>
          </cell>
        </row>
        <row r="1448">
          <cell r="D1448">
            <v>410509</v>
          </cell>
          <cell r="E1448" t="str">
            <v>EUR</v>
          </cell>
          <cell r="F1448">
            <v>54.27</v>
          </cell>
          <cell r="G1448" t="str">
            <v>EUR</v>
          </cell>
          <cell r="H1448" t="e">
            <v>#VALUE!</v>
          </cell>
          <cell r="I1448" t="str">
            <v>STAPLEREFH</v>
          </cell>
        </row>
        <row r="1449">
          <cell r="D1449">
            <v>410802</v>
          </cell>
          <cell r="E1449" t="str">
            <v>EUR</v>
          </cell>
          <cell r="F1449">
            <v>27.48</v>
          </cell>
          <cell r="G1449" t="str">
            <v>EUR</v>
          </cell>
          <cell r="H1449" t="e">
            <v>#VALUE!</v>
          </cell>
          <cell r="I1449" t="str">
            <v>STAPLEREFK</v>
          </cell>
        </row>
        <row r="1450">
          <cell r="D1450">
            <v>411241</v>
          </cell>
          <cell r="E1450" t="str">
            <v>EUR</v>
          </cell>
          <cell r="F1450">
            <v>19.75</v>
          </cell>
          <cell r="G1450" t="e">
            <v>#N/A</v>
          </cell>
          <cell r="H1450" t="e">
            <v>#N/A</v>
          </cell>
          <cell r="I1450" t="str">
            <v>STAPLEREFL</v>
          </cell>
        </row>
        <row r="1451">
          <cell r="D1451">
            <v>207686</v>
          </cell>
          <cell r="E1451" t="str">
            <v>EUR</v>
          </cell>
          <cell r="F1451">
            <v>26.27</v>
          </cell>
          <cell r="G1451" t="e">
            <v>#N/A</v>
          </cell>
          <cell r="H1451" t="e">
            <v>#N/A</v>
          </cell>
          <cell r="I1451" t="str">
            <v>STAPLETYPEA</v>
          </cell>
        </row>
        <row r="1452">
          <cell r="D1452">
            <v>207866</v>
          </cell>
          <cell r="E1452" t="str">
            <v>EUR</v>
          </cell>
          <cell r="F1452">
            <v>28.9</v>
          </cell>
          <cell r="G1452" t="e">
            <v>#N/A</v>
          </cell>
          <cell r="H1452" t="e">
            <v>#N/A</v>
          </cell>
          <cell r="I1452" t="str">
            <v>STAPLETYPEB</v>
          </cell>
        </row>
        <row r="1453">
          <cell r="D1453">
            <v>208171</v>
          </cell>
          <cell r="E1453" t="str">
            <v>EUR</v>
          </cell>
          <cell r="F1453">
            <v>21.72</v>
          </cell>
          <cell r="G1453" t="str">
            <v>EUR</v>
          </cell>
          <cell r="H1453" t="e">
            <v>#VALUE!</v>
          </cell>
          <cell r="I1453" t="str">
            <v>STAPLETYPEC</v>
          </cell>
        </row>
        <row r="1454">
          <cell r="D1454">
            <v>208532</v>
          </cell>
          <cell r="E1454" t="str">
            <v>EUR</v>
          </cell>
          <cell r="F1454">
            <v>17.37</v>
          </cell>
          <cell r="G1454" t="str">
            <v>EUR</v>
          </cell>
          <cell r="H1454" t="e">
            <v>#VALUE!</v>
          </cell>
          <cell r="I1454" t="str">
            <v>STAPLETYPED</v>
          </cell>
        </row>
        <row r="1455">
          <cell r="D1455">
            <v>317927</v>
          </cell>
          <cell r="E1455" t="str">
            <v>EUR</v>
          </cell>
          <cell r="F1455">
            <v>15.78</v>
          </cell>
          <cell r="G1455" t="str">
            <v>EUR</v>
          </cell>
          <cell r="H1455" t="e">
            <v>#VALUE!</v>
          </cell>
          <cell r="I1455" t="str">
            <v>STAPLETYPEE</v>
          </cell>
        </row>
        <row r="1456">
          <cell r="D1456">
            <v>209307</v>
          </cell>
          <cell r="E1456" t="str">
            <v>EUR</v>
          </cell>
          <cell r="F1456">
            <v>23.7</v>
          </cell>
          <cell r="G1456" t="str">
            <v>EUR</v>
          </cell>
          <cell r="H1456" t="e">
            <v>#VALUE!</v>
          </cell>
          <cell r="I1456" t="str">
            <v>STAPLETYPEF</v>
          </cell>
        </row>
        <row r="1457">
          <cell r="D1457">
            <v>410133</v>
          </cell>
          <cell r="E1457" t="str">
            <v>EUR</v>
          </cell>
          <cell r="F1457">
            <v>23.7</v>
          </cell>
          <cell r="G1457" t="str">
            <v>EUR</v>
          </cell>
          <cell r="H1457" t="e">
            <v>#VALUE!</v>
          </cell>
          <cell r="I1457" t="str">
            <v>STAPLETYPEG</v>
          </cell>
        </row>
        <row r="1458">
          <cell r="D1458">
            <v>410508</v>
          </cell>
          <cell r="E1458" t="str">
            <v>EUR</v>
          </cell>
          <cell r="F1458">
            <v>24.11</v>
          </cell>
          <cell r="G1458" t="str">
            <v>EUR</v>
          </cell>
          <cell r="H1458" t="e">
            <v>#VALUE!</v>
          </cell>
          <cell r="I1458" t="str">
            <v>STAPLETYPEH</v>
          </cell>
        </row>
        <row r="1459">
          <cell r="D1459">
            <v>410597</v>
          </cell>
          <cell r="E1459" t="str">
            <v>EUR</v>
          </cell>
          <cell r="F1459">
            <v>27.89</v>
          </cell>
          <cell r="G1459" t="str">
            <v>EUR</v>
          </cell>
          <cell r="H1459" t="e">
            <v>#VALUE!</v>
          </cell>
          <cell r="I1459" t="str">
            <v>STAPLETYPEJ</v>
          </cell>
        </row>
        <row r="1460">
          <cell r="D1460">
            <v>410801</v>
          </cell>
          <cell r="E1460" t="str">
            <v>EUR</v>
          </cell>
          <cell r="F1460">
            <v>15.7</v>
          </cell>
          <cell r="G1460" t="str">
            <v>EUR</v>
          </cell>
          <cell r="H1460" t="e">
            <v>#VALUE!</v>
          </cell>
          <cell r="I1460" t="str">
            <v>STAPLETYPEK</v>
          </cell>
        </row>
        <row r="1461">
          <cell r="D1461">
            <v>411240</v>
          </cell>
          <cell r="E1461" t="str">
            <v>EUR</v>
          </cell>
          <cell r="F1461">
            <v>11.82</v>
          </cell>
          <cell r="G1461" t="e">
            <v>#N/A</v>
          </cell>
          <cell r="H1461" t="e">
            <v>#N/A</v>
          </cell>
          <cell r="I1461" t="str">
            <v>STAPLETYPEL</v>
          </cell>
        </row>
        <row r="1462">
          <cell r="D1462">
            <v>922479</v>
          </cell>
          <cell r="E1462" t="str">
            <v>EUR</v>
          </cell>
          <cell r="F1462">
            <v>37</v>
          </cell>
          <cell r="G1462" t="e">
            <v>#N/A</v>
          </cell>
          <cell r="H1462" t="e">
            <v>#N/A</v>
          </cell>
          <cell r="I1462" t="str">
            <v>STAPLE85SWE</v>
          </cell>
        </row>
        <row r="1463">
          <cell r="D1463">
            <v>923978</v>
          </cell>
          <cell r="E1463" t="str">
            <v>EUR</v>
          </cell>
          <cell r="F1463">
            <v>107.99</v>
          </cell>
          <cell r="G1463" t="e">
            <v>#N/A</v>
          </cell>
          <cell r="H1463" t="e">
            <v>#N/A</v>
          </cell>
          <cell r="I1463" t="str">
            <v>TONAP1610USA</v>
          </cell>
        </row>
        <row r="1464">
          <cell r="D1464">
            <v>885104</v>
          </cell>
          <cell r="E1464" t="str">
            <v>EUR</v>
          </cell>
          <cell r="F1464">
            <v>65.459999999999994</v>
          </cell>
          <cell r="G1464" t="e">
            <v>#N/A</v>
          </cell>
          <cell r="H1464" t="e">
            <v>#N/A</v>
          </cell>
          <cell r="I1464" t="str">
            <v>TONER10DFRA</v>
          </cell>
        </row>
        <row r="1465">
          <cell r="D1465">
            <v>888037</v>
          </cell>
          <cell r="E1465" t="str">
            <v>EUR</v>
          </cell>
          <cell r="F1465">
            <v>99</v>
          </cell>
          <cell r="G1465" t="str">
            <v>EUR</v>
          </cell>
          <cell r="H1465" t="e">
            <v>#VALUE!</v>
          </cell>
          <cell r="I1465" t="str">
            <v>TONER105CYN</v>
          </cell>
        </row>
        <row r="1466">
          <cell r="D1466">
            <v>888036</v>
          </cell>
          <cell r="E1466" t="str">
            <v>EUR</v>
          </cell>
          <cell r="F1466">
            <v>99</v>
          </cell>
          <cell r="G1466" t="str">
            <v>EUR</v>
          </cell>
          <cell r="H1466" t="e">
            <v>#VALUE!</v>
          </cell>
          <cell r="I1466" t="str">
            <v>TONER105MAG</v>
          </cell>
        </row>
        <row r="1467">
          <cell r="D1467">
            <v>888035</v>
          </cell>
          <cell r="E1467" t="str">
            <v>EUR</v>
          </cell>
          <cell r="F1467">
            <v>99</v>
          </cell>
          <cell r="G1467" t="str">
            <v>EUR</v>
          </cell>
          <cell r="H1467" t="e">
            <v>#VALUE!</v>
          </cell>
          <cell r="I1467" t="str">
            <v>TONER105YLW</v>
          </cell>
        </row>
        <row r="1468">
          <cell r="D1468">
            <v>885109</v>
          </cell>
          <cell r="E1468" t="str">
            <v>EUR</v>
          </cell>
          <cell r="F1468">
            <v>47.4</v>
          </cell>
          <cell r="G1468" t="e">
            <v>#N/A</v>
          </cell>
          <cell r="H1468" t="e">
            <v>#N/A</v>
          </cell>
          <cell r="I1468" t="str">
            <v>TONER20DEFRA</v>
          </cell>
        </row>
        <row r="1469">
          <cell r="D1469">
            <v>888032</v>
          </cell>
          <cell r="E1469" t="str">
            <v>EUR</v>
          </cell>
          <cell r="F1469">
            <v>39.42</v>
          </cell>
          <cell r="G1469" t="str">
            <v>EUR</v>
          </cell>
          <cell r="H1469" t="e">
            <v>#VALUE!</v>
          </cell>
          <cell r="I1469" t="str">
            <v>TONER205BLA</v>
          </cell>
        </row>
        <row r="1470">
          <cell r="D1470">
            <v>887849</v>
          </cell>
          <cell r="E1470" t="str">
            <v>EUR</v>
          </cell>
          <cell r="F1470">
            <v>71.010000000000005</v>
          </cell>
          <cell r="G1470" t="str">
            <v>EUR</v>
          </cell>
          <cell r="H1470" t="e">
            <v>#VALUE!</v>
          </cell>
          <cell r="I1470" t="str">
            <v>TONTYPEHCYN</v>
          </cell>
        </row>
        <row r="1471">
          <cell r="D1471">
            <v>887848</v>
          </cell>
          <cell r="E1471" t="str">
            <v>EUR</v>
          </cell>
          <cell r="F1471">
            <v>71.010000000000005</v>
          </cell>
          <cell r="G1471" t="str">
            <v>EUR</v>
          </cell>
          <cell r="H1471" t="e">
            <v>#VALUE!</v>
          </cell>
          <cell r="I1471" t="str">
            <v>TONTYPEHMAG</v>
          </cell>
        </row>
        <row r="1472">
          <cell r="D1472">
            <v>887845</v>
          </cell>
          <cell r="E1472" t="str">
            <v>EUR</v>
          </cell>
          <cell r="F1472">
            <v>74.790000000000006</v>
          </cell>
          <cell r="G1472" t="str">
            <v>EUR</v>
          </cell>
          <cell r="H1472" t="e">
            <v>#VALUE!</v>
          </cell>
          <cell r="I1472" t="str">
            <v>TONTYPEHXBLA</v>
          </cell>
        </row>
        <row r="1473">
          <cell r="D1473">
            <v>887847</v>
          </cell>
          <cell r="E1473" t="str">
            <v>EUR</v>
          </cell>
          <cell r="F1473">
            <v>71.010000000000005</v>
          </cell>
          <cell r="G1473" t="str">
            <v>EUR</v>
          </cell>
          <cell r="H1473" t="e">
            <v>#VALUE!</v>
          </cell>
          <cell r="I1473" t="str">
            <v>TONTYPEHYLW</v>
          </cell>
        </row>
        <row r="1474">
          <cell r="D1474">
            <v>887813</v>
          </cell>
          <cell r="E1474" t="str">
            <v>EUR</v>
          </cell>
          <cell r="F1474">
            <v>82.21</v>
          </cell>
          <cell r="G1474" t="str">
            <v>EUR</v>
          </cell>
          <cell r="H1474" t="e">
            <v>#VALUE!</v>
          </cell>
          <cell r="I1474" t="str">
            <v>TONTYPEJBLA</v>
          </cell>
        </row>
        <row r="1475">
          <cell r="D1475">
            <v>887816</v>
          </cell>
          <cell r="E1475" t="str">
            <v>EUR</v>
          </cell>
          <cell r="F1475">
            <v>91.37</v>
          </cell>
          <cell r="G1475" t="str">
            <v>EUR</v>
          </cell>
          <cell r="H1475" t="e">
            <v>#VALUE!</v>
          </cell>
          <cell r="I1475" t="str">
            <v>TONTYPEJCYN</v>
          </cell>
        </row>
        <row r="1476">
          <cell r="D1476">
            <v>887815</v>
          </cell>
          <cell r="E1476" t="str">
            <v>EUR</v>
          </cell>
          <cell r="F1476">
            <v>91.37</v>
          </cell>
          <cell r="G1476" t="str">
            <v>EUR</v>
          </cell>
          <cell r="H1476" t="e">
            <v>#VALUE!</v>
          </cell>
          <cell r="I1476" t="str">
            <v>TONTYPEJMAG</v>
          </cell>
        </row>
        <row r="1477">
          <cell r="D1477">
            <v>887814</v>
          </cell>
          <cell r="E1477" t="str">
            <v>EUR</v>
          </cell>
          <cell r="F1477">
            <v>91.37</v>
          </cell>
          <cell r="G1477" t="str">
            <v>EUR</v>
          </cell>
          <cell r="H1477" t="e">
            <v>#VALUE!</v>
          </cell>
          <cell r="I1477" t="str">
            <v>TONTYPEJYLW</v>
          </cell>
        </row>
        <row r="1478">
          <cell r="D1478">
            <v>887914</v>
          </cell>
          <cell r="E1478" t="str">
            <v>EUR</v>
          </cell>
          <cell r="F1478">
            <v>46.51</v>
          </cell>
          <cell r="G1478" t="str">
            <v>EUR</v>
          </cell>
          <cell r="H1478" t="e">
            <v>#VALUE!</v>
          </cell>
          <cell r="I1478" t="str">
            <v>TONTYPEK1BLA</v>
          </cell>
        </row>
        <row r="1479">
          <cell r="D1479">
            <v>887933</v>
          </cell>
          <cell r="E1479" t="str">
            <v>EUR</v>
          </cell>
          <cell r="F1479">
            <v>118.84</v>
          </cell>
          <cell r="G1479" t="str">
            <v>EUR</v>
          </cell>
          <cell r="H1479" t="e">
            <v>#VALUE!</v>
          </cell>
          <cell r="I1479" t="str">
            <v>TONTYPEK1CYN</v>
          </cell>
        </row>
        <row r="1480">
          <cell r="D1480">
            <v>887927</v>
          </cell>
          <cell r="E1480" t="str">
            <v>EUR</v>
          </cell>
          <cell r="F1480">
            <v>118.84</v>
          </cell>
          <cell r="G1480" t="str">
            <v>EUR</v>
          </cell>
          <cell r="H1480" t="e">
            <v>#VALUE!</v>
          </cell>
          <cell r="I1480" t="str">
            <v>TONTYPEK1MAG</v>
          </cell>
        </row>
        <row r="1481">
          <cell r="D1481">
            <v>887921</v>
          </cell>
          <cell r="E1481" t="str">
            <v>EUR</v>
          </cell>
          <cell r="F1481">
            <v>118.84</v>
          </cell>
          <cell r="G1481" t="str">
            <v>EUR</v>
          </cell>
          <cell r="H1481" t="e">
            <v>#VALUE!</v>
          </cell>
          <cell r="I1481" t="str">
            <v>TONTYPEK1YLW</v>
          </cell>
        </row>
        <row r="1482">
          <cell r="D1482">
            <v>887890</v>
          </cell>
          <cell r="E1482" t="str">
            <v>EUR</v>
          </cell>
          <cell r="F1482">
            <v>124.45</v>
          </cell>
          <cell r="G1482" t="str">
            <v>EUR</v>
          </cell>
          <cell r="H1482" t="e">
            <v>#VALUE!</v>
          </cell>
          <cell r="I1482" t="str">
            <v>TONTYPEL1BLA</v>
          </cell>
        </row>
        <row r="1483">
          <cell r="D1483">
            <v>887908</v>
          </cell>
          <cell r="E1483" t="str">
            <v>EUR</v>
          </cell>
          <cell r="F1483">
            <v>141.44999999999999</v>
          </cell>
          <cell r="G1483" t="str">
            <v>EUR</v>
          </cell>
          <cell r="H1483" t="e">
            <v>#VALUE!</v>
          </cell>
          <cell r="I1483" t="str">
            <v>TONTYPEL1CYN</v>
          </cell>
        </row>
        <row r="1484">
          <cell r="D1484">
            <v>887902</v>
          </cell>
          <cell r="E1484" t="str">
            <v>EUR</v>
          </cell>
          <cell r="F1484">
            <v>141.44999999999999</v>
          </cell>
          <cell r="G1484" t="str">
            <v>EUR</v>
          </cell>
          <cell r="H1484" t="e">
            <v>#VALUE!</v>
          </cell>
          <cell r="I1484" t="str">
            <v>TONTYPEL1MAG</v>
          </cell>
        </row>
        <row r="1485">
          <cell r="D1485">
            <v>887896</v>
          </cell>
          <cell r="E1485" t="str">
            <v>EUR</v>
          </cell>
          <cell r="F1485">
            <v>141.44999999999999</v>
          </cell>
          <cell r="G1485" t="str">
            <v>EUR</v>
          </cell>
          <cell r="H1485" t="e">
            <v>#VALUE!</v>
          </cell>
          <cell r="I1485" t="str">
            <v>TONTYPEL1YLW</v>
          </cell>
        </row>
        <row r="1486">
          <cell r="D1486">
            <v>410303</v>
          </cell>
          <cell r="E1486" t="str">
            <v>EUR</v>
          </cell>
          <cell r="F1486">
            <v>71.95</v>
          </cell>
          <cell r="G1486" t="str">
            <v>EUR</v>
          </cell>
          <cell r="H1486" t="e">
            <v>#VALUE!</v>
          </cell>
          <cell r="I1486" t="str">
            <v>TONTYPE185</v>
          </cell>
        </row>
        <row r="1487">
          <cell r="D1487">
            <v>885195</v>
          </cell>
          <cell r="E1487" t="str">
            <v>EUR</v>
          </cell>
          <cell r="F1487">
            <v>141.65</v>
          </cell>
          <cell r="G1487" t="e">
            <v>#N/A</v>
          </cell>
          <cell r="H1487" t="e">
            <v>#N/A</v>
          </cell>
          <cell r="I1487" t="str">
            <v>TON6205FRA</v>
          </cell>
        </row>
        <row r="1488">
          <cell r="D1488">
            <v>401092</v>
          </cell>
          <cell r="E1488" t="str">
            <v>EUR</v>
          </cell>
          <cell r="F1488">
            <v>42.55</v>
          </cell>
          <cell r="G1488" t="e">
            <v>#N/A</v>
          </cell>
          <cell r="H1488" t="e">
            <v>#N/A</v>
          </cell>
          <cell r="I1488" t="str">
            <v>1120DTONER</v>
          </cell>
        </row>
        <row r="1489">
          <cell r="D1489">
            <v>401129</v>
          </cell>
          <cell r="E1489" t="str">
            <v>EUR</v>
          </cell>
          <cell r="F1489">
            <v>56.73</v>
          </cell>
          <cell r="G1489" t="e">
            <v>#N/A</v>
          </cell>
          <cell r="H1489" t="e">
            <v>#N/A</v>
          </cell>
          <cell r="I1489" t="str">
            <v>1125DTONUK</v>
          </cell>
        </row>
        <row r="1490">
          <cell r="D1490">
            <v>888029</v>
          </cell>
          <cell r="E1490" t="str">
            <v>EUR</v>
          </cell>
          <cell r="F1490">
            <v>61.33</v>
          </cell>
          <cell r="G1490" t="str">
            <v>EUR</v>
          </cell>
          <cell r="H1490" t="e">
            <v>#VALUE!</v>
          </cell>
          <cell r="I1490" t="str">
            <v>1160WTONER</v>
          </cell>
        </row>
        <row r="1491">
          <cell r="D1491">
            <v>885122</v>
          </cell>
          <cell r="E1491" t="str">
            <v>EUR</v>
          </cell>
          <cell r="F1491">
            <v>45.24</v>
          </cell>
          <cell r="G1491" t="e">
            <v>#N/A</v>
          </cell>
          <cell r="H1491" t="e">
            <v>#N/A</v>
          </cell>
          <cell r="I1491" t="str">
            <v>1205TONERUK</v>
          </cell>
        </row>
        <row r="1492">
          <cell r="D1492">
            <v>339588</v>
          </cell>
          <cell r="E1492" t="str">
            <v>EUR</v>
          </cell>
          <cell r="F1492">
            <v>141.93</v>
          </cell>
          <cell r="G1492" t="str">
            <v>EUR</v>
          </cell>
          <cell r="H1492" t="e">
            <v>#VALUE!</v>
          </cell>
          <cell r="I1492" t="str">
            <v>1210DTONER</v>
          </cell>
        </row>
        <row r="1493">
          <cell r="D1493">
            <v>887754</v>
          </cell>
          <cell r="E1493" t="str">
            <v>EUR</v>
          </cell>
          <cell r="F1493">
            <v>39.6</v>
          </cell>
          <cell r="G1493" t="e">
            <v>#N/A</v>
          </cell>
          <cell r="H1493" t="e">
            <v>#N/A</v>
          </cell>
          <cell r="I1493" t="str">
            <v>1215TONER</v>
          </cell>
        </row>
        <row r="1494">
          <cell r="D1494">
            <v>888078</v>
          </cell>
          <cell r="E1494" t="str">
            <v>EUR</v>
          </cell>
          <cell r="F1494">
            <v>37.99</v>
          </cell>
          <cell r="G1494" t="str">
            <v>EUR</v>
          </cell>
          <cell r="H1494" t="e">
            <v>#VALUE!</v>
          </cell>
          <cell r="I1494" t="str">
            <v>1215TONERKOR</v>
          </cell>
        </row>
        <row r="1495">
          <cell r="D1495">
            <v>888087</v>
          </cell>
          <cell r="E1495" t="str">
            <v>EUR</v>
          </cell>
          <cell r="F1495">
            <v>12.32</v>
          </cell>
          <cell r="G1495" t="str">
            <v>EUR</v>
          </cell>
          <cell r="H1495" t="e">
            <v>#VALUE!</v>
          </cell>
          <cell r="I1495" t="str">
            <v>1220DTONER</v>
          </cell>
        </row>
        <row r="1496">
          <cell r="D1496">
            <v>885258</v>
          </cell>
          <cell r="E1496" t="str">
            <v>EUR</v>
          </cell>
          <cell r="F1496">
            <v>9.33</v>
          </cell>
          <cell r="G1496" t="e">
            <v>#N/A</v>
          </cell>
          <cell r="H1496" t="e">
            <v>#N/A</v>
          </cell>
          <cell r="I1496" t="str">
            <v>1250DTONER</v>
          </cell>
        </row>
        <row r="1497">
          <cell r="D1497">
            <v>411073</v>
          </cell>
          <cell r="E1497" t="str">
            <v>EUR</v>
          </cell>
          <cell r="F1497">
            <v>44.14</v>
          </cell>
          <cell r="G1497" t="str">
            <v>EUR</v>
          </cell>
          <cell r="H1497" t="e">
            <v>#VALUE!</v>
          </cell>
          <cell r="I1497" t="str">
            <v>1255DTONCHN</v>
          </cell>
        </row>
        <row r="1498">
          <cell r="D1498">
            <v>887661</v>
          </cell>
          <cell r="E1498" t="str">
            <v>EUR</v>
          </cell>
          <cell r="F1498">
            <v>25.3</v>
          </cell>
          <cell r="G1498" t="e">
            <v>#N/A</v>
          </cell>
          <cell r="H1498" t="e">
            <v>#N/A</v>
          </cell>
          <cell r="I1498" t="str">
            <v>2050TONBLAUK</v>
          </cell>
        </row>
        <row r="1499">
          <cell r="D1499">
            <v>889309</v>
          </cell>
          <cell r="E1499" t="str">
            <v>EUR</v>
          </cell>
          <cell r="F1499">
            <v>49.08</v>
          </cell>
          <cell r="G1499" t="e">
            <v>#N/A</v>
          </cell>
          <cell r="H1499" t="e">
            <v>#N/A</v>
          </cell>
          <cell r="I1499" t="str">
            <v>2050TONERBLU</v>
          </cell>
        </row>
        <row r="1500">
          <cell r="D1500">
            <v>889313</v>
          </cell>
          <cell r="E1500" t="str">
            <v>EUR</v>
          </cell>
          <cell r="F1500">
            <v>49.08</v>
          </cell>
          <cell r="G1500" t="e">
            <v>#N/A</v>
          </cell>
          <cell r="H1500" t="e">
            <v>#N/A</v>
          </cell>
          <cell r="I1500" t="str">
            <v>2050TONERGRE</v>
          </cell>
        </row>
        <row r="1501">
          <cell r="D1501">
            <v>889776</v>
          </cell>
          <cell r="E1501" t="str">
            <v>EUR</v>
          </cell>
          <cell r="F1501">
            <v>184.92</v>
          </cell>
          <cell r="G1501" t="str">
            <v>EUR</v>
          </cell>
          <cell r="H1501" t="e">
            <v>#VALUE!</v>
          </cell>
          <cell r="I1501" t="str">
            <v>2200EXTONER</v>
          </cell>
        </row>
        <row r="1502">
          <cell r="D1502">
            <v>889614</v>
          </cell>
          <cell r="E1502" t="str">
            <v>EUR</v>
          </cell>
          <cell r="F1502">
            <v>47.8</v>
          </cell>
          <cell r="G1502" t="str">
            <v>EUR</v>
          </cell>
          <cell r="H1502" t="e">
            <v>#VALUE!</v>
          </cell>
          <cell r="I1502" t="str">
            <v>2205DTONER</v>
          </cell>
        </row>
        <row r="1503">
          <cell r="D1503">
            <v>887977</v>
          </cell>
          <cell r="E1503" t="str">
            <v>EUR</v>
          </cell>
          <cell r="F1503">
            <v>71.63</v>
          </cell>
          <cell r="G1503" t="e">
            <v>#N/A</v>
          </cell>
          <cell r="H1503" t="e">
            <v>#N/A</v>
          </cell>
          <cell r="I1503" t="str">
            <v>2210DTONER</v>
          </cell>
        </row>
        <row r="1504">
          <cell r="D1504">
            <v>885229</v>
          </cell>
          <cell r="E1504" t="str">
            <v>EUR</v>
          </cell>
          <cell r="F1504">
            <v>71.63</v>
          </cell>
          <cell r="G1504" t="e">
            <v>#N/A</v>
          </cell>
          <cell r="H1504" t="e">
            <v>#N/A</v>
          </cell>
          <cell r="I1504" t="str">
            <v>2210DTONER2</v>
          </cell>
        </row>
        <row r="1505">
          <cell r="D1505">
            <v>885266</v>
          </cell>
          <cell r="E1505" t="str">
            <v>EUR</v>
          </cell>
          <cell r="F1505">
            <v>12.21</v>
          </cell>
          <cell r="G1505" t="e">
            <v>#N/A</v>
          </cell>
          <cell r="H1505" t="e">
            <v>#N/A</v>
          </cell>
          <cell r="I1505" t="str">
            <v>2220DTONFRA</v>
          </cell>
        </row>
        <row r="1506">
          <cell r="D1506">
            <v>887620</v>
          </cell>
          <cell r="E1506" t="str">
            <v>EUR</v>
          </cell>
          <cell r="F1506">
            <v>28.01</v>
          </cell>
          <cell r="G1506" t="e">
            <v>#N/A</v>
          </cell>
          <cell r="H1506" t="e">
            <v>#N/A</v>
          </cell>
          <cell r="I1506" t="str">
            <v>3000TONERUK</v>
          </cell>
        </row>
        <row r="1507">
          <cell r="D1507">
            <v>889268</v>
          </cell>
          <cell r="E1507" t="str">
            <v>EUR</v>
          </cell>
          <cell r="F1507">
            <v>32.56</v>
          </cell>
          <cell r="G1507" t="str">
            <v>EUR</v>
          </cell>
          <cell r="H1507" t="e">
            <v>#VALUE!</v>
          </cell>
          <cell r="I1507" t="str">
            <v>310DEV</v>
          </cell>
        </row>
        <row r="1508">
          <cell r="D1508">
            <v>887612</v>
          </cell>
          <cell r="E1508" t="str">
            <v>EUR</v>
          </cell>
          <cell r="F1508">
            <v>18.05</v>
          </cell>
          <cell r="G1508" t="e">
            <v>#N/A</v>
          </cell>
          <cell r="H1508" t="e">
            <v>#N/A</v>
          </cell>
          <cell r="I1508" t="str">
            <v>310TONERUK</v>
          </cell>
        </row>
        <row r="1509">
          <cell r="D1509">
            <v>887681</v>
          </cell>
          <cell r="E1509" t="str">
            <v>EUR</v>
          </cell>
          <cell r="F1509">
            <v>18.05</v>
          </cell>
          <cell r="G1509" t="e">
            <v>#N/A</v>
          </cell>
          <cell r="H1509" t="e">
            <v>#N/A</v>
          </cell>
          <cell r="I1509" t="str">
            <v>320TONERUK</v>
          </cell>
        </row>
        <row r="1510">
          <cell r="D1510">
            <v>885137</v>
          </cell>
          <cell r="E1510" t="str">
            <v>EUR</v>
          </cell>
          <cell r="F1510">
            <v>97.05</v>
          </cell>
          <cell r="G1510" t="e">
            <v>#N/A</v>
          </cell>
          <cell r="H1510" t="e">
            <v>#N/A</v>
          </cell>
          <cell r="I1510" t="str">
            <v>3200DTONFRA</v>
          </cell>
        </row>
        <row r="1511">
          <cell r="D1511">
            <v>885180</v>
          </cell>
          <cell r="E1511" t="str">
            <v>EUR</v>
          </cell>
          <cell r="F1511">
            <v>97.05</v>
          </cell>
          <cell r="G1511" t="e">
            <v>#N/A</v>
          </cell>
          <cell r="H1511" t="e">
            <v>#N/A</v>
          </cell>
          <cell r="I1511" t="str">
            <v>3200DTONUK</v>
          </cell>
        </row>
        <row r="1512">
          <cell r="D1512">
            <v>888063</v>
          </cell>
          <cell r="E1512" t="str">
            <v>EUR</v>
          </cell>
          <cell r="F1512">
            <v>20.74</v>
          </cell>
          <cell r="G1512" t="e">
            <v>#N/A</v>
          </cell>
          <cell r="H1512" t="e">
            <v>#N/A</v>
          </cell>
          <cell r="I1512" t="str">
            <v>3205DTONER</v>
          </cell>
        </row>
        <row r="1513">
          <cell r="D1513">
            <v>885251</v>
          </cell>
          <cell r="E1513" t="str">
            <v>EUR</v>
          </cell>
          <cell r="F1513">
            <v>20.74</v>
          </cell>
          <cell r="G1513" t="e">
            <v>#N/A</v>
          </cell>
          <cell r="H1513" t="e">
            <v>#N/A</v>
          </cell>
          <cell r="I1513" t="str">
            <v>3205DTONFRA</v>
          </cell>
        </row>
        <row r="1514">
          <cell r="D1514">
            <v>889415</v>
          </cell>
          <cell r="E1514" t="str">
            <v>EUR</v>
          </cell>
          <cell r="F1514">
            <v>34.020000000000003</v>
          </cell>
          <cell r="G1514" t="e">
            <v>#N/A</v>
          </cell>
          <cell r="H1514" t="e">
            <v>#N/A</v>
          </cell>
          <cell r="I1514" t="str">
            <v>3300DEVUSA</v>
          </cell>
        </row>
        <row r="1515">
          <cell r="D1515">
            <v>889411</v>
          </cell>
          <cell r="E1515" t="str">
            <v>EUR</v>
          </cell>
          <cell r="F1515">
            <v>43.24</v>
          </cell>
          <cell r="G1515" t="e">
            <v>#N/A</v>
          </cell>
          <cell r="H1515" t="e">
            <v>#N/A</v>
          </cell>
          <cell r="I1515" t="str">
            <v>3300TONERUK</v>
          </cell>
        </row>
        <row r="1516">
          <cell r="D1516">
            <v>887133</v>
          </cell>
          <cell r="E1516" t="str">
            <v>EUR</v>
          </cell>
          <cell r="F1516">
            <v>49.15</v>
          </cell>
          <cell r="G1516" t="e">
            <v>#N/A</v>
          </cell>
          <cell r="H1516" t="e">
            <v>#N/A</v>
          </cell>
          <cell r="I1516" t="str">
            <v>4000DEVUSA</v>
          </cell>
        </row>
        <row r="1517">
          <cell r="D1517">
            <v>887621</v>
          </cell>
          <cell r="E1517" t="str">
            <v>EUR</v>
          </cell>
          <cell r="F1517">
            <v>36.85</v>
          </cell>
          <cell r="G1517" t="e">
            <v>#N/A</v>
          </cell>
          <cell r="H1517" t="e">
            <v>#N/A</v>
          </cell>
          <cell r="I1517" t="str">
            <v>4000TONERUK</v>
          </cell>
        </row>
        <row r="1518">
          <cell r="D1518">
            <v>887564</v>
          </cell>
          <cell r="E1518" t="str">
            <v>EUR</v>
          </cell>
          <cell r="F1518">
            <v>30.77</v>
          </cell>
          <cell r="G1518" t="str">
            <v>EUR</v>
          </cell>
          <cell r="H1518" t="e">
            <v>#VALUE!</v>
          </cell>
          <cell r="I1518" t="str">
            <v>4418DEVBLA</v>
          </cell>
        </row>
        <row r="1519">
          <cell r="D1519">
            <v>887566</v>
          </cell>
          <cell r="E1519" t="str">
            <v>EUR</v>
          </cell>
          <cell r="F1519">
            <v>63.82</v>
          </cell>
          <cell r="G1519" t="str">
            <v>EUR</v>
          </cell>
          <cell r="H1519" t="e">
            <v>#VALUE!</v>
          </cell>
          <cell r="I1519" t="str">
            <v>4418DEVBLU</v>
          </cell>
        </row>
        <row r="1520">
          <cell r="D1520">
            <v>887567</v>
          </cell>
          <cell r="E1520" t="str">
            <v>EUR</v>
          </cell>
          <cell r="F1520">
            <v>63.82</v>
          </cell>
          <cell r="G1520" t="str">
            <v>EUR</v>
          </cell>
          <cell r="H1520" t="e">
            <v>#VALUE!</v>
          </cell>
          <cell r="I1520" t="str">
            <v>4418DEVGRE</v>
          </cell>
        </row>
        <row r="1521">
          <cell r="D1521">
            <v>887565</v>
          </cell>
          <cell r="E1521" t="str">
            <v>EUR</v>
          </cell>
          <cell r="F1521">
            <v>60.65</v>
          </cell>
          <cell r="G1521" t="str">
            <v>EUR</v>
          </cell>
          <cell r="H1521" t="e">
            <v>#VALUE!</v>
          </cell>
          <cell r="I1521" t="str">
            <v>4418DEVRED</v>
          </cell>
        </row>
        <row r="1522">
          <cell r="D1522">
            <v>887610</v>
          </cell>
          <cell r="E1522" t="str">
            <v>EUR</v>
          </cell>
          <cell r="F1522">
            <v>37.83</v>
          </cell>
          <cell r="G1522" t="e">
            <v>#N/A</v>
          </cell>
          <cell r="H1522" t="e">
            <v>#N/A</v>
          </cell>
          <cell r="I1522" t="str">
            <v>4418TONBLAUK</v>
          </cell>
        </row>
        <row r="1523">
          <cell r="D1523">
            <v>887530</v>
          </cell>
          <cell r="E1523" t="str">
            <v>EUR</v>
          </cell>
          <cell r="F1523">
            <v>43.13</v>
          </cell>
          <cell r="G1523" t="str">
            <v>EUR</v>
          </cell>
          <cell r="H1523" t="e">
            <v>#VALUE!</v>
          </cell>
          <cell r="I1523" t="str">
            <v>4418TONERBLU</v>
          </cell>
        </row>
        <row r="1524">
          <cell r="D1524">
            <v>887533</v>
          </cell>
          <cell r="E1524" t="str">
            <v>EUR</v>
          </cell>
          <cell r="F1524">
            <v>43.13</v>
          </cell>
          <cell r="G1524" t="str">
            <v>EUR</v>
          </cell>
          <cell r="H1524" t="e">
            <v>#VALUE!</v>
          </cell>
          <cell r="I1524" t="str">
            <v>4418TONERGRE</v>
          </cell>
        </row>
        <row r="1525">
          <cell r="D1525">
            <v>887527</v>
          </cell>
          <cell r="E1525" t="str">
            <v>EUR</v>
          </cell>
          <cell r="F1525">
            <v>43.13</v>
          </cell>
          <cell r="G1525" t="str">
            <v>EUR</v>
          </cell>
          <cell r="H1525" t="e">
            <v>#VALUE!</v>
          </cell>
          <cell r="I1525" t="str">
            <v>4418TONERRED</v>
          </cell>
        </row>
        <row r="1526">
          <cell r="D1526">
            <v>887704</v>
          </cell>
          <cell r="E1526" t="str">
            <v>EUR</v>
          </cell>
          <cell r="F1526">
            <v>43.13</v>
          </cell>
          <cell r="G1526" t="str">
            <v>EUR</v>
          </cell>
          <cell r="H1526" t="e">
            <v>#VALUE!</v>
          </cell>
          <cell r="I1526" t="str">
            <v>4422TONER</v>
          </cell>
        </row>
        <row r="1527">
          <cell r="D1527">
            <v>887459</v>
          </cell>
          <cell r="E1527" t="str">
            <v>EUR</v>
          </cell>
          <cell r="F1527">
            <v>128.80000000000001</v>
          </cell>
          <cell r="G1527" t="str">
            <v>EUR</v>
          </cell>
          <cell r="H1527" t="e">
            <v>#VALUE!</v>
          </cell>
          <cell r="I1527" t="str">
            <v>4460TONERBLA</v>
          </cell>
        </row>
        <row r="1528">
          <cell r="D1528">
            <v>887453</v>
          </cell>
          <cell r="E1528" t="str">
            <v>EUR</v>
          </cell>
          <cell r="F1528">
            <v>37.1</v>
          </cell>
          <cell r="G1528" t="str">
            <v>EUR</v>
          </cell>
          <cell r="H1528" t="e">
            <v>#VALUE!</v>
          </cell>
          <cell r="I1528" t="str">
            <v>4460TONERBLU</v>
          </cell>
        </row>
        <row r="1529">
          <cell r="D1529">
            <v>887454</v>
          </cell>
          <cell r="E1529" t="str">
            <v>EUR</v>
          </cell>
          <cell r="F1529">
            <v>37.1</v>
          </cell>
          <cell r="G1529" t="str">
            <v>EUR</v>
          </cell>
          <cell r="H1529" t="e">
            <v>#VALUE!</v>
          </cell>
          <cell r="I1529" t="str">
            <v>4460TONERGRE</v>
          </cell>
        </row>
        <row r="1530">
          <cell r="D1530">
            <v>887452</v>
          </cell>
          <cell r="E1530" t="str">
            <v>EUR</v>
          </cell>
          <cell r="F1530">
            <v>37.1</v>
          </cell>
          <cell r="G1530" t="str">
            <v>EUR</v>
          </cell>
          <cell r="H1530" t="e">
            <v>#VALUE!</v>
          </cell>
          <cell r="I1530" t="str">
            <v>4460TONERRED</v>
          </cell>
        </row>
        <row r="1531">
          <cell r="D1531">
            <v>889490</v>
          </cell>
          <cell r="E1531" t="str">
            <v>EUR</v>
          </cell>
          <cell r="F1531">
            <v>31.21</v>
          </cell>
          <cell r="G1531" t="e">
            <v>#N/A</v>
          </cell>
          <cell r="H1531" t="e">
            <v>#N/A</v>
          </cell>
          <cell r="I1531" t="str">
            <v>450TONERUK</v>
          </cell>
        </row>
        <row r="1532">
          <cell r="D1532">
            <v>887622</v>
          </cell>
          <cell r="E1532" t="str">
            <v>EUR</v>
          </cell>
          <cell r="F1532">
            <v>33.9</v>
          </cell>
          <cell r="G1532" t="e">
            <v>#N/A</v>
          </cell>
          <cell r="H1532" t="e">
            <v>#N/A</v>
          </cell>
          <cell r="I1532" t="str">
            <v>5000TONERUK</v>
          </cell>
        </row>
        <row r="1533">
          <cell r="D1533">
            <v>887655</v>
          </cell>
          <cell r="E1533" t="str">
            <v>EUR</v>
          </cell>
          <cell r="F1533">
            <v>56.51</v>
          </cell>
          <cell r="G1533" t="e">
            <v>#N/A</v>
          </cell>
          <cell r="H1533" t="e">
            <v>#N/A</v>
          </cell>
          <cell r="I1533" t="str">
            <v>5010TONBLUK</v>
          </cell>
        </row>
        <row r="1534">
          <cell r="D1534">
            <v>889292</v>
          </cell>
          <cell r="E1534" t="str">
            <v>EUR</v>
          </cell>
          <cell r="F1534">
            <v>23.56</v>
          </cell>
          <cell r="G1534" t="str">
            <v>EUR</v>
          </cell>
          <cell r="H1534" t="e">
            <v>#VALUE!</v>
          </cell>
          <cell r="I1534" t="str">
            <v>510DEVBLU</v>
          </cell>
        </row>
        <row r="1535">
          <cell r="D1535">
            <v>889289</v>
          </cell>
          <cell r="E1535" t="str">
            <v>EUR</v>
          </cell>
          <cell r="F1535">
            <v>23.56</v>
          </cell>
          <cell r="G1535" t="str">
            <v>EUR</v>
          </cell>
          <cell r="H1535" t="e">
            <v>#VALUE!</v>
          </cell>
          <cell r="I1535" t="str">
            <v>510DEVRED</v>
          </cell>
        </row>
        <row r="1536">
          <cell r="D1536">
            <v>887616</v>
          </cell>
          <cell r="E1536" t="str">
            <v>EUR</v>
          </cell>
          <cell r="F1536">
            <v>37.54</v>
          </cell>
          <cell r="G1536" t="e">
            <v>#N/A</v>
          </cell>
          <cell r="H1536" t="e">
            <v>#N/A</v>
          </cell>
          <cell r="I1536" t="str">
            <v>510TONBLAUK</v>
          </cell>
        </row>
        <row r="1537">
          <cell r="D1537">
            <v>889283</v>
          </cell>
          <cell r="E1537" t="str">
            <v>EUR</v>
          </cell>
          <cell r="F1537">
            <v>42.03</v>
          </cell>
          <cell r="G1537" t="str">
            <v>EUR</v>
          </cell>
          <cell r="H1537" t="e">
            <v>#VALUE!</v>
          </cell>
          <cell r="I1537" t="str">
            <v>510TONERBLU</v>
          </cell>
        </row>
        <row r="1538">
          <cell r="D1538">
            <v>889286</v>
          </cell>
          <cell r="E1538" t="str">
            <v>EUR</v>
          </cell>
          <cell r="F1538">
            <v>42.03</v>
          </cell>
          <cell r="G1538" t="str">
            <v>EUR</v>
          </cell>
          <cell r="H1538" t="e">
            <v>#VALUE!</v>
          </cell>
          <cell r="I1538" t="str">
            <v>510TONERGRE</v>
          </cell>
        </row>
        <row r="1539">
          <cell r="D1539">
            <v>889280</v>
          </cell>
          <cell r="E1539" t="str">
            <v>EUR</v>
          </cell>
          <cell r="F1539">
            <v>42.03</v>
          </cell>
          <cell r="G1539" t="str">
            <v>EUR</v>
          </cell>
          <cell r="H1539" t="e">
            <v>#VALUE!</v>
          </cell>
          <cell r="I1539" t="str">
            <v>510TONERRED</v>
          </cell>
        </row>
        <row r="1540">
          <cell r="D1540">
            <v>887741</v>
          </cell>
          <cell r="E1540" t="str">
            <v>EUR</v>
          </cell>
          <cell r="F1540">
            <v>124.82</v>
          </cell>
          <cell r="G1540" t="e">
            <v>#N/A</v>
          </cell>
          <cell r="H1540" t="e">
            <v>#N/A</v>
          </cell>
          <cell r="I1540" t="str">
            <v>5200DTONER</v>
          </cell>
        </row>
        <row r="1541">
          <cell r="D1541">
            <v>885190</v>
          </cell>
          <cell r="E1541" t="str">
            <v>EUR</v>
          </cell>
          <cell r="F1541">
            <v>117.3</v>
          </cell>
          <cell r="G1541" t="e">
            <v>#N/A</v>
          </cell>
          <cell r="H1541" t="e">
            <v>#N/A</v>
          </cell>
          <cell r="I1541" t="str">
            <v>5200DTONFRA</v>
          </cell>
        </row>
        <row r="1542">
          <cell r="D1542">
            <v>887995</v>
          </cell>
          <cell r="E1542" t="str">
            <v>EUR</v>
          </cell>
          <cell r="F1542">
            <v>123.32</v>
          </cell>
          <cell r="G1542" t="e">
            <v>#N/A</v>
          </cell>
          <cell r="H1542" t="e">
            <v>#N/A</v>
          </cell>
          <cell r="I1542" t="str">
            <v>5205DTONER</v>
          </cell>
        </row>
        <row r="1543">
          <cell r="D1543">
            <v>885241</v>
          </cell>
          <cell r="E1543" t="str">
            <v>EUR</v>
          </cell>
          <cell r="F1543">
            <v>123.32</v>
          </cell>
          <cell r="G1543" t="e">
            <v>#N/A</v>
          </cell>
          <cell r="H1543" t="e">
            <v>#N/A</v>
          </cell>
          <cell r="I1543" t="str">
            <v>5205DTONER2</v>
          </cell>
        </row>
        <row r="1544">
          <cell r="D1544">
            <v>887642</v>
          </cell>
          <cell r="E1544" t="str">
            <v>EUR</v>
          </cell>
          <cell r="F1544">
            <v>113.22</v>
          </cell>
          <cell r="G1544" t="e">
            <v>#N/A</v>
          </cell>
          <cell r="H1544" t="e">
            <v>#N/A</v>
          </cell>
          <cell r="I1544" t="str">
            <v>610TONERUK</v>
          </cell>
        </row>
        <row r="1545">
          <cell r="D1545">
            <v>885274</v>
          </cell>
          <cell r="E1545" t="str">
            <v>EUR</v>
          </cell>
          <cell r="F1545">
            <v>29.79</v>
          </cell>
          <cell r="G1545" t="e">
            <v>#N/A</v>
          </cell>
          <cell r="H1545" t="e">
            <v>#N/A</v>
          </cell>
          <cell r="I1545" t="str">
            <v>6210DTONER</v>
          </cell>
        </row>
        <row r="1546">
          <cell r="D1546">
            <v>887576</v>
          </cell>
          <cell r="E1546" t="str">
            <v>EUR</v>
          </cell>
          <cell r="F1546">
            <v>63.8</v>
          </cell>
          <cell r="G1546" t="str">
            <v>EUR</v>
          </cell>
          <cell r="H1546" t="e">
            <v>#VALUE!</v>
          </cell>
          <cell r="I1546" t="str">
            <v>670DEV</v>
          </cell>
        </row>
        <row r="1547">
          <cell r="D1547">
            <v>887571</v>
          </cell>
          <cell r="E1547" t="str">
            <v>EUR</v>
          </cell>
          <cell r="F1547">
            <v>45.23</v>
          </cell>
          <cell r="G1547" t="e">
            <v>#N/A</v>
          </cell>
          <cell r="H1547" t="e">
            <v>#N/A</v>
          </cell>
          <cell r="I1547" t="str">
            <v>670TONERUSA</v>
          </cell>
        </row>
        <row r="1548">
          <cell r="D1548">
            <v>887656</v>
          </cell>
          <cell r="E1548" t="str">
            <v>EUR</v>
          </cell>
          <cell r="F1548">
            <v>69.62</v>
          </cell>
          <cell r="G1548" t="e">
            <v>#N/A</v>
          </cell>
          <cell r="H1548" t="e">
            <v>#N/A</v>
          </cell>
          <cell r="I1548" t="str">
            <v>7770TONERUK</v>
          </cell>
        </row>
        <row r="1549">
          <cell r="D1549">
            <v>887447</v>
          </cell>
          <cell r="E1549" t="str">
            <v>EUR</v>
          </cell>
          <cell r="F1549">
            <v>468.88</v>
          </cell>
          <cell r="G1549" t="str">
            <v>EUR</v>
          </cell>
          <cell r="H1549" t="e">
            <v>#VALUE!</v>
          </cell>
          <cell r="I1549" t="str">
            <v>800TONERBLA</v>
          </cell>
        </row>
        <row r="1550">
          <cell r="D1550">
            <v>889553</v>
          </cell>
          <cell r="E1550" t="str">
            <v>EUR</v>
          </cell>
          <cell r="F1550">
            <v>30.28</v>
          </cell>
          <cell r="G1550" t="str">
            <v>EUR</v>
          </cell>
          <cell r="H1550" t="e">
            <v>#VALUE!</v>
          </cell>
          <cell r="I1550" t="str">
            <v>8015DEVBLA</v>
          </cell>
        </row>
        <row r="1551">
          <cell r="D1551">
            <v>889562</v>
          </cell>
          <cell r="E1551" t="str">
            <v>EUR</v>
          </cell>
          <cell r="F1551">
            <v>30.28</v>
          </cell>
          <cell r="G1551" t="str">
            <v>EUR</v>
          </cell>
          <cell r="H1551" t="e">
            <v>#VALUE!</v>
          </cell>
          <cell r="I1551" t="str">
            <v>8015DEVCYN</v>
          </cell>
        </row>
        <row r="1552">
          <cell r="D1552">
            <v>889556</v>
          </cell>
          <cell r="E1552" t="str">
            <v>EUR</v>
          </cell>
          <cell r="F1552">
            <v>30.28</v>
          </cell>
          <cell r="G1552" t="str">
            <v>EUR</v>
          </cell>
          <cell r="H1552" t="e">
            <v>#VALUE!</v>
          </cell>
          <cell r="I1552" t="str">
            <v>8015DEVYLW</v>
          </cell>
        </row>
        <row r="1553">
          <cell r="D1553">
            <v>889541</v>
          </cell>
          <cell r="E1553" t="str">
            <v>EUR</v>
          </cell>
          <cell r="F1553">
            <v>173.12</v>
          </cell>
          <cell r="G1553" t="str">
            <v>EUR</v>
          </cell>
          <cell r="H1553" t="e">
            <v>#VALUE!</v>
          </cell>
          <cell r="I1553" t="str">
            <v>8015TONBLA</v>
          </cell>
        </row>
        <row r="1554">
          <cell r="D1554">
            <v>889550</v>
          </cell>
          <cell r="E1554" t="str">
            <v>EUR</v>
          </cell>
          <cell r="F1554">
            <v>173.12</v>
          </cell>
          <cell r="G1554" t="str">
            <v>EUR</v>
          </cell>
          <cell r="H1554" t="e">
            <v>#VALUE!</v>
          </cell>
          <cell r="I1554" t="str">
            <v>8015TONCYN</v>
          </cell>
        </row>
        <row r="1555">
          <cell r="D1555">
            <v>889547</v>
          </cell>
          <cell r="E1555" t="str">
            <v>EUR</v>
          </cell>
          <cell r="F1555">
            <v>173.12</v>
          </cell>
          <cell r="G1555" t="str">
            <v>EUR</v>
          </cell>
          <cell r="H1555" t="e">
            <v>#VALUE!</v>
          </cell>
          <cell r="I1555" t="str">
            <v>8015TONMAG</v>
          </cell>
        </row>
        <row r="1556">
          <cell r="D1556">
            <v>889544</v>
          </cell>
          <cell r="E1556" t="str">
            <v>EUR</v>
          </cell>
          <cell r="F1556">
            <v>173.12</v>
          </cell>
          <cell r="G1556" t="str">
            <v>EUR</v>
          </cell>
          <cell r="H1556" t="e">
            <v>#VALUE!</v>
          </cell>
          <cell r="I1556" t="str">
            <v>8015TONYLW</v>
          </cell>
        </row>
        <row r="1557">
          <cell r="D1557">
            <v>887188</v>
          </cell>
          <cell r="E1557" t="str">
            <v>EUR</v>
          </cell>
          <cell r="F1557">
            <v>153.5</v>
          </cell>
          <cell r="G1557" t="str">
            <v>EUR</v>
          </cell>
          <cell r="H1557" t="e">
            <v>#VALUE!</v>
          </cell>
          <cell r="I1557" t="str">
            <v>820DEV</v>
          </cell>
        </row>
        <row r="1558">
          <cell r="D1558">
            <v>888009</v>
          </cell>
          <cell r="E1558" t="str">
            <v>EUR</v>
          </cell>
          <cell r="F1558">
            <v>131.97999999999999</v>
          </cell>
          <cell r="G1558" t="str">
            <v>EUR</v>
          </cell>
          <cell r="H1558" t="e">
            <v>#VALUE!</v>
          </cell>
          <cell r="I1558" t="str">
            <v>8200DTONER</v>
          </cell>
        </row>
        <row r="1559">
          <cell r="D1559">
            <v>888157</v>
          </cell>
          <cell r="E1559" t="str">
            <v>EUR</v>
          </cell>
          <cell r="F1559">
            <v>34.229999999999997</v>
          </cell>
          <cell r="G1559" t="e">
            <v>#N/A</v>
          </cell>
          <cell r="H1559" t="e">
            <v>#N/A</v>
          </cell>
          <cell r="I1559" t="str">
            <v>8205DTONER</v>
          </cell>
        </row>
        <row r="1560">
          <cell r="D1560">
            <v>885344</v>
          </cell>
          <cell r="E1560" t="str">
            <v>EUR</v>
          </cell>
          <cell r="F1560">
            <v>34.229999999999997</v>
          </cell>
          <cell r="G1560" t="e">
            <v>#N/A</v>
          </cell>
          <cell r="H1560" t="e">
            <v>#N/A</v>
          </cell>
          <cell r="I1560" t="str">
            <v>8205DTONFRA</v>
          </cell>
        </row>
        <row r="1561">
          <cell r="D1561">
            <v>889580</v>
          </cell>
          <cell r="E1561" t="str">
            <v>EUR</v>
          </cell>
          <cell r="F1561">
            <v>138.01</v>
          </cell>
          <cell r="G1561" t="str">
            <v>EUR</v>
          </cell>
          <cell r="H1561" t="e">
            <v>#VALUE!</v>
          </cell>
          <cell r="I1561" t="str">
            <v>8800DEVBLA</v>
          </cell>
        </row>
        <row r="1562">
          <cell r="D1562">
            <v>887695</v>
          </cell>
          <cell r="E1562" t="str">
            <v>EUR</v>
          </cell>
          <cell r="F1562">
            <v>238.17</v>
          </cell>
          <cell r="G1562" t="e">
            <v>#N/A</v>
          </cell>
          <cell r="H1562" t="e">
            <v>#N/A</v>
          </cell>
          <cell r="I1562" t="str">
            <v>8800TONERUK</v>
          </cell>
        </row>
        <row r="1563">
          <cell r="D1563">
            <v>209890</v>
          </cell>
          <cell r="E1563" t="str">
            <v>EUR</v>
          </cell>
          <cell r="F1563">
            <v>104.21</v>
          </cell>
          <cell r="G1563" t="str">
            <v>EUR</v>
          </cell>
          <cell r="H1563" t="e">
            <v>#VALUE!</v>
          </cell>
          <cell r="I1563" t="str">
            <v>AF251MAST</v>
          </cell>
        </row>
        <row r="1564">
          <cell r="D1564">
            <v>400398</v>
          </cell>
          <cell r="E1564" t="str">
            <v>EUR</v>
          </cell>
          <cell r="F1564">
            <v>57.15</v>
          </cell>
          <cell r="G1564" t="str">
            <v>EUR</v>
          </cell>
          <cell r="H1564" t="e">
            <v>#VALUE!</v>
          </cell>
          <cell r="I1564" t="str">
            <v>AP1400TONER</v>
          </cell>
        </row>
        <row r="1565">
          <cell r="D1565">
            <v>923961</v>
          </cell>
          <cell r="E1565" t="str">
            <v>EUR</v>
          </cell>
          <cell r="F1565">
            <v>107.99</v>
          </cell>
          <cell r="G1565" t="e">
            <v>#N/A</v>
          </cell>
          <cell r="H1565" t="e">
            <v>#N/A</v>
          </cell>
          <cell r="I1565" t="str">
            <v>AP1610TONER</v>
          </cell>
        </row>
        <row r="1566">
          <cell r="D1566">
            <v>400679</v>
          </cell>
          <cell r="E1566" t="str">
            <v>EUR</v>
          </cell>
          <cell r="F1566">
            <v>143.82</v>
          </cell>
          <cell r="G1566" t="e">
            <v>#N/A</v>
          </cell>
          <cell r="H1566" t="e">
            <v>#N/A</v>
          </cell>
          <cell r="I1566" t="str">
            <v>AP200TONCHN</v>
          </cell>
        </row>
        <row r="1567">
          <cell r="D1567">
            <v>400618</v>
          </cell>
          <cell r="E1567" t="str">
            <v>EUR</v>
          </cell>
          <cell r="F1567">
            <v>147.27000000000001</v>
          </cell>
          <cell r="G1567" t="e">
            <v>#N/A</v>
          </cell>
          <cell r="H1567" t="e">
            <v>#N/A</v>
          </cell>
          <cell r="I1567" t="str">
            <v>AP200TONER</v>
          </cell>
        </row>
        <row r="1568">
          <cell r="D1568">
            <v>400395</v>
          </cell>
          <cell r="E1568" t="str">
            <v>EUR</v>
          </cell>
          <cell r="F1568">
            <v>95.43</v>
          </cell>
          <cell r="G1568" t="str">
            <v>EUR</v>
          </cell>
          <cell r="H1568" t="e">
            <v>#VALUE!</v>
          </cell>
          <cell r="I1568" t="str">
            <v>AP2000TONER</v>
          </cell>
        </row>
        <row r="1569">
          <cell r="D1569">
            <v>400321</v>
          </cell>
          <cell r="E1569" t="str">
            <v>EUR</v>
          </cell>
          <cell r="F1569">
            <v>25.22</v>
          </cell>
          <cell r="G1569" t="str">
            <v>EUR</v>
          </cell>
          <cell r="H1569" t="e">
            <v>#VALUE!</v>
          </cell>
          <cell r="I1569" t="str">
            <v>AP204OIL</v>
          </cell>
        </row>
        <row r="1570">
          <cell r="D1570">
            <v>400320</v>
          </cell>
          <cell r="E1570" t="str">
            <v>EUR</v>
          </cell>
          <cell r="F1570">
            <v>136.46</v>
          </cell>
          <cell r="G1570" t="str">
            <v>EUR</v>
          </cell>
          <cell r="H1570" t="e">
            <v>#VALUE!</v>
          </cell>
          <cell r="I1570" t="str">
            <v>AP204PCU</v>
          </cell>
        </row>
        <row r="1571">
          <cell r="D1571">
            <v>400316</v>
          </cell>
          <cell r="E1571" t="str">
            <v>EUR</v>
          </cell>
          <cell r="F1571">
            <v>63.16</v>
          </cell>
          <cell r="G1571" t="str">
            <v>EUR</v>
          </cell>
          <cell r="H1571" t="e">
            <v>#VALUE!</v>
          </cell>
          <cell r="I1571" t="str">
            <v>AP204TONBLA</v>
          </cell>
        </row>
        <row r="1572">
          <cell r="D1572">
            <v>400317</v>
          </cell>
          <cell r="E1572" t="str">
            <v>EUR</v>
          </cell>
          <cell r="F1572">
            <v>56.38</v>
          </cell>
          <cell r="G1572" t="str">
            <v>EUR</v>
          </cell>
          <cell r="H1572" t="e">
            <v>#VALUE!</v>
          </cell>
          <cell r="I1572" t="str">
            <v>AP204TONCYN</v>
          </cell>
        </row>
        <row r="1573">
          <cell r="D1573">
            <v>400318</v>
          </cell>
          <cell r="E1573" t="str">
            <v>EUR</v>
          </cell>
          <cell r="F1573">
            <v>56.38</v>
          </cell>
          <cell r="G1573" t="str">
            <v>EUR</v>
          </cell>
          <cell r="H1573" t="e">
            <v>#VALUE!</v>
          </cell>
          <cell r="I1573" t="str">
            <v>AP204TONMAG</v>
          </cell>
        </row>
        <row r="1574">
          <cell r="D1574">
            <v>400319</v>
          </cell>
          <cell r="E1574" t="str">
            <v>EUR</v>
          </cell>
          <cell r="F1574">
            <v>56.38</v>
          </cell>
          <cell r="G1574" t="str">
            <v>EUR</v>
          </cell>
          <cell r="H1574" t="e">
            <v>#VALUE!</v>
          </cell>
          <cell r="I1574" t="str">
            <v>AP204TONYLW</v>
          </cell>
        </row>
        <row r="1575">
          <cell r="D1575">
            <v>400322</v>
          </cell>
          <cell r="E1575" t="str">
            <v>EUR</v>
          </cell>
          <cell r="F1575">
            <v>8.2799999999999994</v>
          </cell>
          <cell r="G1575" t="str">
            <v>EUR</v>
          </cell>
          <cell r="H1575" t="e">
            <v>#VALUE!</v>
          </cell>
          <cell r="I1575" t="str">
            <v>AP204WASTE</v>
          </cell>
        </row>
        <row r="1576">
          <cell r="D1576">
            <v>400514</v>
          </cell>
          <cell r="E1576" t="str">
            <v>EUR</v>
          </cell>
          <cell r="F1576">
            <v>25.92</v>
          </cell>
          <cell r="G1576" t="str">
            <v>EUR</v>
          </cell>
          <cell r="H1576" t="e">
            <v>#VALUE!</v>
          </cell>
          <cell r="I1576" t="str">
            <v>AP206FUSER</v>
          </cell>
        </row>
        <row r="1577">
          <cell r="D1577">
            <v>400511</v>
          </cell>
          <cell r="E1577" t="str">
            <v>EUR</v>
          </cell>
          <cell r="F1577">
            <v>151.63</v>
          </cell>
          <cell r="G1577" t="str">
            <v>EUR</v>
          </cell>
          <cell r="H1577" t="e">
            <v>#VALUE!</v>
          </cell>
          <cell r="I1577" t="str">
            <v>AP206PCU</v>
          </cell>
        </row>
        <row r="1578">
          <cell r="D1578">
            <v>400507</v>
          </cell>
          <cell r="E1578" t="str">
            <v>EUR</v>
          </cell>
          <cell r="F1578">
            <v>73.680000000000007</v>
          </cell>
          <cell r="G1578" t="str">
            <v>EUR</v>
          </cell>
          <cell r="H1578" t="e">
            <v>#VALUE!</v>
          </cell>
          <cell r="I1578" t="str">
            <v>AP206TONBLA</v>
          </cell>
        </row>
        <row r="1579">
          <cell r="D1579">
            <v>400508</v>
          </cell>
          <cell r="E1579" t="str">
            <v>EUR</v>
          </cell>
          <cell r="F1579">
            <v>69.739999999999995</v>
          </cell>
          <cell r="G1579" t="str">
            <v>EUR</v>
          </cell>
          <cell r="H1579" t="e">
            <v>#VALUE!</v>
          </cell>
          <cell r="I1579" t="str">
            <v>AP206TONCYN</v>
          </cell>
        </row>
        <row r="1580">
          <cell r="D1580">
            <v>400509</v>
          </cell>
          <cell r="E1580" t="str">
            <v>EUR</v>
          </cell>
          <cell r="F1580">
            <v>69.739999999999995</v>
          </cell>
          <cell r="G1580" t="str">
            <v>EUR</v>
          </cell>
          <cell r="H1580" t="e">
            <v>#VALUE!</v>
          </cell>
          <cell r="I1580" t="str">
            <v>AP206TONMAG</v>
          </cell>
        </row>
        <row r="1581">
          <cell r="D1581">
            <v>400510</v>
          </cell>
          <cell r="E1581" t="str">
            <v>EUR</v>
          </cell>
          <cell r="F1581">
            <v>69.739999999999995</v>
          </cell>
          <cell r="G1581" t="str">
            <v>EUR</v>
          </cell>
          <cell r="H1581" t="e">
            <v>#VALUE!</v>
          </cell>
          <cell r="I1581" t="str">
            <v>AP206TONYLW</v>
          </cell>
        </row>
        <row r="1582">
          <cell r="D1582">
            <v>400513</v>
          </cell>
          <cell r="E1582" t="str">
            <v>EUR</v>
          </cell>
          <cell r="F1582">
            <v>8.2799999999999994</v>
          </cell>
          <cell r="G1582" t="str">
            <v>EUR</v>
          </cell>
          <cell r="H1582" t="e">
            <v>#VALUE!</v>
          </cell>
          <cell r="I1582" t="str">
            <v>AP206WASTE</v>
          </cell>
        </row>
        <row r="1583">
          <cell r="D1583">
            <v>400760</v>
          </cell>
          <cell r="E1583" t="str">
            <v>EUR</v>
          </cell>
          <cell r="F1583">
            <v>147.27000000000001</v>
          </cell>
          <cell r="G1583" t="str">
            <v>EUR</v>
          </cell>
          <cell r="H1583" t="e">
            <v>#VALUE!</v>
          </cell>
          <cell r="I1583" t="str">
            <v>AP215TONCHN</v>
          </cell>
        </row>
        <row r="1584">
          <cell r="D1584">
            <v>400342</v>
          </cell>
          <cell r="E1584" t="str">
            <v>EUR</v>
          </cell>
          <cell r="F1584">
            <v>17.45</v>
          </cell>
          <cell r="G1584" t="e">
            <v>#N/A</v>
          </cell>
          <cell r="H1584" t="e">
            <v>#N/A</v>
          </cell>
          <cell r="I1584" t="str">
            <v>AP305OIL</v>
          </cell>
        </row>
        <row r="1585">
          <cell r="D1585">
            <v>400344</v>
          </cell>
          <cell r="E1585" t="str">
            <v>EUR</v>
          </cell>
          <cell r="F1585">
            <v>231.68</v>
          </cell>
          <cell r="G1585" t="str">
            <v>EUR</v>
          </cell>
          <cell r="H1585" t="e">
            <v>#VALUE!</v>
          </cell>
          <cell r="I1585" t="str">
            <v>AP305PCU</v>
          </cell>
        </row>
        <row r="1586">
          <cell r="D1586">
            <v>400338</v>
          </cell>
          <cell r="E1586" t="str">
            <v>EUR</v>
          </cell>
          <cell r="F1586">
            <v>81</v>
          </cell>
          <cell r="G1586" t="e">
            <v>#N/A</v>
          </cell>
          <cell r="H1586" t="e">
            <v>#N/A</v>
          </cell>
          <cell r="I1586" t="str">
            <v>AP305TONBLA</v>
          </cell>
        </row>
        <row r="1587">
          <cell r="D1587">
            <v>400339</v>
          </cell>
          <cell r="E1587" t="str">
            <v>EUR</v>
          </cell>
          <cell r="F1587">
            <v>100</v>
          </cell>
          <cell r="G1587" t="e">
            <v>#N/A</v>
          </cell>
          <cell r="H1587" t="e">
            <v>#N/A</v>
          </cell>
          <cell r="I1587" t="str">
            <v>AP305TONCYN</v>
          </cell>
        </row>
        <row r="1588">
          <cell r="D1588">
            <v>400340</v>
          </cell>
          <cell r="E1588" t="str">
            <v>EUR</v>
          </cell>
          <cell r="F1588">
            <v>100</v>
          </cell>
          <cell r="G1588" t="e">
            <v>#N/A</v>
          </cell>
          <cell r="H1588" t="e">
            <v>#N/A</v>
          </cell>
          <cell r="I1588" t="str">
            <v>AP305TONMAG</v>
          </cell>
        </row>
        <row r="1589">
          <cell r="D1589">
            <v>400341</v>
          </cell>
          <cell r="E1589" t="str">
            <v>EUR</v>
          </cell>
          <cell r="F1589">
            <v>100</v>
          </cell>
          <cell r="G1589" t="e">
            <v>#N/A</v>
          </cell>
          <cell r="H1589" t="e">
            <v>#N/A</v>
          </cell>
          <cell r="I1589" t="str">
            <v>AP305TONYLW</v>
          </cell>
        </row>
        <row r="1590">
          <cell r="D1590">
            <v>400343</v>
          </cell>
          <cell r="E1590" t="str">
            <v>EUR</v>
          </cell>
          <cell r="F1590">
            <v>10.66</v>
          </cell>
          <cell r="G1590" t="str">
            <v>EUR</v>
          </cell>
          <cell r="H1590" t="e">
            <v>#VALUE!</v>
          </cell>
          <cell r="I1590" t="str">
            <v>AP305WASTE</v>
          </cell>
        </row>
        <row r="1591">
          <cell r="D1591">
            <v>400496</v>
          </cell>
          <cell r="E1591" t="str">
            <v>EUR</v>
          </cell>
          <cell r="F1591">
            <v>15.32</v>
          </cell>
          <cell r="G1591" t="str">
            <v>EUR</v>
          </cell>
          <cell r="H1591" t="e">
            <v>#VALUE!</v>
          </cell>
          <cell r="I1591" t="str">
            <v>AP306CHARGER</v>
          </cell>
        </row>
        <row r="1592">
          <cell r="D1592">
            <v>400497</v>
          </cell>
          <cell r="E1592" t="str">
            <v>EUR</v>
          </cell>
          <cell r="F1592">
            <v>16.7</v>
          </cell>
          <cell r="G1592" t="str">
            <v>EUR</v>
          </cell>
          <cell r="H1592" t="e">
            <v>#VALUE!</v>
          </cell>
          <cell r="I1592" t="str">
            <v>AP306OIL</v>
          </cell>
        </row>
        <row r="1593">
          <cell r="D1593">
            <v>400490</v>
          </cell>
          <cell r="E1593" t="str">
            <v>EUR</v>
          </cell>
          <cell r="F1593">
            <v>272.57</v>
          </cell>
          <cell r="G1593" t="str">
            <v>EUR</v>
          </cell>
          <cell r="H1593" t="e">
            <v>#VALUE!</v>
          </cell>
          <cell r="I1593" t="str">
            <v>AP306PCU</v>
          </cell>
        </row>
        <row r="1594">
          <cell r="D1594">
            <v>400491</v>
          </cell>
          <cell r="E1594" t="str">
            <v>EUR</v>
          </cell>
          <cell r="F1594">
            <v>89.65</v>
          </cell>
          <cell r="G1594" t="str">
            <v>EUR</v>
          </cell>
          <cell r="H1594" t="e">
            <v>#VALUE!</v>
          </cell>
          <cell r="I1594" t="str">
            <v>AP306TONBLA</v>
          </cell>
        </row>
        <row r="1595">
          <cell r="D1595">
            <v>400492</v>
          </cell>
          <cell r="E1595" t="str">
            <v>EUR</v>
          </cell>
          <cell r="F1595">
            <v>110.67</v>
          </cell>
          <cell r="G1595" t="str">
            <v>EUR</v>
          </cell>
          <cell r="H1595" t="e">
            <v>#VALUE!</v>
          </cell>
          <cell r="I1595" t="str">
            <v>AP306TONCYN</v>
          </cell>
        </row>
        <row r="1596">
          <cell r="D1596">
            <v>400493</v>
          </cell>
          <cell r="E1596" t="str">
            <v>EUR</v>
          </cell>
          <cell r="F1596">
            <v>110.67</v>
          </cell>
          <cell r="G1596" t="str">
            <v>EUR</v>
          </cell>
          <cell r="H1596" t="e">
            <v>#VALUE!</v>
          </cell>
          <cell r="I1596" t="str">
            <v>AP306TONMAG</v>
          </cell>
        </row>
        <row r="1597">
          <cell r="D1597">
            <v>400494</v>
          </cell>
          <cell r="E1597" t="str">
            <v>EUR</v>
          </cell>
          <cell r="F1597">
            <v>110.67</v>
          </cell>
          <cell r="G1597" t="str">
            <v>EUR</v>
          </cell>
          <cell r="H1597" t="e">
            <v>#VALUE!</v>
          </cell>
          <cell r="I1597" t="str">
            <v>AP306TONYLW</v>
          </cell>
        </row>
        <row r="1598">
          <cell r="D1598">
            <v>400495</v>
          </cell>
          <cell r="E1598" t="str">
            <v>EUR</v>
          </cell>
          <cell r="F1598">
            <v>10.45</v>
          </cell>
          <cell r="G1598" t="str">
            <v>EUR</v>
          </cell>
          <cell r="H1598" t="e">
            <v>#VALUE!</v>
          </cell>
          <cell r="I1598" t="str">
            <v>AP306WASTE</v>
          </cell>
        </row>
        <row r="1599">
          <cell r="D1599">
            <v>889409</v>
          </cell>
          <cell r="E1599" t="str">
            <v>EUR</v>
          </cell>
          <cell r="F1599">
            <v>28.91</v>
          </cell>
          <cell r="G1599" t="str">
            <v>EUR</v>
          </cell>
          <cell r="H1599" t="e">
            <v>#VALUE!</v>
          </cell>
          <cell r="I1599" t="str">
            <v>CLEANCARRIER</v>
          </cell>
        </row>
        <row r="1600">
          <cell r="D1600">
            <v>886907</v>
          </cell>
          <cell r="E1600" t="str">
            <v>EUR</v>
          </cell>
          <cell r="F1600">
            <v>30.79</v>
          </cell>
          <cell r="G1600" t="e">
            <v>#N/A</v>
          </cell>
          <cell r="H1600" t="e">
            <v>#N/A</v>
          </cell>
          <cell r="I1600" t="str">
            <v>DEVTYPEDMAG</v>
          </cell>
        </row>
        <row r="1601">
          <cell r="D1601">
            <v>889759</v>
          </cell>
          <cell r="E1601" t="str">
            <v>EUR</v>
          </cell>
          <cell r="F1601">
            <v>27.9</v>
          </cell>
          <cell r="G1601" t="str">
            <v>EUR</v>
          </cell>
          <cell r="H1601" t="e">
            <v>#VALUE!</v>
          </cell>
          <cell r="I1601" t="str">
            <v>DEVTYPEFBLA</v>
          </cell>
        </row>
        <row r="1602">
          <cell r="D1602">
            <v>889762</v>
          </cell>
          <cell r="E1602" t="str">
            <v>EUR</v>
          </cell>
          <cell r="F1602">
            <v>27.9</v>
          </cell>
          <cell r="G1602" t="str">
            <v>EUR</v>
          </cell>
          <cell r="H1602" t="e">
            <v>#VALUE!</v>
          </cell>
          <cell r="I1602" t="str">
            <v>DEVTYPEFCYN</v>
          </cell>
        </row>
        <row r="1603">
          <cell r="D1603">
            <v>889761</v>
          </cell>
          <cell r="E1603" t="str">
            <v>EUR</v>
          </cell>
          <cell r="F1603">
            <v>27.9</v>
          </cell>
          <cell r="G1603" t="str">
            <v>EUR</v>
          </cell>
          <cell r="H1603" t="e">
            <v>#VALUE!</v>
          </cell>
          <cell r="I1603" t="str">
            <v>DEVTYPEFMAG</v>
          </cell>
        </row>
        <row r="1604">
          <cell r="D1604">
            <v>889760</v>
          </cell>
          <cell r="E1604" t="str">
            <v>EUR</v>
          </cell>
          <cell r="F1604">
            <v>27.9</v>
          </cell>
          <cell r="G1604" t="str">
            <v>EUR</v>
          </cell>
          <cell r="H1604" t="e">
            <v>#VALUE!</v>
          </cell>
          <cell r="I1604" t="str">
            <v>DEVTYPEFYLW</v>
          </cell>
        </row>
        <row r="1605">
          <cell r="D1605">
            <v>889882</v>
          </cell>
          <cell r="E1605" t="str">
            <v>EUR</v>
          </cell>
          <cell r="F1605">
            <v>27.9</v>
          </cell>
          <cell r="G1605" t="str">
            <v>EUR</v>
          </cell>
          <cell r="H1605" t="e">
            <v>#VALUE!</v>
          </cell>
          <cell r="I1605" t="str">
            <v>DEVTYPEGCYN</v>
          </cell>
        </row>
        <row r="1606">
          <cell r="D1606">
            <v>889881</v>
          </cell>
          <cell r="E1606" t="str">
            <v>EUR</v>
          </cell>
          <cell r="F1606">
            <v>27.9</v>
          </cell>
          <cell r="G1606" t="str">
            <v>EUR</v>
          </cell>
          <cell r="H1606" t="e">
            <v>#VALUE!</v>
          </cell>
          <cell r="I1606" t="str">
            <v>DEVTYPEGMAG</v>
          </cell>
        </row>
        <row r="1607">
          <cell r="D1607">
            <v>889880</v>
          </cell>
          <cell r="E1607" t="str">
            <v>EUR</v>
          </cell>
          <cell r="F1607">
            <v>27.9</v>
          </cell>
          <cell r="G1607" t="str">
            <v>EUR</v>
          </cell>
          <cell r="H1607" t="e">
            <v>#VALUE!</v>
          </cell>
          <cell r="I1607" t="str">
            <v>DEVTYPEGYLW</v>
          </cell>
        </row>
        <row r="1608">
          <cell r="D1608">
            <v>887880</v>
          </cell>
          <cell r="E1608" t="str">
            <v>EUR</v>
          </cell>
          <cell r="F1608">
            <v>22.82</v>
          </cell>
          <cell r="G1608" t="str">
            <v>EUR</v>
          </cell>
          <cell r="H1608" t="e">
            <v>#VALUE!</v>
          </cell>
          <cell r="I1608" t="str">
            <v>DEVTYPEKBLA</v>
          </cell>
        </row>
        <row r="1609">
          <cell r="D1609">
            <v>887883</v>
          </cell>
          <cell r="E1609" t="str">
            <v>EUR</v>
          </cell>
          <cell r="F1609">
            <v>57.22</v>
          </cell>
          <cell r="G1609" t="str">
            <v>EUR</v>
          </cell>
          <cell r="H1609" t="e">
            <v>#VALUE!</v>
          </cell>
          <cell r="I1609" t="str">
            <v>DEVTYPEKCYN</v>
          </cell>
        </row>
        <row r="1610">
          <cell r="D1610">
            <v>887882</v>
          </cell>
          <cell r="E1610" t="str">
            <v>EUR</v>
          </cell>
          <cell r="F1610">
            <v>57.22</v>
          </cell>
          <cell r="G1610" t="str">
            <v>EUR</v>
          </cell>
          <cell r="H1610" t="e">
            <v>#VALUE!</v>
          </cell>
          <cell r="I1610" t="str">
            <v>DEVTYPEKMAG</v>
          </cell>
        </row>
        <row r="1611">
          <cell r="D1611">
            <v>887881</v>
          </cell>
          <cell r="E1611" t="str">
            <v>EUR</v>
          </cell>
          <cell r="F1611">
            <v>57.22</v>
          </cell>
          <cell r="G1611" t="str">
            <v>EUR</v>
          </cell>
          <cell r="H1611" t="e">
            <v>#VALUE!</v>
          </cell>
          <cell r="I1611" t="str">
            <v>DEVTYPEKYLW</v>
          </cell>
        </row>
        <row r="1612">
          <cell r="D1612">
            <v>887951</v>
          </cell>
          <cell r="E1612" t="str">
            <v>EUR</v>
          </cell>
          <cell r="F1612">
            <v>78.94</v>
          </cell>
          <cell r="G1612" t="str">
            <v>EUR</v>
          </cell>
          <cell r="H1612" t="e">
            <v>#VALUE!</v>
          </cell>
          <cell r="I1612" t="str">
            <v>DEVTYPELBLA</v>
          </cell>
        </row>
        <row r="1613">
          <cell r="D1613">
            <v>887954</v>
          </cell>
          <cell r="E1613" t="str">
            <v>EUR</v>
          </cell>
          <cell r="F1613">
            <v>63.14</v>
          </cell>
          <cell r="G1613" t="str">
            <v>EUR</v>
          </cell>
          <cell r="H1613" t="e">
            <v>#VALUE!</v>
          </cell>
          <cell r="I1613" t="str">
            <v>DEVTYPELCYN</v>
          </cell>
        </row>
        <row r="1614">
          <cell r="D1614">
            <v>887953</v>
          </cell>
          <cell r="E1614" t="str">
            <v>EUR</v>
          </cell>
          <cell r="F1614">
            <v>63.14</v>
          </cell>
          <cell r="G1614" t="str">
            <v>EUR</v>
          </cell>
          <cell r="H1614" t="e">
            <v>#VALUE!</v>
          </cell>
          <cell r="I1614" t="str">
            <v>DEVTYPELMAG</v>
          </cell>
        </row>
        <row r="1615">
          <cell r="D1615">
            <v>887952</v>
          </cell>
          <cell r="E1615" t="str">
            <v>EUR</v>
          </cell>
          <cell r="F1615">
            <v>63.14</v>
          </cell>
          <cell r="G1615" t="str">
            <v>EUR</v>
          </cell>
          <cell r="H1615" t="e">
            <v>#VALUE!</v>
          </cell>
          <cell r="I1615" t="str">
            <v>DEVTYPELYLW</v>
          </cell>
        </row>
        <row r="1616">
          <cell r="D1616">
            <v>889455</v>
          </cell>
          <cell r="E1616" t="str">
            <v>EUR</v>
          </cell>
          <cell r="F1616">
            <v>78.260000000000005</v>
          </cell>
          <cell r="G1616" t="e">
            <v>#N/A</v>
          </cell>
          <cell r="H1616" t="e">
            <v>#N/A</v>
          </cell>
          <cell r="I1616" t="str">
            <v>DEVTYPE1</v>
          </cell>
        </row>
        <row r="1617">
          <cell r="D1617">
            <v>885176</v>
          </cell>
          <cell r="E1617" t="str">
            <v>EUR</v>
          </cell>
          <cell r="F1617">
            <v>77.14</v>
          </cell>
          <cell r="G1617" t="e">
            <v>#N/A</v>
          </cell>
          <cell r="H1617" t="e">
            <v>#N/A</v>
          </cell>
          <cell r="I1617" t="str">
            <v>DEVTYPE1USA</v>
          </cell>
        </row>
        <row r="1618">
          <cell r="D1618">
            <v>888010</v>
          </cell>
          <cell r="E1618" t="str">
            <v>EUR</v>
          </cell>
          <cell r="F1618">
            <v>81.510000000000005</v>
          </cell>
          <cell r="G1618" t="str">
            <v>EUR</v>
          </cell>
          <cell r="H1618" t="e">
            <v>#VALUE!</v>
          </cell>
          <cell r="I1618" t="str">
            <v>DEVTYPE14</v>
          </cell>
        </row>
        <row r="1619">
          <cell r="D1619">
            <v>888002</v>
          </cell>
          <cell r="E1619" t="str">
            <v>EUR</v>
          </cell>
          <cell r="F1619">
            <v>197.91</v>
          </cell>
          <cell r="G1619" t="str">
            <v>EUR</v>
          </cell>
          <cell r="H1619" t="e">
            <v>#VALUE!</v>
          </cell>
          <cell r="I1619" t="str">
            <v>DEVTYPE15</v>
          </cell>
        </row>
        <row r="1620">
          <cell r="D1620">
            <v>888114</v>
          </cell>
          <cell r="E1620" t="str">
            <v>EUR</v>
          </cell>
          <cell r="F1620">
            <v>37.68</v>
          </cell>
          <cell r="G1620" t="str">
            <v>EUR</v>
          </cell>
          <cell r="H1620" t="e">
            <v>#VALUE!</v>
          </cell>
          <cell r="I1620" t="str">
            <v>DEVTYPE16W</v>
          </cell>
        </row>
        <row r="1621">
          <cell r="D1621">
            <v>888073</v>
          </cell>
          <cell r="E1621" t="str">
            <v>EUR</v>
          </cell>
          <cell r="F1621">
            <v>52</v>
          </cell>
          <cell r="G1621" t="str">
            <v>EUR</v>
          </cell>
          <cell r="H1621" t="e">
            <v>#VALUE!</v>
          </cell>
          <cell r="I1621" t="str">
            <v>DEVTYPE18</v>
          </cell>
        </row>
        <row r="1622">
          <cell r="D1622">
            <v>888095</v>
          </cell>
          <cell r="E1622" t="str">
            <v>EUR</v>
          </cell>
          <cell r="F1622">
            <v>20.88</v>
          </cell>
          <cell r="G1622" t="str">
            <v>EUR</v>
          </cell>
          <cell r="H1622" t="e">
            <v>#VALUE!</v>
          </cell>
          <cell r="I1622" t="str">
            <v>DEVTYPE19</v>
          </cell>
        </row>
        <row r="1623">
          <cell r="D1623">
            <v>887637</v>
          </cell>
          <cell r="E1623" t="str">
            <v>EUR</v>
          </cell>
          <cell r="F1623">
            <v>247.17</v>
          </cell>
          <cell r="G1623" t="str">
            <v>EUR</v>
          </cell>
          <cell r="H1623" t="e">
            <v>#VALUE!</v>
          </cell>
          <cell r="I1623" t="str">
            <v>DEVTYPE2</v>
          </cell>
        </row>
        <row r="1624">
          <cell r="D1624">
            <v>888164</v>
          </cell>
          <cell r="E1624" t="str">
            <v>EUR</v>
          </cell>
          <cell r="F1624">
            <v>15.67</v>
          </cell>
          <cell r="G1624" t="str">
            <v>EUR</v>
          </cell>
          <cell r="H1624" t="e">
            <v>#VALUE!</v>
          </cell>
          <cell r="I1624" t="str">
            <v>DEVTYPE21</v>
          </cell>
        </row>
        <row r="1625">
          <cell r="D1625">
            <v>885281</v>
          </cell>
          <cell r="E1625" t="str">
            <v>EUR</v>
          </cell>
          <cell r="F1625">
            <v>62.07</v>
          </cell>
          <cell r="G1625" t="e">
            <v>#N/A</v>
          </cell>
          <cell r="H1625" t="e">
            <v>#N/A</v>
          </cell>
          <cell r="I1625" t="str">
            <v>DEVTYPE24</v>
          </cell>
        </row>
        <row r="1626">
          <cell r="D1626">
            <v>889855</v>
          </cell>
          <cell r="E1626" t="str">
            <v>EUR</v>
          </cell>
          <cell r="F1626">
            <v>51.12</v>
          </cell>
          <cell r="G1626" t="str">
            <v>EUR</v>
          </cell>
          <cell r="H1626" t="e">
            <v>#VALUE!</v>
          </cell>
          <cell r="I1626" t="str">
            <v>DEVTYPE3</v>
          </cell>
        </row>
        <row r="1627">
          <cell r="D1627">
            <v>887733</v>
          </cell>
          <cell r="E1627" t="str">
            <v>EUR</v>
          </cell>
          <cell r="F1627">
            <v>200.15</v>
          </cell>
          <cell r="G1627" t="str">
            <v>EUR</v>
          </cell>
          <cell r="H1627" t="e">
            <v>#VALUE!</v>
          </cell>
          <cell r="I1627" t="str">
            <v>DEVTYPE5</v>
          </cell>
        </row>
        <row r="1628">
          <cell r="D1628">
            <v>887748</v>
          </cell>
          <cell r="E1628" t="str">
            <v>EUR</v>
          </cell>
          <cell r="F1628">
            <v>201.42</v>
          </cell>
          <cell r="G1628" t="str">
            <v>EUR</v>
          </cell>
          <cell r="H1628" t="e">
            <v>#VALUE!</v>
          </cell>
          <cell r="I1628" t="str">
            <v>DEVTYPE7</v>
          </cell>
        </row>
        <row r="1629">
          <cell r="D1629">
            <v>885164</v>
          </cell>
          <cell r="E1629" t="str">
            <v>EUR</v>
          </cell>
          <cell r="F1629">
            <v>337.93</v>
          </cell>
          <cell r="G1629" t="e">
            <v>#N/A</v>
          </cell>
          <cell r="H1629" t="e">
            <v>#N/A</v>
          </cell>
          <cell r="I1629" t="str">
            <v>DEVTYPE8</v>
          </cell>
        </row>
        <row r="1630">
          <cell r="D1630">
            <v>887797</v>
          </cell>
          <cell r="E1630" t="str">
            <v>EUR</v>
          </cell>
          <cell r="F1630">
            <v>209.48</v>
          </cell>
          <cell r="G1630" t="str">
            <v>EUR</v>
          </cell>
          <cell r="H1630" t="e">
            <v>#VALUE!</v>
          </cell>
          <cell r="I1630" t="str">
            <v>DEVTYPE9</v>
          </cell>
        </row>
        <row r="1631">
          <cell r="D1631">
            <v>339032</v>
          </cell>
          <cell r="E1631" t="str">
            <v>EUR</v>
          </cell>
          <cell r="F1631">
            <v>49.68</v>
          </cell>
          <cell r="G1631" t="e">
            <v>#N/A</v>
          </cell>
          <cell r="H1631" t="e">
            <v>#N/A</v>
          </cell>
          <cell r="I1631" t="str">
            <v>FAXCART1200</v>
          </cell>
        </row>
        <row r="1632">
          <cell r="D1632">
            <v>923180</v>
          </cell>
          <cell r="E1632" t="str">
            <v>EUR</v>
          </cell>
          <cell r="F1632">
            <v>86.59</v>
          </cell>
          <cell r="G1632" t="e">
            <v>#N/A</v>
          </cell>
          <cell r="H1632" t="e">
            <v>#N/A</v>
          </cell>
          <cell r="I1632" t="str">
            <v>FAXCART61BLA</v>
          </cell>
        </row>
        <row r="1633">
          <cell r="D1633">
            <v>923181</v>
          </cell>
          <cell r="E1633" t="str">
            <v>EUR</v>
          </cell>
          <cell r="F1633">
            <v>86.59</v>
          </cell>
          <cell r="G1633" t="e">
            <v>#N/A</v>
          </cell>
          <cell r="H1633" t="e">
            <v>#N/A</v>
          </cell>
          <cell r="I1633" t="str">
            <v>FAXCART61CLR</v>
          </cell>
        </row>
        <row r="1634">
          <cell r="D1634">
            <v>430013</v>
          </cell>
          <cell r="E1634" t="str">
            <v>EUR</v>
          </cell>
          <cell r="F1634">
            <v>17.38</v>
          </cell>
          <cell r="G1634" t="str">
            <v>EUR</v>
          </cell>
          <cell r="H1634" t="e">
            <v>#VALUE!</v>
          </cell>
          <cell r="I1634" t="str">
            <v>FAXCART68BLA</v>
          </cell>
        </row>
        <row r="1635">
          <cell r="D1635">
            <v>430014</v>
          </cell>
          <cell r="E1635" t="str">
            <v>EUR</v>
          </cell>
          <cell r="F1635">
            <v>24.84</v>
          </cell>
          <cell r="G1635" t="str">
            <v>EUR</v>
          </cell>
          <cell r="H1635" t="e">
            <v>#VALUE!</v>
          </cell>
          <cell r="I1635" t="str">
            <v>FAXCART68CLR</v>
          </cell>
        </row>
        <row r="1636">
          <cell r="D1636">
            <v>334238</v>
          </cell>
          <cell r="E1636" t="str">
            <v>EUR</v>
          </cell>
          <cell r="F1636">
            <v>670.99</v>
          </cell>
          <cell r="G1636" t="e">
            <v>#N/A</v>
          </cell>
          <cell r="H1636" t="e">
            <v>#N/A</v>
          </cell>
          <cell r="I1636" t="str">
            <v>FAXCART800</v>
          </cell>
        </row>
        <row r="1637">
          <cell r="D1637">
            <v>339353</v>
          </cell>
          <cell r="E1637" t="str">
            <v>EUR</v>
          </cell>
          <cell r="F1637">
            <v>857.58</v>
          </cell>
          <cell r="G1637" t="e">
            <v>#N/A</v>
          </cell>
          <cell r="H1637" t="e">
            <v>#N/A</v>
          </cell>
          <cell r="I1637" t="str">
            <v>FAXCART88BLA</v>
          </cell>
        </row>
        <row r="1638">
          <cell r="D1638">
            <v>339342</v>
          </cell>
          <cell r="E1638" t="str">
            <v>EUR</v>
          </cell>
          <cell r="F1638">
            <v>1106.52</v>
          </cell>
          <cell r="G1638" t="e">
            <v>#N/A</v>
          </cell>
          <cell r="H1638" t="e">
            <v>#N/A</v>
          </cell>
          <cell r="I1638" t="str">
            <v>FAXCART88CLR</v>
          </cell>
        </row>
        <row r="1639">
          <cell r="D1639">
            <v>894716</v>
          </cell>
          <cell r="E1639" t="str">
            <v>EUR</v>
          </cell>
          <cell r="F1639">
            <v>239.38</v>
          </cell>
          <cell r="G1639" t="str">
            <v>EUR</v>
          </cell>
          <cell r="H1639" t="e">
            <v>#VALUE!</v>
          </cell>
          <cell r="I1639" t="str">
            <v>FAXMASTER100</v>
          </cell>
        </row>
        <row r="1640">
          <cell r="D1640">
            <v>889347</v>
          </cell>
          <cell r="E1640" t="str">
            <v>EUR</v>
          </cell>
          <cell r="F1640">
            <v>238.47</v>
          </cell>
          <cell r="G1640" t="str">
            <v>EUR</v>
          </cell>
          <cell r="H1640" t="e">
            <v>#VALUE!</v>
          </cell>
          <cell r="I1640" t="str">
            <v>FAXMASTER30</v>
          </cell>
        </row>
        <row r="1641">
          <cell r="D1641">
            <v>593928</v>
          </cell>
          <cell r="E1641" t="str">
            <v>EUR</v>
          </cell>
          <cell r="F1641">
            <v>450.76</v>
          </cell>
          <cell r="G1641" t="str">
            <v>EUR</v>
          </cell>
          <cell r="H1641" t="e">
            <v>#VALUE!</v>
          </cell>
          <cell r="I1641" t="str">
            <v>FAXMAST1000L</v>
          </cell>
        </row>
        <row r="1642">
          <cell r="D1642">
            <v>339472</v>
          </cell>
          <cell r="E1642" t="str">
            <v>EUR</v>
          </cell>
          <cell r="F1642">
            <v>177.42</v>
          </cell>
          <cell r="G1642" t="str">
            <v>EUR</v>
          </cell>
          <cell r="H1642" t="e">
            <v>#VALUE!</v>
          </cell>
          <cell r="I1642" t="str">
            <v>FAXMAST70</v>
          </cell>
        </row>
        <row r="1643">
          <cell r="D1643">
            <v>339343</v>
          </cell>
          <cell r="E1643" t="str">
            <v>EUR</v>
          </cell>
          <cell r="F1643">
            <v>320.61</v>
          </cell>
          <cell r="G1643" t="e">
            <v>#N/A</v>
          </cell>
          <cell r="H1643" t="e">
            <v>#N/A</v>
          </cell>
          <cell r="I1643" t="str">
            <v>FAXREF88BLA</v>
          </cell>
        </row>
        <row r="1644">
          <cell r="D1644">
            <v>339344</v>
          </cell>
          <cell r="E1644" t="str">
            <v>EUR</v>
          </cell>
          <cell r="F1644">
            <v>758.17</v>
          </cell>
          <cell r="G1644" t="e">
            <v>#N/A</v>
          </cell>
          <cell r="H1644" t="e">
            <v>#N/A</v>
          </cell>
          <cell r="I1644" t="str">
            <v>FAXREF88CLR</v>
          </cell>
        </row>
        <row r="1645">
          <cell r="D1645">
            <v>920616</v>
          </cell>
          <cell r="E1645" t="str">
            <v>EUR</v>
          </cell>
          <cell r="F1645">
            <v>140.31</v>
          </cell>
          <cell r="G1645" t="e">
            <v>#N/A</v>
          </cell>
          <cell r="H1645" t="e">
            <v>#N/A</v>
          </cell>
          <cell r="I1645" t="str">
            <v>FAXRIBBON500</v>
          </cell>
        </row>
        <row r="1646">
          <cell r="D1646">
            <v>430244</v>
          </cell>
          <cell r="E1646" t="str">
            <v>EUR</v>
          </cell>
          <cell r="F1646">
            <v>41.02</v>
          </cell>
          <cell r="G1646" t="str">
            <v>EUR</v>
          </cell>
          <cell r="H1646" t="e">
            <v>#VALUE!</v>
          </cell>
          <cell r="I1646" t="str">
            <v>FAXTNR1435CN</v>
          </cell>
        </row>
        <row r="1647">
          <cell r="D1647">
            <v>430159</v>
          </cell>
          <cell r="E1647" t="str">
            <v>EUR</v>
          </cell>
          <cell r="F1647">
            <v>39.01</v>
          </cell>
          <cell r="G1647" t="e">
            <v>#N/A</v>
          </cell>
          <cell r="H1647" t="e">
            <v>#N/A</v>
          </cell>
          <cell r="I1647" t="str">
            <v>FAXTONER1430</v>
          </cell>
        </row>
        <row r="1648">
          <cell r="D1648">
            <v>887721</v>
          </cell>
          <cell r="E1648" t="str">
            <v>EUR</v>
          </cell>
          <cell r="F1648">
            <v>194.15</v>
          </cell>
          <cell r="G1648" t="e">
            <v>#N/A</v>
          </cell>
          <cell r="H1648" t="e">
            <v>#N/A</v>
          </cell>
          <cell r="I1648" t="str">
            <v>FAXTONER150</v>
          </cell>
        </row>
        <row r="1649">
          <cell r="D1649">
            <v>430245</v>
          </cell>
          <cell r="E1649" t="str">
            <v>EUR</v>
          </cell>
          <cell r="F1649">
            <v>74.95</v>
          </cell>
          <cell r="G1649" t="str">
            <v>EUR</v>
          </cell>
          <cell r="H1649" t="e">
            <v>#VALUE!</v>
          </cell>
          <cell r="I1649" t="str">
            <v>FAXTONER5210</v>
          </cell>
        </row>
        <row r="1650">
          <cell r="D1650">
            <v>339474</v>
          </cell>
          <cell r="E1650" t="str">
            <v>EUR</v>
          </cell>
          <cell r="F1650">
            <v>202.85</v>
          </cell>
          <cell r="G1650" t="str">
            <v>EUR</v>
          </cell>
          <cell r="H1650" t="e">
            <v>#VALUE!</v>
          </cell>
          <cell r="I1650" t="str">
            <v>FAXTONER70</v>
          </cell>
        </row>
        <row r="1651">
          <cell r="D1651">
            <v>593901</v>
          </cell>
          <cell r="E1651" t="str">
            <v>EUR</v>
          </cell>
          <cell r="F1651">
            <v>46.65</v>
          </cell>
          <cell r="G1651" t="e">
            <v>#N/A</v>
          </cell>
          <cell r="H1651" t="e">
            <v>#N/A</v>
          </cell>
          <cell r="I1651" t="str">
            <v>FAXTON1000L</v>
          </cell>
        </row>
        <row r="1652">
          <cell r="D1652">
            <v>430278</v>
          </cell>
          <cell r="E1652" t="str">
            <v>EUR</v>
          </cell>
          <cell r="F1652">
            <v>43.76</v>
          </cell>
          <cell r="G1652" t="str">
            <v>EUR</v>
          </cell>
          <cell r="H1652" t="e">
            <v>#VALUE!</v>
          </cell>
          <cell r="I1652" t="str">
            <v>FAXTON1240CN</v>
          </cell>
        </row>
        <row r="1653">
          <cell r="D1653">
            <v>430382</v>
          </cell>
          <cell r="E1653" t="str">
            <v>EUR</v>
          </cell>
          <cell r="F1653">
            <v>43.76</v>
          </cell>
          <cell r="G1653" t="e">
            <v>#N/A</v>
          </cell>
          <cell r="H1653" t="e">
            <v>#N/A</v>
          </cell>
          <cell r="I1653" t="str">
            <v>FAXTON1240UK</v>
          </cell>
        </row>
        <row r="1654">
          <cell r="D1654">
            <v>430351</v>
          </cell>
          <cell r="E1654" t="str">
            <v>EUR</v>
          </cell>
          <cell r="F1654">
            <v>36.21</v>
          </cell>
          <cell r="G1654" t="str">
            <v>EUR</v>
          </cell>
          <cell r="H1654" t="e">
            <v>#VALUE!</v>
          </cell>
          <cell r="I1654" t="str">
            <v>FAXTON1260CN</v>
          </cell>
        </row>
        <row r="1655">
          <cell r="D1655">
            <v>430225</v>
          </cell>
          <cell r="E1655" t="str">
            <v>EUR</v>
          </cell>
          <cell r="F1655">
            <v>42.13</v>
          </cell>
          <cell r="G1655" t="str">
            <v>EUR</v>
          </cell>
          <cell r="H1655" t="e">
            <v>#VALUE!</v>
          </cell>
          <cell r="I1655" t="str">
            <v>FAXTON1435CN</v>
          </cell>
        </row>
        <row r="1656">
          <cell r="D1656">
            <v>339481</v>
          </cell>
          <cell r="E1656" t="str">
            <v>EUR</v>
          </cell>
          <cell r="F1656">
            <v>177.61</v>
          </cell>
          <cell r="G1656" t="e">
            <v>#N/A</v>
          </cell>
          <cell r="H1656" t="e">
            <v>#N/A</v>
          </cell>
          <cell r="I1656" t="str">
            <v>FAXTON150FRA</v>
          </cell>
        </row>
        <row r="1657">
          <cell r="D1657">
            <v>889878</v>
          </cell>
          <cell r="E1657" t="str">
            <v>EUR</v>
          </cell>
          <cell r="F1657">
            <v>148.43</v>
          </cell>
          <cell r="G1657" t="str">
            <v>EUR</v>
          </cell>
          <cell r="H1657" t="e">
            <v>#VALUE!</v>
          </cell>
          <cell r="I1657" t="str">
            <v>FAXTON30TWN</v>
          </cell>
        </row>
        <row r="1658">
          <cell r="D1658">
            <v>400323</v>
          </cell>
          <cell r="E1658" t="str">
            <v>EUR</v>
          </cell>
          <cell r="F1658">
            <v>25.32</v>
          </cell>
          <cell r="G1658" t="str">
            <v>EUR</v>
          </cell>
          <cell r="H1658" t="e">
            <v>#VALUE!</v>
          </cell>
          <cell r="I1658" t="str">
            <v>FUSER204</v>
          </cell>
        </row>
        <row r="1659">
          <cell r="D1659">
            <v>889782</v>
          </cell>
          <cell r="E1659" t="str">
            <v>EUR</v>
          </cell>
          <cell r="F1659">
            <v>111.27</v>
          </cell>
          <cell r="G1659" t="str">
            <v>EUR</v>
          </cell>
          <cell r="H1659" t="e">
            <v>#VALUE!</v>
          </cell>
          <cell r="I1659" t="str">
            <v>IMAGEUNIT1</v>
          </cell>
        </row>
        <row r="1660">
          <cell r="D1660">
            <v>208050</v>
          </cell>
          <cell r="E1660" t="str">
            <v>EUR</v>
          </cell>
          <cell r="F1660">
            <v>343</v>
          </cell>
          <cell r="G1660" t="e">
            <v>#N/A</v>
          </cell>
          <cell r="H1660" t="e">
            <v>#N/A</v>
          </cell>
          <cell r="I1660" t="str">
            <v>LR1TONERBLA</v>
          </cell>
        </row>
        <row r="1661">
          <cell r="D1661">
            <v>400404</v>
          </cell>
          <cell r="E1661" t="str">
            <v>EUR</v>
          </cell>
          <cell r="F1661">
            <v>83.61</v>
          </cell>
          <cell r="G1661" t="str">
            <v>EUR</v>
          </cell>
          <cell r="H1661" t="e">
            <v>#VALUE!</v>
          </cell>
          <cell r="I1661" t="str">
            <v>MAINTEN1400</v>
          </cell>
        </row>
        <row r="1662">
          <cell r="D1662">
            <v>400401</v>
          </cell>
          <cell r="E1662" t="str">
            <v>EUR</v>
          </cell>
          <cell r="F1662">
            <v>96.4</v>
          </cell>
          <cell r="G1662" t="str">
            <v>EUR</v>
          </cell>
          <cell r="H1662" t="e">
            <v>#VALUE!</v>
          </cell>
          <cell r="I1662" t="str">
            <v>MAINTEN2000</v>
          </cell>
        </row>
        <row r="1663">
          <cell r="D1663">
            <v>400620</v>
          </cell>
          <cell r="E1663" t="str">
            <v>EUR</v>
          </cell>
          <cell r="F1663">
            <v>108.77</v>
          </cell>
          <cell r="G1663" t="str">
            <v>EUR</v>
          </cell>
          <cell r="H1663" t="e">
            <v>#VALUE!</v>
          </cell>
          <cell r="I1663" t="str">
            <v>MAINT2600CHN</v>
          </cell>
        </row>
        <row r="1664">
          <cell r="D1664">
            <v>400594</v>
          </cell>
          <cell r="E1664" t="str">
            <v>EUR</v>
          </cell>
          <cell r="F1664">
            <v>93.2</v>
          </cell>
          <cell r="G1664" t="str">
            <v>EUR</v>
          </cell>
          <cell r="H1664" t="e">
            <v>#VALUE!</v>
          </cell>
          <cell r="I1664" t="str">
            <v>MAINT3800A</v>
          </cell>
        </row>
        <row r="1665">
          <cell r="D1665">
            <v>400595</v>
          </cell>
          <cell r="E1665" t="str">
            <v>EUR</v>
          </cell>
          <cell r="F1665">
            <v>177.55</v>
          </cell>
          <cell r="G1665" t="str">
            <v>EUR</v>
          </cell>
          <cell r="H1665" t="e">
            <v>#VALUE!</v>
          </cell>
          <cell r="I1665" t="str">
            <v>MAINT3800B</v>
          </cell>
        </row>
        <row r="1666">
          <cell r="D1666">
            <v>400569</v>
          </cell>
          <cell r="E1666" t="str">
            <v>EUR</v>
          </cell>
          <cell r="F1666">
            <v>195.76</v>
          </cell>
          <cell r="G1666" t="str">
            <v>EUR</v>
          </cell>
          <cell r="H1666" t="e">
            <v>#VALUE!</v>
          </cell>
          <cell r="I1666" t="str">
            <v>MAINT3800C</v>
          </cell>
        </row>
        <row r="1667">
          <cell r="D1667">
            <v>400661</v>
          </cell>
          <cell r="E1667" t="str">
            <v>EUR</v>
          </cell>
          <cell r="F1667">
            <v>54.36</v>
          </cell>
          <cell r="G1667" t="str">
            <v>EUR</v>
          </cell>
          <cell r="H1667" t="e">
            <v>#VALUE!</v>
          </cell>
          <cell r="I1667" t="str">
            <v>MAINT3800D</v>
          </cell>
        </row>
        <row r="1668">
          <cell r="D1668">
            <v>400662</v>
          </cell>
          <cell r="E1668" t="str">
            <v>EUR</v>
          </cell>
          <cell r="F1668">
            <v>5.19</v>
          </cell>
          <cell r="G1668" t="str">
            <v>EUR</v>
          </cell>
          <cell r="H1668" t="e">
            <v>#VALUE!</v>
          </cell>
          <cell r="I1668" t="str">
            <v>MAINT3800E</v>
          </cell>
        </row>
        <row r="1669">
          <cell r="D1669">
            <v>400548</v>
          </cell>
          <cell r="E1669" t="str">
            <v>EUR</v>
          </cell>
          <cell r="F1669">
            <v>29.44</v>
          </cell>
          <cell r="G1669" t="str">
            <v>EUR</v>
          </cell>
          <cell r="H1669" t="e">
            <v>#VALUE!</v>
          </cell>
          <cell r="I1669" t="str">
            <v>MAINT3800F</v>
          </cell>
        </row>
        <row r="1670">
          <cell r="D1670">
            <v>400549</v>
          </cell>
          <cell r="E1670" t="str">
            <v>EUR</v>
          </cell>
          <cell r="F1670">
            <v>27.51</v>
          </cell>
          <cell r="G1670" t="str">
            <v>EUR</v>
          </cell>
          <cell r="H1670" t="e">
            <v>#VALUE!</v>
          </cell>
          <cell r="I1670" t="str">
            <v>MAINT3800G</v>
          </cell>
        </row>
        <row r="1671">
          <cell r="D1671">
            <v>400576</v>
          </cell>
          <cell r="E1671" t="str">
            <v>EUR</v>
          </cell>
          <cell r="F1671">
            <v>2.68</v>
          </cell>
          <cell r="G1671" t="str">
            <v>EUR</v>
          </cell>
          <cell r="H1671" t="e">
            <v>#VALUE!</v>
          </cell>
          <cell r="I1671" t="str">
            <v>MAINT3800H</v>
          </cell>
        </row>
        <row r="1672">
          <cell r="D1672">
            <v>209911</v>
          </cell>
          <cell r="E1672" t="str">
            <v>EUR</v>
          </cell>
          <cell r="F1672">
            <v>104.21</v>
          </cell>
          <cell r="G1672" t="str">
            <v>EUR</v>
          </cell>
          <cell r="H1672" t="e">
            <v>#VALUE!</v>
          </cell>
          <cell r="I1672" t="str">
            <v>MV250MAST</v>
          </cell>
        </row>
        <row r="1673">
          <cell r="D1673">
            <v>894718</v>
          </cell>
          <cell r="E1673" t="str">
            <v>EUR</v>
          </cell>
          <cell r="F1673">
            <v>239.38</v>
          </cell>
          <cell r="G1673" t="str">
            <v>EUR</v>
          </cell>
          <cell r="H1673" t="e">
            <v>#VALUE!</v>
          </cell>
          <cell r="I1673" t="str">
            <v>MV300MAST</v>
          </cell>
        </row>
        <row r="1674">
          <cell r="D1674">
            <v>887675</v>
          </cell>
          <cell r="E1674" t="str">
            <v>EUR</v>
          </cell>
          <cell r="F1674">
            <v>222.79</v>
          </cell>
          <cell r="G1674" t="str">
            <v>EUR</v>
          </cell>
          <cell r="H1674" t="e">
            <v>#VALUE!</v>
          </cell>
          <cell r="I1674" t="str">
            <v>MV300TONER</v>
          </cell>
        </row>
        <row r="1675">
          <cell r="D1675">
            <v>889606</v>
          </cell>
          <cell r="E1675" t="str">
            <v>EUR</v>
          </cell>
          <cell r="F1675">
            <v>104.03</v>
          </cell>
          <cell r="G1675" t="str">
            <v>EUR</v>
          </cell>
          <cell r="H1675" t="e">
            <v>#VALUE!</v>
          </cell>
          <cell r="I1675" t="str">
            <v>MV80MAST</v>
          </cell>
        </row>
        <row r="1676">
          <cell r="D1676">
            <v>889744</v>
          </cell>
          <cell r="E1676" t="str">
            <v>EUR</v>
          </cell>
          <cell r="F1676">
            <v>55.01</v>
          </cell>
          <cell r="G1676" t="str">
            <v>EUR</v>
          </cell>
          <cell r="H1676" t="e">
            <v>#VALUE!</v>
          </cell>
          <cell r="I1676" t="str">
            <v>MV80TONER</v>
          </cell>
        </row>
        <row r="1677">
          <cell r="D1677">
            <v>889015</v>
          </cell>
          <cell r="E1677" t="str">
            <v>EUR</v>
          </cell>
          <cell r="F1677">
            <v>126.4</v>
          </cell>
          <cell r="G1677" t="e">
            <v>#N/A</v>
          </cell>
          <cell r="H1677" t="e">
            <v>#N/A</v>
          </cell>
          <cell r="I1677" t="str">
            <v>M10MASTUNT2</v>
          </cell>
        </row>
        <row r="1678">
          <cell r="D1678">
            <v>887660</v>
          </cell>
          <cell r="E1678" t="str">
            <v>EUR</v>
          </cell>
          <cell r="F1678">
            <v>23.59</v>
          </cell>
          <cell r="G1678" t="e">
            <v>#N/A</v>
          </cell>
          <cell r="H1678" t="e">
            <v>#N/A</v>
          </cell>
          <cell r="I1678" t="str">
            <v>M10TONBLAUK</v>
          </cell>
        </row>
        <row r="1679">
          <cell r="D1679">
            <v>889351</v>
          </cell>
          <cell r="E1679" t="str">
            <v>EUR</v>
          </cell>
          <cell r="F1679">
            <v>128.18</v>
          </cell>
          <cell r="G1679" t="str">
            <v>EUR</v>
          </cell>
          <cell r="H1679" t="e">
            <v>#VALUE!</v>
          </cell>
          <cell r="I1679" t="str">
            <v>M100MASTUNT2</v>
          </cell>
        </row>
        <row r="1680">
          <cell r="D1680">
            <v>889260</v>
          </cell>
          <cell r="E1680" t="str">
            <v>EUR</v>
          </cell>
          <cell r="F1680">
            <v>118.13</v>
          </cell>
          <cell r="G1680" t="str">
            <v>EUR</v>
          </cell>
          <cell r="H1680" t="e">
            <v>#VALUE!</v>
          </cell>
          <cell r="I1680" t="str">
            <v>M5MASTUNT2</v>
          </cell>
        </row>
        <row r="1681">
          <cell r="D1681">
            <v>887659</v>
          </cell>
          <cell r="E1681" t="str">
            <v>EUR</v>
          </cell>
          <cell r="F1681">
            <v>23.59</v>
          </cell>
          <cell r="G1681" t="e">
            <v>#N/A</v>
          </cell>
          <cell r="H1681" t="e">
            <v>#N/A</v>
          </cell>
          <cell r="I1681" t="str">
            <v>M5TONERBLAUK</v>
          </cell>
        </row>
        <row r="1682">
          <cell r="D1682">
            <v>887664</v>
          </cell>
          <cell r="E1682" t="str">
            <v>EUR</v>
          </cell>
          <cell r="F1682">
            <v>26.21</v>
          </cell>
          <cell r="G1682" t="e">
            <v>#N/A</v>
          </cell>
          <cell r="H1682" t="e">
            <v>#N/A</v>
          </cell>
          <cell r="I1682" t="str">
            <v>M6TONERGER</v>
          </cell>
        </row>
        <row r="1683">
          <cell r="D1683">
            <v>889405</v>
          </cell>
          <cell r="E1683" t="str">
            <v>EUR</v>
          </cell>
          <cell r="F1683">
            <v>113.23</v>
          </cell>
          <cell r="G1683" t="str">
            <v>EUR</v>
          </cell>
          <cell r="H1683" t="e">
            <v>#VALUE!</v>
          </cell>
          <cell r="I1683" t="str">
            <v>NC11DEVBLA</v>
          </cell>
        </row>
        <row r="1684">
          <cell r="D1684">
            <v>889408</v>
          </cell>
          <cell r="E1684" t="str">
            <v>EUR</v>
          </cell>
          <cell r="F1684">
            <v>48.52</v>
          </cell>
          <cell r="G1684" t="str">
            <v>EUR</v>
          </cell>
          <cell r="H1684" t="e">
            <v>#VALUE!</v>
          </cell>
          <cell r="I1684" t="str">
            <v>NC11DEVCYN</v>
          </cell>
        </row>
        <row r="1685">
          <cell r="D1685">
            <v>889407</v>
          </cell>
          <cell r="E1685" t="str">
            <v>EUR</v>
          </cell>
          <cell r="F1685">
            <v>48.52</v>
          </cell>
          <cell r="G1685" t="str">
            <v>EUR</v>
          </cell>
          <cell r="H1685" t="e">
            <v>#VALUE!</v>
          </cell>
          <cell r="I1685" t="str">
            <v>NC11DEVMAG</v>
          </cell>
        </row>
        <row r="1686">
          <cell r="D1686">
            <v>889406</v>
          </cell>
          <cell r="E1686" t="str">
            <v>EUR</v>
          </cell>
          <cell r="F1686">
            <v>48.52</v>
          </cell>
          <cell r="G1686" t="str">
            <v>EUR</v>
          </cell>
          <cell r="H1686" t="e">
            <v>#VALUE!</v>
          </cell>
          <cell r="I1686" t="str">
            <v>NC11DEVYLW</v>
          </cell>
        </row>
        <row r="1687">
          <cell r="D1687">
            <v>887481</v>
          </cell>
          <cell r="E1687" t="str">
            <v>EUR</v>
          </cell>
          <cell r="F1687">
            <v>134.29</v>
          </cell>
          <cell r="G1687" t="e">
            <v>#N/A</v>
          </cell>
          <cell r="H1687" t="e">
            <v>#N/A</v>
          </cell>
          <cell r="I1687" t="str">
            <v>NC11TONERBLA</v>
          </cell>
        </row>
        <row r="1688">
          <cell r="D1688">
            <v>887487</v>
          </cell>
          <cell r="E1688" t="str">
            <v>EUR</v>
          </cell>
          <cell r="F1688">
            <v>75.459999999999994</v>
          </cell>
          <cell r="G1688" t="str">
            <v>EUR</v>
          </cell>
          <cell r="H1688" t="e">
            <v>#VALUE!</v>
          </cell>
          <cell r="I1688" t="str">
            <v>NC11TONERCYN</v>
          </cell>
        </row>
        <row r="1689">
          <cell r="D1689">
            <v>887485</v>
          </cell>
          <cell r="E1689" t="str">
            <v>EUR</v>
          </cell>
          <cell r="F1689">
            <v>75.459999999999994</v>
          </cell>
          <cell r="G1689" t="str">
            <v>EUR</v>
          </cell>
          <cell r="H1689" t="e">
            <v>#VALUE!</v>
          </cell>
          <cell r="I1689" t="str">
            <v>NC11TONERMAG</v>
          </cell>
        </row>
        <row r="1690">
          <cell r="D1690">
            <v>887483</v>
          </cell>
          <cell r="E1690" t="str">
            <v>EUR</v>
          </cell>
          <cell r="F1690">
            <v>75.459999999999994</v>
          </cell>
          <cell r="G1690" t="str">
            <v>EUR</v>
          </cell>
          <cell r="H1690" t="e">
            <v>#VALUE!</v>
          </cell>
          <cell r="I1690" t="str">
            <v>NC11TONERYLW</v>
          </cell>
        </row>
        <row r="1691">
          <cell r="D1691">
            <v>889526</v>
          </cell>
          <cell r="E1691" t="str">
            <v>EUR</v>
          </cell>
          <cell r="F1691">
            <v>98.77</v>
          </cell>
          <cell r="G1691" t="str">
            <v>EUR</v>
          </cell>
          <cell r="H1691" t="e">
            <v>#VALUE!</v>
          </cell>
          <cell r="I1691" t="str">
            <v>NC305DEVBLA</v>
          </cell>
        </row>
        <row r="1692">
          <cell r="D1692">
            <v>411113</v>
          </cell>
          <cell r="E1692" t="str">
            <v>EUR</v>
          </cell>
          <cell r="F1692">
            <v>62.01</v>
          </cell>
          <cell r="G1692" t="str">
            <v>EUR</v>
          </cell>
          <cell r="H1692" t="e">
            <v>#VALUE!</v>
          </cell>
          <cell r="I1692" t="str">
            <v>PCU1013CHN</v>
          </cell>
        </row>
        <row r="1693">
          <cell r="D1693">
            <v>411018</v>
          </cell>
          <cell r="E1693" t="str">
            <v>EUR</v>
          </cell>
          <cell r="F1693">
            <v>117.67</v>
          </cell>
          <cell r="G1693" t="str">
            <v>EUR</v>
          </cell>
          <cell r="H1693" t="e">
            <v>#VALUE!</v>
          </cell>
          <cell r="I1693" t="str">
            <v>PCU1027</v>
          </cell>
        </row>
        <row r="1694">
          <cell r="D1694">
            <v>410423</v>
          </cell>
          <cell r="E1694" t="str">
            <v>EUR</v>
          </cell>
          <cell r="F1694">
            <v>125.26</v>
          </cell>
          <cell r="G1694" t="str">
            <v>EUR</v>
          </cell>
          <cell r="H1694" t="e">
            <v>#VALUE!</v>
          </cell>
          <cell r="I1694" t="str">
            <v>PCU270</v>
          </cell>
        </row>
        <row r="1695">
          <cell r="D1695">
            <v>400633</v>
          </cell>
          <cell r="E1695" t="str">
            <v>EUR</v>
          </cell>
          <cell r="F1695">
            <v>117.67</v>
          </cell>
          <cell r="G1695" t="str">
            <v>EUR</v>
          </cell>
          <cell r="H1695" t="e">
            <v>#VALUE!</v>
          </cell>
          <cell r="I1695" t="str">
            <v>PCU320</v>
          </cell>
        </row>
        <row r="1696">
          <cell r="D1696">
            <v>410509</v>
          </cell>
          <cell r="E1696" t="str">
            <v>EUR</v>
          </cell>
          <cell r="F1696">
            <v>57.77</v>
          </cell>
          <cell r="G1696" t="str">
            <v>EUR</v>
          </cell>
          <cell r="H1696" t="e">
            <v>#VALUE!</v>
          </cell>
          <cell r="I1696" t="str">
            <v>STAPLEREFH</v>
          </cell>
        </row>
        <row r="1697">
          <cell r="D1697">
            <v>410509</v>
          </cell>
          <cell r="E1697" t="str">
            <v>EUR</v>
          </cell>
          <cell r="F1697">
            <v>57.52</v>
          </cell>
          <cell r="G1697" t="str">
            <v>EUR</v>
          </cell>
          <cell r="H1697" t="e">
            <v>#VALUE!</v>
          </cell>
          <cell r="I1697" t="str">
            <v>STAPLEREFH</v>
          </cell>
        </row>
        <row r="1698">
          <cell r="D1698">
            <v>410802</v>
          </cell>
          <cell r="E1698" t="str">
            <v>EUR</v>
          </cell>
          <cell r="F1698">
            <v>27.48</v>
          </cell>
          <cell r="G1698" t="str">
            <v>EUR</v>
          </cell>
          <cell r="H1698" t="e">
            <v>#VALUE!</v>
          </cell>
          <cell r="I1698" t="str">
            <v>STAPLEREFK</v>
          </cell>
        </row>
        <row r="1699">
          <cell r="D1699">
            <v>411241</v>
          </cell>
          <cell r="E1699" t="str">
            <v>EUR</v>
          </cell>
          <cell r="F1699">
            <v>19.75</v>
          </cell>
          <cell r="G1699" t="str">
            <v>EUR</v>
          </cell>
          <cell r="H1699" t="e">
            <v>#VALUE!</v>
          </cell>
          <cell r="I1699" t="str">
            <v>STAPLEREFL</v>
          </cell>
        </row>
        <row r="1700">
          <cell r="D1700">
            <v>208171</v>
          </cell>
          <cell r="E1700" t="str">
            <v>EUR</v>
          </cell>
          <cell r="F1700">
            <v>22.06</v>
          </cell>
          <cell r="G1700" t="str">
            <v>EUR</v>
          </cell>
          <cell r="H1700" t="e">
            <v>#VALUE!</v>
          </cell>
          <cell r="I1700" t="str">
            <v>STAPLETYPEC</v>
          </cell>
        </row>
        <row r="1701">
          <cell r="D1701">
            <v>208532</v>
          </cell>
          <cell r="E1701" t="str">
            <v>EUR</v>
          </cell>
          <cell r="F1701">
            <v>17.64</v>
          </cell>
          <cell r="G1701" t="str">
            <v>EUR</v>
          </cell>
          <cell r="H1701" t="e">
            <v>#VALUE!</v>
          </cell>
          <cell r="I1701" t="str">
            <v>STAPLETYPED</v>
          </cell>
        </row>
        <row r="1702">
          <cell r="D1702">
            <v>317927</v>
          </cell>
          <cell r="E1702" t="str">
            <v>EUR</v>
          </cell>
          <cell r="F1702">
            <v>16.03</v>
          </cell>
          <cell r="G1702" t="str">
            <v>EUR</v>
          </cell>
          <cell r="H1702" t="e">
            <v>#VALUE!</v>
          </cell>
          <cell r="I1702" t="str">
            <v>STAPLETYPEE</v>
          </cell>
        </row>
        <row r="1703">
          <cell r="D1703">
            <v>209307</v>
          </cell>
          <cell r="E1703" t="str">
            <v>EUR</v>
          </cell>
          <cell r="F1703">
            <v>24.08</v>
          </cell>
          <cell r="G1703" t="str">
            <v>EUR</v>
          </cell>
          <cell r="H1703" t="e">
            <v>#VALUE!</v>
          </cell>
          <cell r="I1703" t="str">
            <v>STAPLETYPEF</v>
          </cell>
        </row>
        <row r="1704">
          <cell r="D1704">
            <v>410133</v>
          </cell>
          <cell r="E1704" t="str">
            <v>EUR</v>
          </cell>
          <cell r="F1704">
            <v>24.08</v>
          </cell>
          <cell r="G1704" t="str">
            <v>EUR</v>
          </cell>
          <cell r="H1704" t="e">
            <v>#VALUE!</v>
          </cell>
          <cell r="I1704" t="str">
            <v>STAPLETYPEG</v>
          </cell>
        </row>
        <row r="1705">
          <cell r="D1705">
            <v>410508</v>
          </cell>
          <cell r="E1705" t="str">
            <v>EUR</v>
          </cell>
          <cell r="F1705">
            <v>25.55</v>
          </cell>
          <cell r="G1705" t="str">
            <v>EUR</v>
          </cell>
          <cell r="H1705" t="e">
            <v>#VALUE!</v>
          </cell>
          <cell r="I1705" t="str">
            <v>STAPLETYPEH</v>
          </cell>
        </row>
        <row r="1706">
          <cell r="D1706">
            <v>410597</v>
          </cell>
          <cell r="E1706" t="str">
            <v>EUR</v>
          </cell>
          <cell r="F1706">
            <v>29.56</v>
          </cell>
          <cell r="G1706" t="str">
            <v>EUR</v>
          </cell>
          <cell r="H1706" t="e">
            <v>#VALUE!</v>
          </cell>
          <cell r="I1706" t="str">
            <v>STAPLETYPEJ</v>
          </cell>
        </row>
        <row r="1707">
          <cell r="D1707">
            <v>410801</v>
          </cell>
          <cell r="E1707" t="str">
            <v>EUR</v>
          </cell>
          <cell r="F1707">
            <v>15.7</v>
          </cell>
          <cell r="G1707" t="str">
            <v>EUR</v>
          </cell>
          <cell r="H1707" t="e">
            <v>#VALUE!</v>
          </cell>
          <cell r="I1707" t="str">
            <v>STAPLETYPEK</v>
          </cell>
        </row>
        <row r="1708">
          <cell r="D1708">
            <v>411240</v>
          </cell>
          <cell r="E1708" t="str">
            <v>EUR</v>
          </cell>
          <cell r="F1708">
            <v>11.82</v>
          </cell>
          <cell r="G1708" t="str">
            <v>EUR</v>
          </cell>
          <cell r="H1708" t="e">
            <v>#VALUE!</v>
          </cell>
          <cell r="I1708" t="str">
            <v>STAPLETYPEL</v>
          </cell>
        </row>
        <row r="1709">
          <cell r="D1709">
            <v>922479</v>
          </cell>
          <cell r="E1709" t="str">
            <v>EUR</v>
          </cell>
          <cell r="F1709">
            <v>37</v>
          </cell>
          <cell r="G1709" t="e">
            <v>#N/A</v>
          </cell>
          <cell r="H1709" t="e">
            <v>#N/A</v>
          </cell>
          <cell r="I1709" t="str">
            <v>STAPLE85SWE</v>
          </cell>
        </row>
        <row r="1710">
          <cell r="D1710">
            <v>923978</v>
          </cell>
          <cell r="E1710" t="str">
            <v>EUR</v>
          </cell>
          <cell r="F1710">
            <v>107.99</v>
          </cell>
          <cell r="G1710" t="e">
            <v>#N/A</v>
          </cell>
          <cell r="H1710" t="e">
            <v>#N/A</v>
          </cell>
          <cell r="I1710" t="str">
            <v>TONAP1610USA</v>
          </cell>
        </row>
        <row r="1711">
          <cell r="D1711">
            <v>889341</v>
          </cell>
          <cell r="E1711" t="str">
            <v>EUR</v>
          </cell>
          <cell r="F1711">
            <v>70.180000000000007</v>
          </cell>
          <cell r="G1711" t="str">
            <v>EUR</v>
          </cell>
          <cell r="H1711" t="e">
            <v>#VALUE!</v>
          </cell>
          <cell r="I1711" t="str">
            <v>TONCOLLUN</v>
          </cell>
        </row>
        <row r="1712">
          <cell r="D1712">
            <v>885104</v>
          </cell>
          <cell r="E1712" t="str">
            <v>EUR</v>
          </cell>
          <cell r="F1712">
            <v>65.45</v>
          </cell>
          <cell r="G1712" t="e">
            <v>#N/A</v>
          </cell>
          <cell r="H1712" t="e">
            <v>#N/A</v>
          </cell>
          <cell r="I1712" t="str">
            <v>TONER10DFRA</v>
          </cell>
        </row>
        <row r="1713">
          <cell r="D1713">
            <v>888037</v>
          </cell>
          <cell r="E1713" t="str">
            <v>EUR</v>
          </cell>
          <cell r="F1713">
            <v>104.94</v>
          </cell>
          <cell r="G1713" t="str">
            <v>EUR</v>
          </cell>
          <cell r="H1713" t="e">
            <v>#VALUE!</v>
          </cell>
          <cell r="I1713" t="str">
            <v>TONER105CYN</v>
          </cell>
        </row>
        <row r="1714">
          <cell r="D1714">
            <v>888036</v>
          </cell>
          <cell r="E1714" t="str">
            <v>EUR</v>
          </cell>
          <cell r="F1714">
            <v>104.94</v>
          </cell>
          <cell r="G1714" t="str">
            <v>EUR</v>
          </cell>
          <cell r="H1714" t="e">
            <v>#VALUE!</v>
          </cell>
          <cell r="I1714" t="str">
            <v>TONER105MAG</v>
          </cell>
        </row>
        <row r="1715">
          <cell r="D1715">
            <v>888035</v>
          </cell>
          <cell r="E1715" t="str">
            <v>EUR</v>
          </cell>
          <cell r="F1715">
            <v>104.94</v>
          </cell>
          <cell r="G1715" t="str">
            <v>EUR</v>
          </cell>
          <cell r="H1715" t="e">
            <v>#VALUE!</v>
          </cell>
          <cell r="I1715" t="str">
            <v>TONER105YLW</v>
          </cell>
        </row>
        <row r="1716">
          <cell r="D1716">
            <v>885109</v>
          </cell>
          <cell r="E1716" t="str">
            <v>EUR</v>
          </cell>
          <cell r="F1716">
            <v>47.4</v>
          </cell>
          <cell r="G1716" t="e">
            <v>#N/A</v>
          </cell>
          <cell r="H1716" t="e">
            <v>#N/A</v>
          </cell>
          <cell r="I1716" t="str">
            <v>TONER20DEFRA</v>
          </cell>
        </row>
        <row r="1717">
          <cell r="D1717">
            <v>888032</v>
          </cell>
          <cell r="E1717" t="str">
            <v>EUR</v>
          </cell>
          <cell r="F1717">
            <v>41.79</v>
          </cell>
          <cell r="G1717" t="str">
            <v>EUR</v>
          </cell>
          <cell r="H1717" t="e">
            <v>#VALUE!</v>
          </cell>
          <cell r="I1717" t="str">
            <v>TONER205BLA</v>
          </cell>
        </row>
        <row r="1718">
          <cell r="D1718">
            <v>887849</v>
          </cell>
          <cell r="E1718" t="str">
            <v>EUR</v>
          </cell>
          <cell r="F1718">
            <v>75.05</v>
          </cell>
          <cell r="G1718" t="str">
            <v>EUR</v>
          </cell>
          <cell r="H1718" t="e">
            <v>#VALUE!</v>
          </cell>
          <cell r="I1718" t="str">
            <v>TONTYPEHCYN</v>
          </cell>
        </row>
        <row r="1719">
          <cell r="D1719">
            <v>887848</v>
          </cell>
          <cell r="E1719" t="str">
            <v>EUR</v>
          </cell>
          <cell r="F1719">
            <v>75.05</v>
          </cell>
          <cell r="G1719" t="str">
            <v>EUR</v>
          </cell>
          <cell r="H1719" t="e">
            <v>#VALUE!</v>
          </cell>
          <cell r="I1719" t="str">
            <v>TONTYPEHMAG</v>
          </cell>
        </row>
        <row r="1720">
          <cell r="D1720">
            <v>887845</v>
          </cell>
          <cell r="E1720" t="str">
            <v>EUR</v>
          </cell>
          <cell r="F1720">
            <v>79.05</v>
          </cell>
          <cell r="G1720" t="str">
            <v>EUR</v>
          </cell>
          <cell r="H1720" t="e">
            <v>#VALUE!</v>
          </cell>
          <cell r="I1720" t="str">
            <v>TONTYPEHXBLA</v>
          </cell>
        </row>
        <row r="1721">
          <cell r="D1721">
            <v>887847</v>
          </cell>
          <cell r="E1721" t="str">
            <v>EUR</v>
          </cell>
          <cell r="F1721">
            <v>75.05</v>
          </cell>
          <cell r="G1721" t="str">
            <v>EUR</v>
          </cell>
          <cell r="H1721" t="e">
            <v>#VALUE!</v>
          </cell>
          <cell r="I1721" t="str">
            <v>TONTYPEHYLW</v>
          </cell>
        </row>
        <row r="1722">
          <cell r="D1722">
            <v>887813</v>
          </cell>
          <cell r="E1722" t="str">
            <v>EUR</v>
          </cell>
          <cell r="F1722">
            <v>86.89</v>
          </cell>
          <cell r="G1722" t="str">
            <v>EUR</v>
          </cell>
          <cell r="H1722" t="e">
            <v>#VALUE!</v>
          </cell>
          <cell r="I1722" t="str">
            <v>TONTYPEJBLA</v>
          </cell>
        </row>
        <row r="1723">
          <cell r="D1723">
            <v>887816</v>
          </cell>
          <cell r="E1723" t="str">
            <v>EUR</v>
          </cell>
          <cell r="F1723">
            <v>96.57</v>
          </cell>
          <cell r="G1723" t="str">
            <v>EUR</v>
          </cell>
          <cell r="H1723" t="e">
            <v>#VALUE!</v>
          </cell>
          <cell r="I1723" t="str">
            <v>TONTYPEJCYN</v>
          </cell>
        </row>
        <row r="1724">
          <cell r="D1724">
            <v>887815</v>
          </cell>
          <cell r="E1724" t="str">
            <v>EUR</v>
          </cell>
          <cell r="F1724">
            <v>96.57</v>
          </cell>
          <cell r="G1724" t="str">
            <v>EUR</v>
          </cell>
          <cell r="H1724" t="e">
            <v>#VALUE!</v>
          </cell>
          <cell r="I1724" t="str">
            <v>TONTYPEJMAG</v>
          </cell>
        </row>
        <row r="1725">
          <cell r="D1725">
            <v>887814</v>
          </cell>
          <cell r="E1725" t="str">
            <v>EUR</v>
          </cell>
          <cell r="F1725">
            <v>96.57</v>
          </cell>
          <cell r="G1725" t="str">
            <v>EUR</v>
          </cell>
          <cell r="H1725" t="e">
            <v>#VALUE!</v>
          </cell>
          <cell r="I1725" t="str">
            <v>TONTYPEJYLW</v>
          </cell>
        </row>
        <row r="1726">
          <cell r="D1726">
            <v>887914</v>
          </cell>
          <cell r="E1726" t="str">
            <v>EUR</v>
          </cell>
          <cell r="F1726">
            <v>49.16</v>
          </cell>
          <cell r="G1726" t="str">
            <v>EUR</v>
          </cell>
          <cell r="H1726" t="e">
            <v>#VALUE!</v>
          </cell>
          <cell r="I1726" t="str">
            <v>TONTYPEK1BLA</v>
          </cell>
        </row>
        <row r="1727">
          <cell r="D1727">
            <v>887933</v>
          </cell>
          <cell r="E1727" t="str">
            <v>EUR</v>
          </cell>
          <cell r="F1727">
            <v>125.61</v>
          </cell>
          <cell r="G1727" t="str">
            <v>EUR</v>
          </cell>
          <cell r="H1727" t="e">
            <v>#VALUE!</v>
          </cell>
          <cell r="I1727" t="str">
            <v>TONTYPEK1CYN</v>
          </cell>
        </row>
        <row r="1728">
          <cell r="D1728">
            <v>887927</v>
          </cell>
          <cell r="E1728" t="str">
            <v>EUR</v>
          </cell>
          <cell r="F1728">
            <v>125.61</v>
          </cell>
          <cell r="G1728" t="str">
            <v>EUR</v>
          </cell>
          <cell r="H1728" t="e">
            <v>#VALUE!</v>
          </cell>
          <cell r="I1728" t="str">
            <v>TONTYPEK1MAG</v>
          </cell>
        </row>
        <row r="1729">
          <cell r="D1729">
            <v>887921</v>
          </cell>
          <cell r="E1729" t="str">
            <v>EUR</v>
          </cell>
          <cell r="F1729">
            <v>125.61</v>
          </cell>
          <cell r="G1729" t="str">
            <v>EUR</v>
          </cell>
          <cell r="H1729" t="e">
            <v>#VALUE!</v>
          </cell>
          <cell r="I1729" t="str">
            <v>TONTYPEK1YLW</v>
          </cell>
        </row>
        <row r="1730">
          <cell r="D1730">
            <v>887890</v>
          </cell>
          <cell r="E1730" t="str">
            <v>EUR</v>
          </cell>
          <cell r="F1730">
            <v>131.54</v>
          </cell>
          <cell r="G1730" t="str">
            <v>EUR</v>
          </cell>
          <cell r="H1730" t="e">
            <v>#VALUE!</v>
          </cell>
          <cell r="I1730" t="str">
            <v>TONTYPEL1BLA</v>
          </cell>
        </row>
        <row r="1731">
          <cell r="D1731">
            <v>887908</v>
          </cell>
          <cell r="E1731" t="str">
            <v>EUR</v>
          </cell>
          <cell r="F1731">
            <v>149.5</v>
          </cell>
          <cell r="G1731" t="str">
            <v>EUR</v>
          </cell>
          <cell r="H1731" t="e">
            <v>#VALUE!</v>
          </cell>
          <cell r="I1731" t="str">
            <v>TONTYPEL1CYN</v>
          </cell>
        </row>
        <row r="1732">
          <cell r="D1732">
            <v>887902</v>
          </cell>
          <cell r="E1732" t="str">
            <v>EUR</v>
          </cell>
          <cell r="F1732">
            <v>149.5</v>
          </cell>
          <cell r="G1732" t="str">
            <v>EUR</v>
          </cell>
          <cell r="H1732" t="e">
            <v>#VALUE!</v>
          </cell>
          <cell r="I1732" t="str">
            <v>TONTYPEL1MAG</v>
          </cell>
        </row>
        <row r="1733">
          <cell r="D1733">
            <v>887896</v>
          </cell>
          <cell r="E1733" t="str">
            <v>EUR</v>
          </cell>
          <cell r="F1733">
            <v>149.5</v>
          </cell>
          <cell r="G1733" t="str">
            <v>EUR</v>
          </cell>
          <cell r="H1733" t="e">
            <v>#VALUE!</v>
          </cell>
          <cell r="I1733" t="str">
            <v>TONTYPEL1YLW</v>
          </cell>
        </row>
        <row r="1734">
          <cell r="D1734">
            <v>885165</v>
          </cell>
          <cell r="E1734" t="str">
            <v>EUR</v>
          </cell>
          <cell r="F1734">
            <v>53.65</v>
          </cell>
          <cell r="G1734" t="e">
            <v>#N/A</v>
          </cell>
          <cell r="H1734" t="e">
            <v>#N/A</v>
          </cell>
          <cell r="I1734" t="str">
            <v>TONTYPE1100W</v>
          </cell>
        </row>
        <row r="1735">
          <cell r="D1735">
            <v>410303</v>
          </cell>
          <cell r="E1735" t="str">
            <v>EUR</v>
          </cell>
          <cell r="F1735">
            <v>73.39</v>
          </cell>
          <cell r="G1735" t="str">
            <v>EUR</v>
          </cell>
          <cell r="H1735" t="e">
            <v>#VALUE!</v>
          </cell>
          <cell r="I1735" t="str">
            <v>TONTYPE185</v>
          </cell>
        </row>
        <row r="1736">
          <cell r="D1736">
            <v>885195</v>
          </cell>
          <cell r="E1736" t="str">
            <v>EUR</v>
          </cell>
          <cell r="F1736">
            <v>141.65</v>
          </cell>
          <cell r="G1736" t="e">
            <v>#N/A</v>
          </cell>
          <cell r="H1736" t="e">
            <v>#N/A</v>
          </cell>
          <cell r="I1736" t="str">
            <v>TON6205FRA</v>
          </cell>
        </row>
        <row r="1737">
          <cell r="D1737">
            <v>401092</v>
          </cell>
          <cell r="E1737" t="str">
            <v>EUR</v>
          </cell>
          <cell r="F1737">
            <v>43.4</v>
          </cell>
          <cell r="G1737" t="e">
            <v>#N/A</v>
          </cell>
          <cell r="H1737" t="e">
            <v>#N/A</v>
          </cell>
          <cell r="I1737" t="str">
            <v>1120DTONER</v>
          </cell>
        </row>
        <row r="1738">
          <cell r="D1738">
            <v>401129</v>
          </cell>
          <cell r="E1738" t="str">
            <v>EUR</v>
          </cell>
          <cell r="F1738">
            <v>56.73</v>
          </cell>
          <cell r="G1738" t="e">
            <v>#N/A</v>
          </cell>
          <cell r="H1738" t="e">
            <v>#N/A</v>
          </cell>
          <cell r="I1738" t="str">
            <v>1125DTONUK</v>
          </cell>
        </row>
        <row r="1739">
          <cell r="D1739">
            <v>888029</v>
          </cell>
          <cell r="E1739" t="str">
            <v>EUR</v>
          </cell>
          <cell r="F1739">
            <v>65.010000000000005</v>
          </cell>
          <cell r="G1739" t="str">
            <v>EUR</v>
          </cell>
          <cell r="H1739" t="e">
            <v>#VALUE!</v>
          </cell>
          <cell r="I1739" t="str">
            <v>1160WTONER</v>
          </cell>
        </row>
        <row r="1740">
          <cell r="D1740">
            <v>885122</v>
          </cell>
          <cell r="E1740" t="str">
            <v>EUR</v>
          </cell>
          <cell r="F1740">
            <v>45.24</v>
          </cell>
          <cell r="G1740" t="e">
            <v>#N/A</v>
          </cell>
          <cell r="H1740" t="e">
            <v>#N/A</v>
          </cell>
          <cell r="I1740" t="str">
            <v>1205TONERUK</v>
          </cell>
        </row>
        <row r="1741">
          <cell r="D1741">
            <v>339588</v>
          </cell>
          <cell r="E1741" t="str">
            <v>EUR</v>
          </cell>
          <cell r="F1741">
            <v>150.01</v>
          </cell>
          <cell r="G1741" t="str">
            <v>EUR</v>
          </cell>
          <cell r="H1741" t="e">
            <v>#VALUE!</v>
          </cell>
          <cell r="I1741" t="str">
            <v>1210DTONER</v>
          </cell>
        </row>
        <row r="1742">
          <cell r="D1742">
            <v>887754</v>
          </cell>
          <cell r="E1742" t="str">
            <v>EUR</v>
          </cell>
          <cell r="F1742">
            <v>41.82</v>
          </cell>
          <cell r="G1742" t="e">
            <v>#N/A</v>
          </cell>
          <cell r="H1742" t="e">
            <v>#N/A</v>
          </cell>
          <cell r="I1742" t="str">
            <v>1215TONER</v>
          </cell>
        </row>
        <row r="1743">
          <cell r="D1743">
            <v>888078</v>
          </cell>
          <cell r="E1743" t="str">
            <v>EUR</v>
          </cell>
          <cell r="F1743">
            <v>39.21</v>
          </cell>
          <cell r="G1743" t="str">
            <v>EUR</v>
          </cell>
          <cell r="H1743" t="e">
            <v>#VALUE!</v>
          </cell>
          <cell r="I1743" t="str">
            <v>1215TONERKOR</v>
          </cell>
        </row>
        <row r="1744">
          <cell r="D1744">
            <v>888087</v>
          </cell>
          <cell r="E1744" t="str">
            <v>EUR</v>
          </cell>
          <cell r="F1744">
            <v>13.03</v>
          </cell>
          <cell r="G1744" t="str">
            <v>EUR</v>
          </cell>
          <cell r="H1744" t="e">
            <v>#VALUE!</v>
          </cell>
          <cell r="I1744" t="str">
            <v>1220DTONER</v>
          </cell>
        </row>
        <row r="1745">
          <cell r="D1745">
            <v>885258</v>
          </cell>
          <cell r="E1745" t="str">
            <v>EUR</v>
          </cell>
          <cell r="F1745">
            <v>9.33</v>
          </cell>
          <cell r="G1745" t="e">
            <v>#N/A</v>
          </cell>
          <cell r="H1745" t="e">
            <v>#N/A</v>
          </cell>
          <cell r="I1745" t="str">
            <v>1250DTONER</v>
          </cell>
        </row>
        <row r="1746">
          <cell r="D1746">
            <v>411073</v>
          </cell>
          <cell r="E1746" t="str">
            <v>EUR</v>
          </cell>
          <cell r="F1746">
            <v>45.56</v>
          </cell>
          <cell r="G1746" t="str">
            <v>EUR</v>
          </cell>
          <cell r="H1746" t="e">
            <v>#VALUE!</v>
          </cell>
          <cell r="I1746" t="str">
            <v>1255DTONCHN</v>
          </cell>
        </row>
        <row r="1747">
          <cell r="D1747">
            <v>887661</v>
          </cell>
          <cell r="E1747" t="str">
            <v>EUR</v>
          </cell>
          <cell r="F1747">
            <v>25.3</v>
          </cell>
          <cell r="G1747" t="e">
            <v>#N/A</v>
          </cell>
          <cell r="H1747" t="e">
            <v>#N/A</v>
          </cell>
          <cell r="I1747" t="str">
            <v>2050TONBLAUK</v>
          </cell>
        </row>
        <row r="1748">
          <cell r="D1748">
            <v>889309</v>
          </cell>
          <cell r="E1748" t="str">
            <v>EUR</v>
          </cell>
          <cell r="F1748">
            <v>51.87</v>
          </cell>
          <cell r="G1748" t="e">
            <v>#N/A</v>
          </cell>
          <cell r="H1748" t="e">
            <v>#N/A</v>
          </cell>
          <cell r="I1748" t="str">
            <v>2050TONERBLU</v>
          </cell>
        </row>
        <row r="1749">
          <cell r="D1749">
            <v>889776</v>
          </cell>
          <cell r="E1749" t="str">
            <v>EUR</v>
          </cell>
          <cell r="F1749">
            <v>195.44</v>
          </cell>
          <cell r="G1749" t="str">
            <v>EUR</v>
          </cell>
          <cell r="H1749" t="e">
            <v>#VALUE!</v>
          </cell>
          <cell r="I1749" t="str">
            <v>2200EXTONER</v>
          </cell>
        </row>
        <row r="1750">
          <cell r="D1750">
            <v>889614</v>
          </cell>
          <cell r="E1750" t="str">
            <v>EUR</v>
          </cell>
          <cell r="F1750">
            <v>50.52</v>
          </cell>
          <cell r="G1750" t="str">
            <v>EUR</v>
          </cell>
          <cell r="H1750" t="e">
            <v>#VALUE!</v>
          </cell>
          <cell r="I1750" t="str">
            <v>2205DTONER</v>
          </cell>
        </row>
        <row r="1751">
          <cell r="D1751">
            <v>887977</v>
          </cell>
          <cell r="E1751" t="str">
            <v>EUR</v>
          </cell>
          <cell r="F1751">
            <v>75.930000000000007</v>
          </cell>
          <cell r="G1751" t="e">
            <v>#N/A</v>
          </cell>
          <cell r="H1751" t="e">
            <v>#N/A</v>
          </cell>
          <cell r="I1751" t="str">
            <v>2210DTONER</v>
          </cell>
        </row>
        <row r="1752">
          <cell r="D1752">
            <v>885229</v>
          </cell>
          <cell r="E1752" t="str">
            <v>EUR</v>
          </cell>
          <cell r="F1752">
            <v>73.7</v>
          </cell>
          <cell r="G1752" t="e">
            <v>#N/A</v>
          </cell>
          <cell r="H1752" t="e">
            <v>#N/A</v>
          </cell>
          <cell r="I1752" t="str">
            <v>2210DTONER2</v>
          </cell>
        </row>
        <row r="1753">
          <cell r="D1753">
            <v>885266</v>
          </cell>
          <cell r="E1753" t="str">
            <v>EUR</v>
          </cell>
          <cell r="F1753">
            <v>12.21</v>
          </cell>
          <cell r="G1753" t="e">
            <v>#N/A</v>
          </cell>
          <cell r="H1753" t="e">
            <v>#N/A</v>
          </cell>
          <cell r="I1753" t="str">
            <v>2220DTONFRA</v>
          </cell>
        </row>
        <row r="1754">
          <cell r="D1754">
            <v>887620</v>
          </cell>
          <cell r="E1754" t="str">
            <v>EUR</v>
          </cell>
          <cell r="F1754">
            <v>28.01</v>
          </cell>
          <cell r="G1754" t="e">
            <v>#N/A</v>
          </cell>
          <cell r="H1754" t="e">
            <v>#N/A</v>
          </cell>
          <cell r="I1754" t="str">
            <v>3000TONERUK</v>
          </cell>
        </row>
        <row r="1755">
          <cell r="D1755">
            <v>889268</v>
          </cell>
          <cell r="E1755" t="str">
            <v>EUR</v>
          </cell>
          <cell r="F1755">
            <v>34.42</v>
          </cell>
          <cell r="G1755" t="str">
            <v>EUR</v>
          </cell>
          <cell r="H1755" t="e">
            <v>#VALUE!</v>
          </cell>
          <cell r="I1755" t="str">
            <v>310DEV</v>
          </cell>
        </row>
        <row r="1756">
          <cell r="D1756">
            <v>887612</v>
          </cell>
          <cell r="E1756" t="str">
            <v>EUR</v>
          </cell>
          <cell r="F1756">
            <v>18.059999999999999</v>
          </cell>
          <cell r="G1756" t="e">
            <v>#N/A</v>
          </cell>
          <cell r="H1756" t="e">
            <v>#N/A</v>
          </cell>
          <cell r="I1756" t="str">
            <v>310TONERUK</v>
          </cell>
        </row>
        <row r="1757">
          <cell r="D1757">
            <v>887681</v>
          </cell>
          <cell r="E1757" t="str">
            <v>EUR</v>
          </cell>
          <cell r="F1757">
            <v>18.059999999999999</v>
          </cell>
          <cell r="G1757" t="e">
            <v>#N/A</v>
          </cell>
          <cell r="H1757" t="e">
            <v>#N/A</v>
          </cell>
          <cell r="I1757" t="str">
            <v>320TONERUK</v>
          </cell>
        </row>
        <row r="1758">
          <cell r="D1758">
            <v>885137</v>
          </cell>
          <cell r="E1758" t="str">
            <v>EUR</v>
          </cell>
          <cell r="F1758">
            <v>97.05</v>
          </cell>
          <cell r="G1758" t="e">
            <v>#N/A</v>
          </cell>
          <cell r="H1758" t="e">
            <v>#N/A</v>
          </cell>
          <cell r="I1758" t="str">
            <v>3200DTONFRA</v>
          </cell>
        </row>
        <row r="1759">
          <cell r="D1759">
            <v>885180</v>
          </cell>
          <cell r="E1759" t="str">
            <v>EUR</v>
          </cell>
          <cell r="F1759">
            <v>120.23</v>
          </cell>
          <cell r="G1759" t="e">
            <v>#N/A</v>
          </cell>
          <cell r="H1759" t="e">
            <v>#N/A</v>
          </cell>
          <cell r="I1759" t="str">
            <v>3200DTONUK</v>
          </cell>
        </row>
        <row r="1760">
          <cell r="D1760">
            <v>888063</v>
          </cell>
          <cell r="E1760" t="str">
            <v>EUR</v>
          </cell>
          <cell r="F1760">
            <v>21.92</v>
          </cell>
          <cell r="G1760" t="e">
            <v>#N/A</v>
          </cell>
          <cell r="H1760" t="e">
            <v>#N/A</v>
          </cell>
          <cell r="I1760" t="str">
            <v>3205DTONER</v>
          </cell>
        </row>
        <row r="1761">
          <cell r="D1761">
            <v>885251</v>
          </cell>
          <cell r="E1761" t="str">
            <v>EUR</v>
          </cell>
          <cell r="F1761">
            <v>20.74</v>
          </cell>
          <cell r="G1761" t="e">
            <v>#N/A</v>
          </cell>
          <cell r="H1761" t="e">
            <v>#N/A</v>
          </cell>
          <cell r="I1761" t="str">
            <v>3205DTONFRA</v>
          </cell>
        </row>
        <row r="1762">
          <cell r="D1762">
            <v>889415</v>
          </cell>
          <cell r="E1762" t="str">
            <v>EUR</v>
          </cell>
          <cell r="F1762">
            <v>35.96</v>
          </cell>
          <cell r="G1762" t="e">
            <v>#N/A</v>
          </cell>
          <cell r="H1762" t="e">
            <v>#N/A</v>
          </cell>
          <cell r="I1762" t="str">
            <v>3300DEVUSA</v>
          </cell>
        </row>
        <row r="1763">
          <cell r="D1763">
            <v>889411</v>
          </cell>
          <cell r="E1763" t="str">
            <v>EUR</v>
          </cell>
          <cell r="F1763">
            <v>43.24</v>
          </cell>
          <cell r="G1763" t="e">
            <v>#N/A</v>
          </cell>
          <cell r="H1763" t="e">
            <v>#N/A</v>
          </cell>
          <cell r="I1763" t="str">
            <v>3300TONERUK</v>
          </cell>
        </row>
        <row r="1764">
          <cell r="D1764">
            <v>887133</v>
          </cell>
          <cell r="E1764" t="str">
            <v>EUR</v>
          </cell>
          <cell r="F1764">
            <v>51.95</v>
          </cell>
          <cell r="G1764" t="e">
            <v>#N/A</v>
          </cell>
          <cell r="H1764" t="e">
            <v>#N/A</v>
          </cell>
          <cell r="I1764" t="str">
            <v>4000DEVUSA</v>
          </cell>
        </row>
        <row r="1765">
          <cell r="D1765">
            <v>887621</v>
          </cell>
          <cell r="E1765" t="str">
            <v>EUR</v>
          </cell>
          <cell r="F1765">
            <v>36.85</v>
          </cell>
          <cell r="G1765" t="e">
            <v>#N/A</v>
          </cell>
          <cell r="H1765" t="e">
            <v>#N/A</v>
          </cell>
          <cell r="I1765" t="str">
            <v>4000TONERUK</v>
          </cell>
        </row>
        <row r="1766">
          <cell r="D1766">
            <v>887564</v>
          </cell>
          <cell r="E1766" t="str">
            <v>EUR</v>
          </cell>
          <cell r="F1766">
            <v>32.520000000000003</v>
          </cell>
          <cell r="G1766" t="str">
            <v>EUR</v>
          </cell>
          <cell r="H1766" t="e">
            <v>#VALUE!</v>
          </cell>
          <cell r="I1766" t="str">
            <v>4418DEVBLA</v>
          </cell>
        </row>
        <row r="1767">
          <cell r="D1767">
            <v>887610</v>
          </cell>
          <cell r="E1767" t="str">
            <v>EUR</v>
          </cell>
          <cell r="F1767">
            <v>37.840000000000003</v>
          </cell>
          <cell r="G1767" t="e">
            <v>#N/A</v>
          </cell>
          <cell r="H1767" t="e">
            <v>#N/A</v>
          </cell>
          <cell r="I1767" t="str">
            <v>4418TONBLAUK</v>
          </cell>
        </row>
        <row r="1768">
          <cell r="D1768">
            <v>887704</v>
          </cell>
          <cell r="E1768" t="str">
            <v>EUR</v>
          </cell>
          <cell r="F1768">
            <v>45.58</v>
          </cell>
          <cell r="G1768" t="str">
            <v>EUR</v>
          </cell>
          <cell r="H1768" t="e">
            <v>#VALUE!</v>
          </cell>
          <cell r="I1768" t="str">
            <v>4422TONER</v>
          </cell>
        </row>
        <row r="1769">
          <cell r="D1769">
            <v>887459</v>
          </cell>
          <cell r="E1769" t="str">
            <v>EUR</v>
          </cell>
          <cell r="F1769">
            <v>136.13</v>
          </cell>
          <cell r="G1769" t="str">
            <v>EUR</v>
          </cell>
          <cell r="H1769" t="e">
            <v>#VALUE!</v>
          </cell>
          <cell r="I1769" t="str">
            <v>4460TONERBLA</v>
          </cell>
        </row>
        <row r="1770">
          <cell r="D1770">
            <v>887452</v>
          </cell>
          <cell r="E1770" t="str">
            <v>EUR</v>
          </cell>
          <cell r="F1770">
            <v>39.21</v>
          </cell>
          <cell r="G1770" t="str">
            <v>EUR</v>
          </cell>
          <cell r="H1770" t="e">
            <v>#VALUE!</v>
          </cell>
          <cell r="I1770" t="str">
            <v>4460TONERRED</v>
          </cell>
        </row>
        <row r="1771">
          <cell r="D1771">
            <v>889490</v>
          </cell>
          <cell r="E1771" t="str">
            <v>EUR</v>
          </cell>
          <cell r="F1771">
            <v>31.21</v>
          </cell>
          <cell r="G1771" t="e">
            <v>#N/A</v>
          </cell>
          <cell r="H1771" t="e">
            <v>#N/A</v>
          </cell>
          <cell r="I1771" t="str">
            <v>450TONERUK</v>
          </cell>
        </row>
        <row r="1772">
          <cell r="D1772">
            <v>887622</v>
          </cell>
          <cell r="E1772" t="str">
            <v>EUR</v>
          </cell>
          <cell r="F1772">
            <v>33.9</v>
          </cell>
          <cell r="G1772" t="e">
            <v>#N/A</v>
          </cell>
          <cell r="H1772" t="e">
            <v>#N/A</v>
          </cell>
          <cell r="I1772" t="str">
            <v>5000TONERUK</v>
          </cell>
        </row>
        <row r="1773">
          <cell r="D1773">
            <v>887655</v>
          </cell>
          <cell r="E1773" t="str">
            <v>EUR</v>
          </cell>
          <cell r="F1773">
            <v>56.51</v>
          </cell>
          <cell r="G1773" t="e">
            <v>#N/A</v>
          </cell>
          <cell r="H1773" t="e">
            <v>#N/A</v>
          </cell>
          <cell r="I1773" t="str">
            <v>5010TONBLUK</v>
          </cell>
        </row>
        <row r="1774">
          <cell r="D1774">
            <v>887616</v>
          </cell>
          <cell r="E1774" t="str">
            <v>EUR</v>
          </cell>
          <cell r="F1774">
            <v>37.54</v>
          </cell>
          <cell r="G1774" t="e">
            <v>#N/A</v>
          </cell>
          <cell r="H1774" t="e">
            <v>#N/A</v>
          </cell>
          <cell r="I1774" t="str">
            <v>510TONBLAUK</v>
          </cell>
        </row>
        <row r="1775">
          <cell r="D1775">
            <v>889283</v>
          </cell>
          <cell r="E1775" t="str">
            <v>EUR</v>
          </cell>
          <cell r="F1775">
            <v>44.42</v>
          </cell>
          <cell r="G1775" t="str">
            <v>EUR</v>
          </cell>
          <cell r="H1775" t="e">
            <v>#VALUE!</v>
          </cell>
          <cell r="I1775" t="str">
            <v>510TONERBLU</v>
          </cell>
        </row>
        <row r="1776">
          <cell r="D1776">
            <v>889280</v>
          </cell>
          <cell r="E1776" t="str">
            <v>EUR</v>
          </cell>
          <cell r="F1776">
            <v>44.42</v>
          </cell>
          <cell r="G1776" t="str">
            <v>EUR</v>
          </cell>
          <cell r="H1776" t="e">
            <v>#VALUE!</v>
          </cell>
          <cell r="I1776" t="str">
            <v>510TONERRED</v>
          </cell>
        </row>
        <row r="1777">
          <cell r="D1777">
            <v>887741</v>
          </cell>
          <cell r="E1777" t="str">
            <v>EUR</v>
          </cell>
          <cell r="F1777">
            <v>124.67</v>
          </cell>
          <cell r="G1777" t="e">
            <v>#N/A</v>
          </cell>
          <cell r="H1777" t="e">
            <v>#N/A</v>
          </cell>
          <cell r="I1777" t="str">
            <v>5200DTONER</v>
          </cell>
        </row>
        <row r="1778">
          <cell r="D1778">
            <v>885190</v>
          </cell>
          <cell r="E1778" t="str">
            <v>EUR</v>
          </cell>
          <cell r="F1778">
            <v>117.3</v>
          </cell>
          <cell r="G1778" t="e">
            <v>#N/A</v>
          </cell>
          <cell r="H1778" t="e">
            <v>#N/A</v>
          </cell>
          <cell r="I1778" t="str">
            <v>5200DTONFRA</v>
          </cell>
        </row>
        <row r="1779">
          <cell r="D1779">
            <v>887995</v>
          </cell>
          <cell r="E1779" t="str">
            <v>EUR</v>
          </cell>
          <cell r="F1779">
            <v>130.72</v>
          </cell>
          <cell r="G1779" t="e">
            <v>#N/A</v>
          </cell>
          <cell r="H1779" t="e">
            <v>#N/A</v>
          </cell>
          <cell r="I1779" t="str">
            <v>5205DTONER</v>
          </cell>
        </row>
        <row r="1780">
          <cell r="D1780">
            <v>885241</v>
          </cell>
          <cell r="E1780" t="str">
            <v>EUR</v>
          </cell>
          <cell r="F1780">
            <v>123.32</v>
          </cell>
          <cell r="G1780" t="e">
            <v>#N/A</v>
          </cell>
          <cell r="H1780" t="e">
            <v>#N/A</v>
          </cell>
          <cell r="I1780" t="str">
            <v>5205DTONER2</v>
          </cell>
        </row>
        <row r="1781">
          <cell r="D1781">
            <v>887642</v>
          </cell>
          <cell r="E1781" t="str">
            <v>EUR</v>
          </cell>
          <cell r="F1781">
            <v>113.22</v>
          </cell>
          <cell r="G1781" t="e">
            <v>#N/A</v>
          </cell>
          <cell r="H1781" t="e">
            <v>#N/A</v>
          </cell>
          <cell r="I1781" t="str">
            <v>610TONERUK</v>
          </cell>
        </row>
        <row r="1782">
          <cell r="D1782">
            <v>885274</v>
          </cell>
          <cell r="E1782" t="str">
            <v>EUR</v>
          </cell>
          <cell r="F1782">
            <v>31.58</v>
          </cell>
          <cell r="G1782" t="e">
            <v>#N/A</v>
          </cell>
          <cell r="H1782" t="e">
            <v>#N/A</v>
          </cell>
          <cell r="I1782" t="str">
            <v>6210DTONER</v>
          </cell>
        </row>
        <row r="1783">
          <cell r="D1783">
            <v>887576</v>
          </cell>
          <cell r="E1783" t="str">
            <v>EUR</v>
          </cell>
          <cell r="F1783">
            <v>67.430000000000007</v>
          </cell>
          <cell r="G1783" t="str">
            <v>EUR</v>
          </cell>
          <cell r="H1783" t="e">
            <v>#VALUE!</v>
          </cell>
          <cell r="I1783" t="str">
            <v>670DEV</v>
          </cell>
        </row>
        <row r="1784">
          <cell r="D1784">
            <v>887571</v>
          </cell>
          <cell r="E1784" t="str">
            <v>EUR</v>
          </cell>
          <cell r="F1784">
            <v>47.81</v>
          </cell>
          <cell r="G1784" t="e">
            <v>#N/A</v>
          </cell>
          <cell r="H1784" t="e">
            <v>#N/A</v>
          </cell>
          <cell r="I1784" t="str">
            <v>670TONERUSA</v>
          </cell>
        </row>
        <row r="1785">
          <cell r="D1785">
            <v>887656</v>
          </cell>
          <cell r="E1785" t="str">
            <v>EUR</v>
          </cell>
          <cell r="F1785">
            <v>69.62</v>
          </cell>
          <cell r="G1785" t="e">
            <v>#N/A</v>
          </cell>
          <cell r="H1785" t="e">
            <v>#N/A</v>
          </cell>
          <cell r="I1785" t="str">
            <v>7770TONERUK</v>
          </cell>
        </row>
        <row r="1786">
          <cell r="D1786">
            <v>887447</v>
          </cell>
          <cell r="E1786" t="str">
            <v>EUR</v>
          </cell>
          <cell r="F1786">
            <v>495.57</v>
          </cell>
          <cell r="G1786" t="str">
            <v>EUR</v>
          </cell>
          <cell r="H1786" t="e">
            <v>#VALUE!</v>
          </cell>
          <cell r="I1786" t="str">
            <v>800TONERBLA</v>
          </cell>
        </row>
        <row r="1787">
          <cell r="D1787">
            <v>889553</v>
          </cell>
          <cell r="E1787" t="str">
            <v>EUR</v>
          </cell>
          <cell r="F1787">
            <v>32.01</v>
          </cell>
          <cell r="G1787" t="str">
            <v>EUR</v>
          </cell>
          <cell r="H1787" t="e">
            <v>#VALUE!</v>
          </cell>
          <cell r="I1787" t="str">
            <v>8015DEVBLA</v>
          </cell>
        </row>
        <row r="1788">
          <cell r="D1788">
            <v>889562</v>
          </cell>
          <cell r="E1788" t="str">
            <v>EUR</v>
          </cell>
          <cell r="F1788">
            <v>32.01</v>
          </cell>
          <cell r="G1788" t="str">
            <v>EUR</v>
          </cell>
          <cell r="H1788" t="e">
            <v>#VALUE!</v>
          </cell>
          <cell r="I1788" t="str">
            <v>8015DEVCYN</v>
          </cell>
        </row>
        <row r="1789">
          <cell r="D1789">
            <v>889556</v>
          </cell>
          <cell r="E1789" t="str">
            <v>EUR</v>
          </cell>
          <cell r="F1789">
            <v>32.01</v>
          </cell>
          <cell r="G1789" t="str">
            <v>EUR</v>
          </cell>
          <cell r="H1789" t="e">
            <v>#VALUE!</v>
          </cell>
          <cell r="I1789" t="str">
            <v>8015DEVYLW</v>
          </cell>
        </row>
        <row r="1790">
          <cell r="D1790">
            <v>889541</v>
          </cell>
          <cell r="E1790" t="str">
            <v>EUR</v>
          </cell>
          <cell r="F1790">
            <v>182.98</v>
          </cell>
          <cell r="G1790" t="str">
            <v>EUR</v>
          </cell>
          <cell r="H1790" t="e">
            <v>#VALUE!</v>
          </cell>
          <cell r="I1790" t="str">
            <v>8015TONBLA</v>
          </cell>
        </row>
        <row r="1791">
          <cell r="D1791">
            <v>889550</v>
          </cell>
          <cell r="E1791" t="str">
            <v>EUR</v>
          </cell>
          <cell r="F1791">
            <v>182.98</v>
          </cell>
          <cell r="G1791" t="str">
            <v>EUR</v>
          </cell>
          <cell r="H1791" t="e">
            <v>#VALUE!</v>
          </cell>
          <cell r="I1791" t="str">
            <v>8015TONCYN</v>
          </cell>
        </row>
        <row r="1792">
          <cell r="D1792">
            <v>889547</v>
          </cell>
          <cell r="E1792" t="str">
            <v>EUR</v>
          </cell>
          <cell r="F1792">
            <v>182.98</v>
          </cell>
          <cell r="G1792" t="str">
            <v>EUR</v>
          </cell>
          <cell r="H1792" t="e">
            <v>#VALUE!</v>
          </cell>
          <cell r="I1792" t="str">
            <v>8015TONMAG</v>
          </cell>
        </row>
        <row r="1793">
          <cell r="D1793">
            <v>889544</v>
          </cell>
          <cell r="E1793" t="str">
            <v>EUR</v>
          </cell>
          <cell r="F1793">
            <v>182.98</v>
          </cell>
          <cell r="G1793" t="str">
            <v>EUR</v>
          </cell>
          <cell r="H1793" t="e">
            <v>#VALUE!</v>
          </cell>
          <cell r="I1793" t="str">
            <v>8015TONYLW</v>
          </cell>
        </row>
        <row r="1794">
          <cell r="D1794">
            <v>887188</v>
          </cell>
          <cell r="E1794" t="str">
            <v>EUR</v>
          </cell>
          <cell r="F1794">
            <v>162.24</v>
          </cell>
          <cell r="G1794" t="str">
            <v>EUR</v>
          </cell>
          <cell r="H1794" t="e">
            <v>#VALUE!</v>
          </cell>
          <cell r="I1794" t="str">
            <v>820DEV</v>
          </cell>
        </row>
        <row r="1795">
          <cell r="D1795">
            <v>888009</v>
          </cell>
          <cell r="E1795" t="str">
            <v>EUR</v>
          </cell>
          <cell r="F1795">
            <v>139.9</v>
          </cell>
          <cell r="G1795" t="str">
            <v>EUR</v>
          </cell>
          <cell r="H1795" t="e">
            <v>#VALUE!</v>
          </cell>
          <cell r="I1795" t="str">
            <v>8200DTONER</v>
          </cell>
        </row>
        <row r="1796">
          <cell r="D1796">
            <v>888157</v>
          </cell>
          <cell r="E1796" t="str">
            <v>EUR</v>
          </cell>
          <cell r="F1796">
            <v>36.28</v>
          </cell>
          <cell r="G1796" t="e">
            <v>#N/A</v>
          </cell>
          <cell r="H1796" t="e">
            <v>#N/A</v>
          </cell>
          <cell r="I1796" t="str">
            <v>8205DTONER</v>
          </cell>
        </row>
        <row r="1797">
          <cell r="D1797">
            <v>885344</v>
          </cell>
          <cell r="E1797" t="str">
            <v>EUR</v>
          </cell>
          <cell r="F1797">
            <v>34.229999999999997</v>
          </cell>
          <cell r="G1797" t="e">
            <v>#N/A</v>
          </cell>
          <cell r="H1797" t="e">
            <v>#N/A</v>
          </cell>
          <cell r="I1797" t="str">
            <v>8205DTONFRA</v>
          </cell>
        </row>
        <row r="1798">
          <cell r="D1798">
            <v>889580</v>
          </cell>
          <cell r="E1798" t="str">
            <v>EUR</v>
          </cell>
          <cell r="F1798">
            <v>145.87</v>
          </cell>
          <cell r="G1798" t="str">
            <v>EUR</v>
          </cell>
          <cell r="H1798" t="e">
            <v>#VALUE!</v>
          </cell>
          <cell r="I1798" t="str">
            <v>8800DEVBLA</v>
          </cell>
        </row>
        <row r="1799">
          <cell r="D1799">
            <v>887695</v>
          </cell>
          <cell r="E1799" t="str">
            <v>EUR</v>
          </cell>
          <cell r="F1799">
            <v>238.17</v>
          </cell>
          <cell r="G1799" t="e">
            <v>#N/A</v>
          </cell>
          <cell r="H1799" t="e">
            <v>#N/A</v>
          </cell>
          <cell r="I1799" t="str">
            <v>8800TONERUK</v>
          </cell>
        </row>
        <row r="1800">
          <cell r="D1800">
            <v>209890</v>
          </cell>
          <cell r="E1800" t="str">
            <v>EUR</v>
          </cell>
          <cell r="F1800">
            <v>98.6</v>
          </cell>
          <cell r="G1800" t="str">
            <v>EUR</v>
          </cell>
          <cell r="H1800" t="e">
            <v>#VALUE!</v>
          </cell>
          <cell r="I1800" t="str">
            <v>AF251MAST</v>
          </cell>
        </row>
        <row r="1801">
          <cell r="D1801">
            <v>400398</v>
          </cell>
          <cell r="E1801" t="str">
            <v>EUR</v>
          </cell>
          <cell r="F1801">
            <v>57.15</v>
          </cell>
          <cell r="G1801" t="str">
            <v>EUR</v>
          </cell>
          <cell r="H1801" t="e">
            <v>#VALUE!</v>
          </cell>
          <cell r="I1801" t="str">
            <v>AP1400TONER</v>
          </cell>
        </row>
        <row r="1802">
          <cell r="D1802">
            <v>923961</v>
          </cell>
          <cell r="E1802" t="str">
            <v>EUR</v>
          </cell>
          <cell r="F1802">
            <v>107.99</v>
          </cell>
          <cell r="G1802" t="e">
            <v>#N/A</v>
          </cell>
          <cell r="H1802" t="e">
            <v>#N/A</v>
          </cell>
          <cell r="I1802" t="str">
            <v>AP1610TONER</v>
          </cell>
        </row>
        <row r="1803">
          <cell r="D1803">
            <v>400679</v>
          </cell>
          <cell r="E1803" t="str">
            <v>EUR</v>
          </cell>
          <cell r="F1803">
            <v>143.82</v>
          </cell>
          <cell r="G1803" t="e">
            <v>#N/A</v>
          </cell>
          <cell r="H1803" t="e">
            <v>#N/A</v>
          </cell>
          <cell r="I1803" t="str">
            <v>AP200TONCHN</v>
          </cell>
        </row>
        <row r="1804">
          <cell r="D1804">
            <v>400618</v>
          </cell>
          <cell r="E1804" t="str">
            <v>EUR</v>
          </cell>
          <cell r="F1804">
            <v>147.27000000000001</v>
          </cell>
          <cell r="G1804" t="e">
            <v>#N/A</v>
          </cell>
          <cell r="H1804" t="e">
            <v>#N/A</v>
          </cell>
          <cell r="I1804" t="str">
            <v>AP200TONER</v>
          </cell>
        </row>
        <row r="1805">
          <cell r="D1805">
            <v>400395</v>
          </cell>
          <cell r="E1805" t="str">
            <v>EUR</v>
          </cell>
          <cell r="F1805">
            <v>95.43</v>
          </cell>
          <cell r="G1805" t="str">
            <v>EUR</v>
          </cell>
          <cell r="H1805" t="e">
            <v>#VALUE!</v>
          </cell>
          <cell r="I1805" t="str">
            <v>AP2000TONER</v>
          </cell>
        </row>
        <row r="1806">
          <cell r="D1806">
            <v>400321</v>
          </cell>
          <cell r="E1806" t="str">
            <v>EUR</v>
          </cell>
          <cell r="F1806">
            <v>25.22</v>
          </cell>
          <cell r="G1806" t="str">
            <v>EUR</v>
          </cell>
          <cell r="H1806" t="e">
            <v>#VALUE!</v>
          </cell>
          <cell r="I1806" t="str">
            <v>AP204OIL</v>
          </cell>
        </row>
        <row r="1807">
          <cell r="D1807">
            <v>400320</v>
          </cell>
          <cell r="E1807" t="str">
            <v>EUR</v>
          </cell>
          <cell r="F1807">
            <v>136.46</v>
          </cell>
          <cell r="G1807" t="str">
            <v>EUR</v>
          </cell>
          <cell r="H1807" t="e">
            <v>#VALUE!</v>
          </cell>
          <cell r="I1807" t="str">
            <v>AP204PCU</v>
          </cell>
        </row>
        <row r="1808">
          <cell r="D1808">
            <v>400316</v>
          </cell>
          <cell r="E1808" t="str">
            <v>EUR</v>
          </cell>
          <cell r="F1808">
            <v>63.16</v>
          </cell>
          <cell r="G1808" t="str">
            <v>EUR</v>
          </cell>
          <cell r="H1808" t="e">
            <v>#VALUE!</v>
          </cell>
          <cell r="I1808" t="str">
            <v>AP204TONBLA</v>
          </cell>
        </row>
        <row r="1809">
          <cell r="D1809">
            <v>400317</v>
          </cell>
          <cell r="E1809" t="str">
            <v>EUR</v>
          </cell>
          <cell r="F1809">
            <v>56.38</v>
          </cell>
          <cell r="G1809" t="str">
            <v>EUR</v>
          </cell>
          <cell r="H1809" t="e">
            <v>#VALUE!</v>
          </cell>
          <cell r="I1809" t="str">
            <v>AP204TONCYN</v>
          </cell>
        </row>
        <row r="1810">
          <cell r="D1810">
            <v>400318</v>
          </cell>
          <cell r="E1810" t="str">
            <v>EUR</v>
          </cell>
          <cell r="F1810">
            <v>56.38</v>
          </cell>
          <cell r="G1810" t="str">
            <v>EUR</v>
          </cell>
          <cell r="H1810" t="e">
            <v>#VALUE!</v>
          </cell>
          <cell r="I1810" t="str">
            <v>AP204TONMAG</v>
          </cell>
        </row>
        <row r="1811">
          <cell r="D1811">
            <v>400319</v>
          </cell>
          <cell r="E1811" t="str">
            <v>EUR</v>
          </cell>
          <cell r="F1811">
            <v>56.38</v>
          </cell>
          <cell r="G1811" t="str">
            <v>EUR</v>
          </cell>
          <cell r="H1811" t="e">
            <v>#VALUE!</v>
          </cell>
          <cell r="I1811" t="str">
            <v>AP204TONYLW</v>
          </cell>
        </row>
        <row r="1812">
          <cell r="D1812">
            <v>400322</v>
          </cell>
          <cell r="E1812" t="str">
            <v>EUR</v>
          </cell>
          <cell r="F1812">
            <v>8.2799999999999994</v>
          </cell>
          <cell r="G1812" t="str">
            <v>EUR</v>
          </cell>
          <cell r="H1812" t="e">
            <v>#VALUE!</v>
          </cell>
          <cell r="I1812" t="str">
            <v>AP204WASTE</v>
          </cell>
        </row>
        <row r="1813">
          <cell r="D1813">
            <v>400514</v>
          </cell>
          <cell r="E1813" t="str">
            <v>EUR</v>
          </cell>
          <cell r="F1813">
            <v>25.92</v>
          </cell>
          <cell r="G1813" t="e">
            <v>#N/A</v>
          </cell>
          <cell r="H1813" t="e">
            <v>#N/A</v>
          </cell>
          <cell r="I1813" t="str">
            <v>AP206FUSER</v>
          </cell>
        </row>
        <row r="1814">
          <cell r="D1814">
            <v>400511</v>
          </cell>
          <cell r="E1814" t="str">
            <v>EUR</v>
          </cell>
          <cell r="F1814">
            <v>151.63</v>
          </cell>
          <cell r="G1814" t="str">
            <v>EUR</v>
          </cell>
          <cell r="H1814" t="e">
            <v>#VALUE!</v>
          </cell>
          <cell r="I1814" t="str">
            <v>AP206PCU</v>
          </cell>
        </row>
        <row r="1815">
          <cell r="D1815">
            <v>400507</v>
          </cell>
          <cell r="E1815" t="str">
            <v>EUR</v>
          </cell>
          <cell r="F1815">
            <v>73.680000000000007</v>
          </cell>
          <cell r="G1815" t="str">
            <v>EUR</v>
          </cell>
          <cell r="H1815" t="e">
            <v>#VALUE!</v>
          </cell>
          <cell r="I1815" t="str">
            <v>AP206TONBLA</v>
          </cell>
        </row>
        <row r="1816">
          <cell r="D1816">
            <v>400508</v>
          </cell>
          <cell r="E1816" t="str">
            <v>EUR</v>
          </cell>
          <cell r="F1816">
            <v>69.739999999999995</v>
          </cell>
          <cell r="G1816" t="str">
            <v>EUR</v>
          </cell>
          <cell r="H1816" t="e">
            <v>#VALUE!</v>
          </cell>
          <cell r="I1816" t="str">
            <v>AP206TONCYN</v>
          </cell>
        </row>
        <row r="1817">
          <cell r="D1817">
            <v>400509</v>
          </cell>
          <cell r="E1817" t="str">
            <v>EUR</v>
          </cell>
          <cell r="F1817">
            <v>69.739999999999995</v>
          </cell>
          <cell r="G1817" t="str">
            <v>EUR</v>
          </cell>
          <cell r="H1817" t="e">
            <v>#VALUE!</v>
          </cell>
          <cell r="I1817" t="str">
            <v>AP206TONMAG</v>
          </cell>
        </row>
        <row r="1818">
          <cell r="D1818">
            <v>400510</v>
          </cell>
          <cell r="E1818" t="str">
            <v>EUR</v>
          </cell>
          <cell r="F1818">
            <v>69.739999999999995</v>
          </cell>
          <cell r="G1818" t="str">
            <v>EUR</v>
          </cell>
          <cell r="H1818" t="e">
            <v>#VALUE!</v>
          </cell>
          <cell r="I1818" t="str">
            <v>AP206TONYLW</v>
          </cell>
        </row>
        <row r="1819">
          <cell r="D1819">
            <v>400513</v>
          </cell>
          <cell r="E1819" t="str">
            <v>EUR</v>
          </cell>
          <cell r="F1819">
            <v>8.2799999999999994</v>
          </cell>
          <cell r="G1819" t="str">
            <v>EUR</v>
          </cell>
          <cell r="H1819" t="e">
            <v>#VALUE!</v>
          </cell>
          <cell r="I1819" t="str">
            <v>AP206WASTE</v>
          </cell>
        </row>
        <row r="1820">
          <cell r="D1820">
            <v>400760</v>
          </cell>
          <cell r="E1820" t="str">
            <v>EUR</v>
          </cell>
          <cell r="F1820">
            <v>147.27000000000001</v>
          </cell>
          <cell r="G1820" t="str">
            <v>EUR</v>
          </cell>
          <cell r="H1820" t="e">
            <v>#VALUE!</v>
          </cell>
          <cell r="I1820" t="str">
            <v>AP215TONCHN</v>
          </cell>
        </row>
        <row r="1821">
          <cell r="D1821">
            <v>400342</v>
          </cell>
          <cell r="E1821" t="str">
            <v>EUR</v>
          </cell>
          <cell r="F1821">
            <v>17.45</v>
          </cell>
          <cell r="G1821" t="e">
            <v>#N/A</v>
          </cell>
          <cell r="H1821" t="e">
            <v>#N/A</v>
          </cell>
          <cell r="I1821" t="str">
            <v>AP305OIL</v>
          </cell>
        </row>
        <row r="1822">
          <cell r="D1822">
            <v>400344</v>
          </cell>
          <cell r="E1822" t="str">
            <v>EUR</v>
          </cell>
          <cell r="F1822">
            <v>231.68</v>
          </cell>
          <cell r="G1822" t="str">
            <v>EUR</v>
          </cell>
          <cell r="H1822" t="e">
            <v>#VALUE!</v>
          </cell>
          <cell r="I1822" t="str">
            <v>AP305PCU</v>
          </cell>
        </row>
        <row r="1823">
          <cell r="D1823">
            <v>400338</v>
          </cell>
          <cell r="E1823" t="str">
            <v>EUR</v>
          </cell>
          <cell r="F1823">
            <v>81</v>
          </cell>
          <cell r="G1823" t="e">
            <v>#N/A</v>
          </cell>
          <cell r="H1823" t="e">
            <v>#N/A</v>
          </cell>
          <cell r="I1823" t="str">
            <v>AP305TONBLA</v>
          </cell>
        </row>
        <row r="1824">
          <cell r="D1824">
            <v>400339</v>
          </cell>
          <cell r="E1824" t="str">
            <v>EUR</v>
          </cell>
          <cell r="F1824">
            <v>100</v>
          </cell>
          <cell r="G1824" t="e">
            <v>#N/A</v>
          </cell>
          <cell r="H1824" t="e">
            <v>#N/A</v>
          </cell>
          <cell r="I1824" t="str">
            <v>AP305TONCYN</v>
          </cell>
        </row>
        <row r="1825">
          <cell r="D1825">
            <v>400340</v>
          </cell>
          <cell r="E1825" t="str">
            <v>EUR</v>
          </cell>
          <cell r="F1825">
            <v>100</v>
          </cell>
          <cell r="G1825" t="e">
            <v>#N/A</v>
          </cell>
          <cell r="H1825" t="e">
            <v>#N/A</v>
          </cell>
          <cell r="I1825" t="str">
            <v>AP305TONMAG</v>
          </cell>
        </row>
        <row r="1826">
          <cell r="D1826">
            <v>400341</v>
          </cell>
          <cell r="E1826" t="str">
            <v>EUR</v>
          </cell>
          <cell r="F1826">
            <v>100</v>
          </cell>
          <cell r="G1826" t="e">
            <v>#N/A</v>
          </cell>
          <cell r="H1826" t="e">
            <v>#N/A</v>
          </cell>
          <cell r="I1826" t="str">
            <v>AP305TONYLW</v>
          </cell>
        </row>
        <row r="1827">
          <cell r="D1827">
            <v>400343</v>
          </cell>
          <cell r="E1827" t="str">
            <v>EUR</v>
          </cell>
          <cell r="F1827">
            <v>10.66</v>
          </cell>
          <cell r="G1827" t="str">
            <v>EUR</v>
          </cell>
          <cell r="H1827" t="e">
            <v>#VALUE!</v>
          </cell>
          <cell r="I1827" t="str">
            <v>AP305WASTE</v>
          </cell>
        </row>
        <row r="1828">
          <cell r="D1828">
            <v>400496</v>
          </cell>
          <cell r="E1828" t="str">
            <v>EUR</v>
          </cell>
          <cell r="F1828">
            <v>14.96</v>
          </cell>
          <cell r="G1828" t="str">
            <v>EUR</v>
          </cell>
          <cell r="H1828" t="e">
            <v>#VALUE!</v>
          </cell>
          <cell r="I1828" t="str">
            <v>AP306CHARGER</v>
          </cell>
        </row>
        <row r="1829">
          <cell r="D1829">
            <v>400497</v>
          </cell>
          <cell r="E1829" t="str">
            <v>EUR</v>
          </cell>
          <cell r="F1829">
            <v>16.7</v>
          </cell>
          <cell r="G1829" t="str">
            <v>EUR</v>
          </cell>
          <cell r="H1829" t="e">
            <v>#VALUE!</v>
          </cell>
          <cell r="I1829" t="str">
            <v>AP306OIL</v>
          </cell>
        </row>
        <row r="1830">
          <cell r="D1830">
            <v>400490</v>
          </cell>
          <cell r="E1830" t="str">
            <v>EUR</v>
          </cell>
          <cell r="F1830">
            <v>272.57</v>
          </cell>
          <cell r="G1830" t="str">
            <v>EUR</v>
          </cell>
          <cell r="H1830" t="e">
            <v>#VALUE!</v>
          </cell>
          <cell r="I1830" t="str">
            <v>AP306PCU</v>
          </cell>
        </row>
        <row r="1831">
          <cell r="D1831">
            <v>400491</v>
          </cell>
          <cell r="E1831" t="str">
            <v>EUR</v>
          </cell>
          <cell r="F1831">
            <v>89.65</v>
          </cell>
          <cell r="G1831" t="str">
            <v>EUR</v>
          </cell>
          <cell r="H1831" t="e">
            <v>#VALUE!</v>
          </cell>
          <cell r="I1831" t="str">
            <v>AP306TONBLA</v>
          </cell>
        </row>
        <row r="1832">
          <cell r="D1832">
            <v>400492</v>
          </cell>
          <cell r="E1832" t="str">
            <v>EUR</v>
          </cell>
          <cell r="F1832">
            <v>110.67</v>
          </cell>
          <cell r="G1832" t="str">
            <v>EUR</v>
          </cell>
          <cell r="H1832" t="e">
            <v>#VALUE!</v>
          </cell>
          <cell r="I1832" t="str">
            <v>AP306TONCYN</v>
          </cell>
        </row>
        <row r="1833">
          <cell r="D1833">
            <v>400493</v>
          </cell>
          <cell r="E1833" t="str">
            <v>EUR</v>
          </cell>
          <cell r="F1833">
            <v>110.67</v>
          </cell>
          <cell r="G1833" t="str">
            <v>EUR</v>
          </cell>
          <cell r="H1833" t="e">
            <v>#VALUE!</v>
          </cell>
          <cell r="I1833" t="str">
            <v>AP306TONMAG</v>
          </cell>
        </row>
        <row r="1834">
          <cell r="D1834">
            <v>400494</v>
          </cell>
          <cell r="E1834" t="str">
            <v>EUR</v>
          </cell>
          <cell r="F1834">
            <v>110.67</v>
          </cell>
          <cell r="G1834" t="str">
            <v>EUR</v>
          </cell>
          <cell r="H1834" t="e">
            <v>#VALUE!</v>
          </cell>
          <cell r="I1834" t="str">
            <v>AP306TONYLW</v>
          </cell>
        </row>
        <row r="1835">
          <cell r="D1835">
            <v>400495</v>
          </cell>
          <cell r="E1835" t="str">
            <v>EUR</v>
          </cell>
          <cell r="F1835">
            <v>10.45</v>
          </cell>
          <cell r="G1835" t="str">
            <v>EUR</v>
          </cell>
          <cell r="H1835" t="e">
            <v>#VALUE!</v>
          </cell>
          <cell r="I1835" t="str">
            <v>AP306WASTE</v>
          </cell>
        </row>
        <row r="1836">
          <cell r="D1836">
            <v>889409</v>
          </cell>
          <cell r="E1836" t="str">
            <v>EUR</v>
          </cell>
          <cell r="F1836">
            <v>27.35</v>
          </cell>
          <cell r="G1836" t="str">
            <v>EUR</v>
          </cell>
          <cell r="H1836" t="e">
            <v>#VALUE!</v>
          </cell>
          <cell r="I1836" t="str">
            <v>CLEANCARRIER</v>
          </cell>
        </row>
        <row r="1837">
          <cell r="D1837">
            <v>886907</v>
          </cell>
          <cell r="E1837" t="str">
            <v>EUR</v>
          </cell>
          <cell r="F1837">
            <v>29.13</v>
          </cell>
          <cell r="G1837" t="e">
            <v>#N/A</v>
          </cell>
          <cell r="H1837" t="e">
            <v>#N/A</v>
          </cell>
          <cell r="I1837" t="str">
            <v>DEVTYPEDMAG</v>
          </cell>
        </row>
        <row r="1838">
          <cell r="D1838">
            <v>889759</v>
          </cell>
          <cell r="E1838" t="str">
            <v>EUR</v>
          </cell>
          <cell r="F1838">
            <v>26.4</v>
          </cell>
          <cell r="G1838" t="str">
            <v>EUR</v>
          </cell>
          <cell r="H1838" t="e">
            <v>#VALUE!</v>
          </cell>
          <cell r="I1838" t="str">
            <v>DEVTYPEFBLA</v>
          </cell>
        </row>
        <row r="1839">
          <cell r="D1839">
            <v>889762</v>
          </cell>
          <cell r="E1839" t="str">
            <v>EUR</v>
          </cell>
          <cell r="F1839">
            <v>26.4</v>
          </cell>
          <cell r="G1839" t="str">
            <v>EUR</v>
          </cell>
          <cell r="H1839" t="e">
            <v>#VALUE!</v>
          </cell>
          <cell r="I1839" t="str">
            <v>DEVTYPEFCYN</v>
          </cell>
        </row>
        <row r="1840">
          <cell r="D1840">
            <v>889761</v>
          </cell>
          <cell r="E1840" t="str">
            <v>EUR</v>
          </cell>
          <cell r="F1840">
            <v>26.4</v>
          </cell>
          <cell r="G1840" t="str">
            <v>EUR</v>
          </cell>
          <cell r="H1840" t="e">
            <v>#VALUE!</v>
          </cell>
          <cell r="I1840" t="str">
            <v>DEVTYPEFMAG</v>
          </cell>
        </row>
        <row r="1841">
          <cell r="D1841">
            <v>889760</v>
          </cell>
          <cell r="E1841" t="str">
            <v>EUR</v>
          </cell>
          <cell r="F1841">
            <v>26.4</v>
          </cell>
          <cell r="G1841" t="str">
            <v>EUR</v>
          </cell>
          <cell r="H1841" t="e">
            <v>#VALUE!</v>
          </cell>
          <cell r="I1841" t="str">
            <v>DEVTYPEFYLW</v>
          </cell>
        </row>
        <row r="1842">
          <cell r="D1842">
            <v>889882</v>
          </cell>
          <cell r="E1842" t="str">
            <v>EUR</v>
          </cell>
          <cell r="F1842">
            <v>26.4</v>
          </cell>
          <cell r="G1842" t="str">
            <v>EUR</v>
          </cell>
          <cell r="H1842" t="e">
            <v>#VALUE!</v>
          </cell>
          <cell r="I1842" t="str">
            <v>DEVTYPEGCYN</v>
          </cell>
        </row>
        <row r="1843">
          <cell r="D1843">
            <v>889881</v>
          </cell>
          <cell r="E1843" t="str">
            <v>EUR</v>
          </cell>
          <cell r="F1843">
            <v>26.4</v>
          </cell>
          <cell r="G1843" t="str">
            <v>EUR</v>
          </cell>
          <cell r="H1843" t="e">
            <v>#VALUE!</v>
          </cell>
          <cell r="I1843" t="str">
            <v>DEVTYPEGMAG</v>
          </cell>
        </row>
        <row r="1844">
          <cell r="D1844">
            <v>889880</v>
          </cell>
          <cell r="E1844" t="str">
            <v>EUR</v>
          </cell>
          <cell r="F1844">
            <v>26.4</v>
          </cell>
          <cell r="G1844" t="str">
            <v>EUR</v>
          </cell>
          <cell r="H1844" t="e">
            <v>#VALUE!</v>
          </cell>
          <cell r="I1844" t="str">
            <v>DEVTYPEGYLW</v>
          </cell>
        </row>
        <row r="1845">
          <cell r="D1845">
            <v>887880</v>
          </cell>
          <cell r="E1845" t="str">
            <v>EUR</v>
          </cell>
          <cell r="F1845">
            <v>21.59</v>
          </cell>
          <cell r="G1845" t="str">
            <v>EUR</v>
          </cell>
          <cell r="H1845" t="e">
            <v>#VALUE!</v>
          </cell>
          <cell r="I1845" t="str">
            <v>DEVTYPEKBLA</v>
          </cell>
        </row>
        <row r="1846">
          <cell r="D1846">
            <v>887883</v>
          </cell>
          <cell r="E1846" t="str">
            <v>EUR</v>
          </cell>
          <cell r="F1846">
            <v>54.14</v>
          </cell>
          <cell r="G1846" t="str">
            <v>EUR</v>
          </cell>
          <cell r="H1846" t="e">
            <v>#VALUE!</v>
          </cell>
          <cell r="I1846" t="str">
            <v>DEVTYPEKCYN</v>
          </cell>
        </row>
        <row r="1847">
          <cell r="D1847">
            <v>887882</v>
          </cell>
          <cell r="E1847" t="str">
            <v>EUR</v>
          </cell>
          <cell r="F1847">
            <v>54.14</v>
          </cell>
          <cell r="G1847" t="str">
            <v>EUR</v>
          </cell>
          <cell r="H1847" t="e">
            <v>#VALUE!</v>
          </cell>
          <cell r="I1847" t="str">
            <v>DEVTYPEKMAG</v>
          </cell>
        </row>
        <row r="1848">
          <cell r="D1848">
            <v>887881</v>
          </cell>
          <cell r="E1848" t="str">
            <v>EUR</v>
          </cell>
          <cell r="F1848">
            <v>54.14</v>
          </cell>
          <cell r="G1848" t="str">
            <v>EUR</v>
          </cell>
          <cell r="H1848" t="e">
            <v>#VALUE!</v>
          </cell>
          <cell r="I1848" t="str">
            <v>DEVTYPEKYLW</v>
          </cell>
        </row>
        <row r="1849">
          <cell r="D1849">
            <v>887951</v>
          </cell>
          <cell r="E1849" t="str">
            <v>EUR</v>
          </cell>
          <cell r="F1849">
            <v>74.69</v>
          </cell>
          <cell r="G1849" t="str">
            <v>EUR</v>
          </cell>
          <cell r="H1849" t="e">
            <v>#VALUE!</v>
          </cell>
          <cell r="I1849" t="str">
            <v>DEVTYPELBLA</v>
          </cell>
        </row>
        <row r="1850">
          <cell r="D1850">
            <v>887954</v>
          </cell>
          <cell r="E1850" t="str">
            <v>EUR</v>
          </cell>
          <cell r="F1850">
            <v>59.74</v>
          </cell>
          <cell r="G1850" t="str">
            <v>EUR</v>
          </cell>
          <cell r="H1850" t="e">
            <v>#VALUE!</v>
          </cell>
          <cell r="I1850" t="str">
            <v>DEVTYPELCYN</v>
          </cell>
        </row>
        <row r="1851">
          <cell r="D1851">
            <v>887953</v>
          </cell>
          <cell r="E1851" t="str">
            <v>EUR</v>
          </cell>
          <cell r="F1851">
            <v>59.74</v>
          </cell>
          <cell r="G1851" t="str">
            <v>EUR</v>
          </cell>
          <cell r="H1851" t="e">
            <v>#VALUE!</v>
          </cell>
          <cell r="I1851" t="str">
            <v>DEVTYPELMAG</v>
          </cell>
        </row>
        <row r="1852">
          <cell r="D1852">
            <v>887952</v>
          </cell>
          <cell r="E1852" t="str">
            <v>EUR</v>
          </cell>
          <cell r="F1852">
            <v>59.74</v>
          </cell>
          <cell r="G1852" t="str">
            <v>EUR</v>
          </cell>
          <cell r="H1852" t="e">
            <v>#VALUE!</v>
          </cell>
          <cell r="I1852" t="str">
            <v>DEVTYPELYLW</v>
          </cell>
        </row>
        <row r="1853">
          <cell r="D1853">
            <v>889455</v>
          </cell>
          <cell r="E1853" t="str">
            <v>EUR</v>
          </cell>
          <cell r="F1853">
            <v>75.930000000000007</v>
          </cell>
          <cell r="G1853" t="e">
            <v>#N/A</v>
          </cell>
          <cell r="H1853" t="e">
            <v>#N/A</v>
          </cell>
          <cell r="I1853" t="str">
            <v>DEVTYPE1</v>
          </cell>
        </row>
        <row r="1854">
          <cell r="D1854">
            <v>885176</v>
          </cell>
          <cell r="E1854" t="str">
            <v>EUR</v>
          </cell>
          <cell r="F1854">
            <v>72.98</v>
          </cell>
          <cell r="G1854" t="e">
            <v>#N/A</v>
          </cell>
          <cell r="H1854" t="e">
            <v>#N/A</v>
          </cell>
          <cell r="I1854" t="str">
            <v>DEVTYPE1USA</v>
          </cell>
        </row>
        <row r="1855">
          <cell r="D1855">
            <v>888010</v>
          </cell>
          <cell r="E1855" t="str">
            <v>EUR</v>
          </cell>
          <cell r="F1855">
            <v>76.89</v>
          </cell>
          <cell r="G1855" t="str">
            <v>EUR</v>
          </cell>
          <cell r="H1855" t="e">
            <v>#VALUE!</v>
          </cell>
          <cell r="I1855" t="str">
            <v>DEVTYPE14</v>
          </cell>
        </row>
        <row r="1856">
          <cell r="D1856">
            <v>888002</v>
          </cell>
          <cell r="E1856" t="str">
            <v>EUR</v>
          </cell>
          <cell r="F1856">
            <v>186.71</v>
          </cell>
          <cell r="G1856" t="str">
            <v>EUR</v>
          </cell>
          <cell r="H1856" t="e">
            <v>#VALUE!</v>
          </cell>
          <cell r="I1856" t="str">
            <v>DEVTYPE15</v>
          </cell>
        </row>
        <row r="1857">
          <cell r="D1857">
            <v>888114</v>
          </cell>
          <cell r="E1857" t="str">
            <v>EUR</v>
          </cell>
          <cell r="F1857">
            <v>35.54</v>
          </cell>
          <cell r="G1857" t="str">
            <v>EUR</v>
          </cell>
          <cell r="H1857" t="e">
            <v>#VALUE!</v>
          </cell>
          <cell r="I1857" t="str">
            <v>DEVTYPE16W</v>
          </cell>
        </row>
        <row r="1858">
          <cell r="D1858">
            <v>888073</v>
          </cell>
          <cell r="E1858" t="str">
            <v>EUR</v>
          </cell>
          <cell r="F1858">
            <v>49.2</v>
          </cell>
          <cell r="G1858" t="str">
            <v>EUR</v>
          </cell>
          <cell r="H1858" t="e">
            <v>#VALUE!</v>
          </cell>
          <cell r="I1858" t="str">
            <v>DEVTYPE18</v>
          </cell>
        </row>
        <row r="1859">
          <cell r="D1859">
            <v>888095</v>
          </cell>
          <cell r="E1859" t="str">
            <v>EUR</v>
          </cell>
          <cell r="F1859">
            <v>19.760000000000002</v>
          </cell>
          <cell r="G1859" t="str">
            <v>EUR</v>
          </cell>
          <cell r="H1859" t="e">
            <v>#VALUE!</v>
          </cell>
          <cell r="I1859" t="str">
            <v>DEVTYPE19</v>
          </cell>
        </row>
        <row r="1860">
          <cell r="D1860">
            <v>887637</v>
          </cell>
          <cell r="E1860" t="str">
            <v>EUR</v>
          </cell>
          <cell r="F1860">
            <v>233.86</v>
          </cell>
          <cell r="G1860" t="str">
            <v>EUR</v>
          </cell>
          <cell r="H1860" t="e">
            <v>#VALUE!</v>
          </cell>
          <cell r="I1860" t="str">
            <v>DEVTYPE2</v>
          </cell>
        </row>
        <row r="1861">
          <cell r="D1861">
            <v>888164</v>
          </cell>
          <cell r="E1861" t="str">
            <v>EUR</v>
          </cell>
          <cell r="F1861">
            <v>14.83</v>
          </cell>
          <cell r="G1861" t="str">
            <v>EUR</v>
          </cell>
          <cell r="H1861" t="e">
            <v>#VALUE!</v>
          </cell>
          <cell r="I1861" t="str">
            <v>DEVTYPE21</v>
          </cell>
        </row>
        <row r="1862">
          <cell r="D1862">
            <v>885281</v>
          </cell>
          <cell r="E1862" t="str">
            <v>EUR</v>
          </cell>
          <cell r="F1862">
            <v>58.56</v>
          </cell>
          <cell r="G1862" t="e">
            <v>#N/A</v>
          </cell>
          <cell r="H1862" t="e">
            <v>#N/A</v>
          </cell>
          <cell r="I1862" t="str">
            <v>DEVTYPE24</v>
          </cell>
        </row>
        <row r="1863">
          <cell r="D1863">
            <v>889855</v>
          </cell>
          <cell r="E1863" t="str">
            <v>EUR</v>
          </cell>
          <cell r="F1863">
            <v>48.36</v>
          </cell>
          <cell r="G1863" t="str">
            <v>EUR</v>
          </cell>
          <cell r="H1863" t="e">
            <v>#VALUE!</v>
          </cell>
          <cell r="I1863" t="str">
            <v>DEVTYPE3</v>
          </cell>
        </row>
        <row r="1864">
          <cell r="D1864">
            <v>887733</v>
          </cell>
          <cell r="E1864" t="str">
            <v>EUR</v>
          </cell>
          <cell r="F1864">
            <v>189.37</v>
          </cell>
          <cell r="G1864" t="str">
            <v>EUR</v>
          </cell>
          <cell r="H1864" t="e">
            <v>#VALUE!</v>
          </cell>
          <cell r="I1864" t="str">
            <v>DEVTYPE5</v>
          </cell>
        </row>
        <row r="1865">
          <cell r="D1865">
            <v>887748</v>
          </cell>
          <cell r="E1865" t="str">
            <v>EUR</v>
          </cell>
          <cell r="F1865">
            <v>190.58</v>
          </cell>
          <cell r="G1865" t="str">
            <v>EUR</v>
          </cell>
          <cell r="H1865" t="e">
            <v>#VALUE!</v>
          </cell>
          <cell r="I1865" t="str">
            <v>DEVTYPE7</v>
          </cell>
        </row>
        <row r="1866">
          <cell r="D1866">
            <v>887797</v>
          </cell>
          <cell r="E1866" t="str">
            <v>EUR</v>
          </cell>
          <cell r="F1866">
            <v>198.2</v>
          </cell>
          <cell r="G1866" t="str">
            <v>EUR</v>
          </cell>
          <cell r="H1866" t="e">
            <v>#VALUE!</v>
          </cell>
          <cell r="I1866" t="str">
            <v>DEVTYPE9</v>
          </cell>
        </row>
        <row r="1867">
          <cell r="D1867">
            <v>339032</v>
          </cell>
          <cell r="E1867" t="str">
            <v>EUR</v>
          </cell>
          <cell r="F1867">
            <v>49.68</v>
          </cell>
          <cell r="G1867" t="e">
            <v>#N/A</v>
          </cell>
          <cell r="H1867" t="e">
            <v>#N/A</v>
          </cell>
          <cell r="I1867" t="str">
            <v>FAXCART1200</v>
          </cell>
        </row>
        <row r="1868">
          <cell r="D1868">
            <v>923180</v>
          </cell>
          <cell r="E1868" t="str">
            <v>EUR</v>
          </cell>
          <cell r="F1868">
            <v>86.59</v>
          </cell>
          <cell r="G1868" t="e">
            <v>#N/A</v>
          </cell>
          <cell r="H1868" t="e">
            <v>#N/A</v>
          </cell>
          <cell r="I1868" t="str">
            <v>FAXCART61BLA</v>
          </cell>
        </row>
        <row r="1869">
          <cell r="D1869">
            <v>923181</v>
          </cell>
          <cell r="E1869" t="str">
            <v>EUR</v>
          </cell>
          <cell r="F1869">
            <v>86.59</v>
          </cell>
          <cell r="G1869" t="e">
            <v>#N/A</v>
          </cell>
          <cell r="H1869" t="e">
            <v>#N/A</v>
          </cell>
          <cell r="I1869" t="str">
            <v>FAXCART61CLR</v>
          </cell>
        </row>
        <row r="1870">
          <cell r="D1870">
            <v>430013</v>
          </cell>
          <cell r="E1870" t="str">
            <v>EUR</v>
          </cell>
          <cell r="F1870">
            <v>17.38</v>
          </cell>
          <cell r="G1870" t="str">
            <v>EUR</v>
          </cell>
          <cell r="H1870" t="e">
            <v>#VALUE!</v>
          </cell>
          <cell r="I1870" t="str">
            <v>FAXCART68BLA</v>
          </cell>
        </row>
        <row r="1871">
          <cell r="D1871">
            <v>430014</v>
          </cell>
          <cell r="E1871" t="str">
            <v>EUR</v>
          </cell>
          <cell r="F1871">
            <v>23.88</v>
          </cell>
          <cell r="G1871" t="str">
            <v>EUR</v>
          </cell>
          <cell r="H1871" t="e">
            <v>#VALUE!</v>
          </cell>
          <cell r="I1871" t="str">
            <v>FAXCART68CLR</v>
          </cell>
        </row>
        <row r="1872">
          <cell r="D1872">
            <v>334238</v>
          </cell>
          <cell r="E1872" t="str">
            <v>EUR</v>
          </cell>
          <cell r="F1872">
            <v>670.99</v>
          </cell>
          <cell r="G1872" t="e">
            <v>#N/A</v>
          </cell>
          <cell r="H1872" t="e">
            <v>#N/A</v>
          </cell>
          <cell r="I1872" t="str">
            <v>FAXCART800</v>
          </cell>
        </row>
        <row r="1873">
          <cell r="D1873">
            <v>339353</v>
          </cell>
          <cell r="E1873" t="str">
            <v>EUR</v>
          </cell>
          <cell r="F1873">
            <v>857.58</v>
          </cell>
          <cell r="G1873" t="e">
            <v>#N/A</v>
          </cell>
          <cell r="H1873" t="e">
            <v>#N/A</v>
          </cell>
          <cell r="I1873" t="str">
            <v>FAXCART88BLA</v>
          </cell>
        </row>
        <row r="1874">
          <cell r="D1874">
            <v>339342</v>
          </cell>
          <cell r="E1874" t="str">
            <v>EUR</v>
          </cell>
          <cell r="F1874">
            <v>1106.52</v>
          </cell>
          <cell r="G1874" t="e">
            <v>#N/A</v>
          </cell>
          <cell r="H1874" t="e">
            <v>#N/A</v>
          </cell>
          <cell r="I1874" t="str">
            <v>FAXCART88CLR</v>
          </cell>
        </row>
        <row r="1875">
          <cell r="D1875">
            <v>894716</v>
          </cell>
          <cell r="E1875" t="str">
            <v>EUR</v>
          </cell>
          <cell r="F1875">
            <v>226.49</v>
          </cell>
          <cell r="G1875" t="str">
            <v>EUR</v>
          </cell>
          <cell r="H1875" t="e">
            <v>#VALUE!</v>
          </cell>
          <cell r="I1875" t="str">
            <v>FAXMASTER100</v>
          </cell>
        </row>
        <row r="1876">
          <cell r="D1876">
            <v>889347</v>
          </cell>
          <cell r="E1876" t="str">
            <v>EUR</v>
          </cell>
          <cell r="F1876">
            <v>225.63</v>
          </cell>
          <cell r="G1876" t="str">
            <v>EUR</v>
          </cell>
          <cell r="H1876" t="e">
            <v>#VALUE!</v>
          </cell>
          <cell r="I1876" t="str">
            <v>FAXMASTER30</v>
          </cell>
        </row>
        <row r="1877">
          <cell r="D1877">
            <v>593928</v>
          </cell>
          <cell r="E1877" t="str">
            <v>EUR</v>
          </cell>
          <cell r="F1877">
            <v>426.49</v>
          </cell>
          <cell r="G1877" t="str">
            <v>EUR</v>
          </cell>
          <cell r="H1877" t="e">
            <v>#VALUE!</v>
          </cell>
          <cell r="I1877" t="str">
            <v>FAXMAST1000L</v>
          </cell>
        </row>
        <row r="1878">
          <cell r="D1878">
            <v>339472</v>
          </cell>
          <cell r="E1878" t="str">
            <v>EUR</v>
          </cell>
          <cell r="F1878">
            <v>167.87</v>
          </cell>
          <cell r="G1878" t="str">
            <v>EUR</v>
          </cell>
          <cell r="H1878" t="e">
            <v>#VALUE!</v>
          </cell>
          <cell r="I1878" t="str">
            <v>FAXMAST70</v>
          </cell>
        </row>
        <row r="1879">
          <cell r="D1879">
            <v>339343</v>
          </cell>
          <cell r="E1879" t="str">
            <v>EUR</v>
          </cell>
          <cell r="F1879">
            <v>320.61</v>
          </cell>
          <cell r="G1879" t="e">
            <v>#N/A</v>
          </cell>
          <cell r="H1879" t="e">
            <v>#N/A</v>
          </cell>
          <cell r="I1879" t="str">
            <v>FAXREF88BLA</v>
          </cell>
        </row>
        <row r="1880">
          <cell r="D1880">
            <v>339344</v>
          </cell>
          <cell r="E1880" t="str">
            <v>EUR</v>
          </cell>
          <cell r="F1880">
            <v>758.17</v>
          </cell>
          <cell r="G1880" t="e">
            <v>#N/A</v>
          </cell>
          <cell r="H1880" t="e">
            <v>#N/A</v>
          </cell>
          <cell r="I1880" t="str">
            <v>FAXREF88CLR</v>
          </cell>
        </row>
        <row r="1881">
          <cell r="D1881">
            <v>920616</v>
          </cell>
          <cell r="E1881" t="str">
            <v>EUR</v>
          </cell>
          <cell r="F1881">
            <v>140.31</v>
          </cell>
          <cell r="G1881" t="e">
            <v>#N/A</v>
          </cell>
          <cell r="H1881" t="e">
            <v>#N/A</v>
          </cell>
          <cell r="I1881" t="str">
            <v>FAXRIBBON500</v>
          </cell>
        </row>
        <row r="1882">
          <cell r="D1882">
            <v>430244</v>
          </cell>
          <cell r="E1882" t="str">
            <v>EUR</v>
          </cell>
          <cell r="F1882">
            <v>40.26</v>
          </cell>
          <cell r="G1882" t="str">
            <v>EUR</v>
          </cell>
          <cell r="H1882" t="e">
            <v>#VALUE!</v>
          </cell>
          <cell r="I1882" t="str">
            <v>FAXTNR1435CN</v>
          </cell>
        </row>
        <row r="1883">
          <cell r="D1883">
            <v>430159</v>
          </cell>
          <cell r="E1883" t="str">
            <v>EUR</v>
          </cell>
          <cell r="F1883">
            <v>36.909999999999997</v>
          </cell>
          <cell r="G1883" t="e">
            <v>#N/A</v>
          </cell>
          <cell r="H1883" t="e">
            <v>#N/A</v>
          </cell>
          <cell r="I1883" t="str">
            <v>FAXTONER1430</v>
          </cell>
        </row>
        <row r="1884">
          <cell r="D1884">
            <v>430245</v>
          </cell>
          <cell r="E1884" t="str">
            <v>EUR</v>
          </cell>
          <cell r="F1884">
            <v>74.95</v>
          </cell>
          <cell r="G1884" t="str">
            <v>EUR</v>
          </cell>
          <cell r="H1884" t="e">
            <v>#VALUE!</v>
          </cell>
          <cell r="I1884" t="str">
            <v>FAXTONER5210</v>
          </cell>
        </row>
        <row r="1885">
          <cell r="D1885">
            <v>339474</v>
          </cell>
          <cell r="E1885" t="str">
            <v>EUR</v>
          </cell>
          <cell r="F1885">
            <v>191.93</v>
          </cell>
          <cell r="G1885" t="str">
            <v>EUR</v>
          </cell>
          <cell r="H1885" t="e">
            <v>#VALUE!</v>
          </cell>
          <cell r="I1885" t="str">
            <v>FAXTONER70</v>
          </cell>
        </row>
        <row r="1886">
          <cell r="D1886">
            <v>593901</v>
          </cell>
          <cell r="E1886" t="str">
            <v>EUR</v>
          </cell>
          <cell r="F1886">
            <v>45.67</v>
          </cell>
          <cell r="G1886" t="e">
            <v>#N/A</v>
          </cell>
          <cell r="H1886" t="e">
            <v>#N/A</v>
          </cell>
          <cell r="I1886" t="str">
            <v>FAXTON1000L</v>
          </cell>
        </row>
        <row r="1887">
          <cell r="D1887">
            <v>430278</v>
          </cell>
          <cell r="E1887" t="str">
            <v>EUR</v>
          </cell>
          <cell r="F1887">
            <v>43.76</v>
          </cell>
          <cell r="G1887" t="str">
            <v>EUR</v>
          </cell>
          <cell r="H1887" t="e">
            <v>#VALUE!</v>
          </cell>
          <cell r="I1887" t="str">
            <v>FAXTON1240CN</v>
          </cell>
        </row>
        <row r="1888">
          <cell r="D1888">
            <v>430382</v>
          </cell>
          <cell r="E1888" t="str">
            <v>EUR</v>
          </cell>
          <cell r="F1888">
            <v>43.76</v>
          </cell>
          <cell r="G1888" t="e">
            <v>#N/A</v>
          </cell>
          <cell r="H1888" t="e">
            <v>#N/A</v>
          </cell>
          <cell r="I1888" t="str">
            <v>FAXTON1240UK</v>
          </cell>
        </row>
        <row r="1889">
          <cell r="D1889">
            <v>430351</v>
          </cell>
          <cell r="E1889" t="str">
            <v>EUR</v>
          </cell>
          <cell r="F1889">
            <v>36.21</v>
          </cell>
          <cell r="G1889" t="str">
            <v>EUR</v>
          </cell>
          <cell r="H1889" t="e">
            <v>#VALUE!</v>
          </cell>
          <cell r="I1889" t="str">
            <v>FAXTON1260CN</v>
          </cell>
        </row>
        <row r="1890">
          <cell r="D1890">
            <v>430225</v>
          </cell>
          <cell r="E1890" t="str">
            <v>EUR</v>
          </cell>
          <cell r="F1890">
            <v>41.34</v>
          </cell>
          <cell r="G1890" t="str">
            <v>EUR</v>
          </cell>
          <cell r="H1890" t="e">
            <v>#VALUE!</v>
          </cell>
          <cell r="I1890" t="str">
            <v>FAXTON1435CN</v>
          </cell>
        </row>
        <row r="1891">
          <cell r="D1891">
            <v>339481</v>
          </cell>
          <cell r="E1891" t="str">
            <v>EUR</v>
          </cell>
          <cell r="F1891">
            <v>177.61</v>
          </cell>
          <cell r="G1891" t="e">
            <v>#N/A</v>
          </cell>
          <cell r="H1891" t="e">
            <v>#N/A</v>
          </cell>
          <cell r="I1891" t="str">
            <v>FAXTON150FRA</v>
          </cell>
        </row>
        <row r="1892">
          <cell r="D1892">
            <v>889878</v>
          </cell>
          <cell r="E1892" t="str">
            <v>EUR</v>
          </cell>
          <cell r="F1892">
            <v>140.43</v>
          </cell>
          <cell r="G1892" t="str">
            <v>EUR</v>
          </cell>
          <cell r="H1892" t="e">
            <v>#VALUE!</v>
          </cell>
          <cell r="I1892" t="str">
            <v>FAXTON30TWN</v>
          </cell>
        </row>
        <row r="1893">
          <cell r="D1893">
            <v>400323</v>
          </cell>
          <cell r="E1893" t="str">
            <v>EUR</v>
          </cell>
          <cell r="F1893">
            <v>25.32</v>
          </cell>
          <cell r="G1893" t="str">
            <v>EUR</v>
          </cell>
          <cell r="H1893" t="e">
            <v>#VALUE!</v>
          </cell>
          <cell r="I1893" t="str">
            <v>FUSER204</v>
          </cell>
        </row>
        <row r="1894">
          <cell r="D1894">
            <v>889782</v>
          </cell>
          <cell r="E1894" t="str">
            <v>EUR</v>
          </cell>
          <cell r="F1894">
            <v>105.28</v>
          </cell>
          <cell r="G1894" t="str">
            <v>EUR</v>
          </cell>
          <cell r="H1894" t="e">
            <v>#VALUE!</v>
          </cell>
          <cell r="I1894" t="str">
            <v>IMAGEUNIT1</v>
          </cell>
        </row>
        <row r="1895">
          <cell r="D1895">
            <v>208050</v>
          </cell>
          <cell r="E1895" t="str">
            <v>EUR</v>
          </cell>
          <cell r="F1895">
            <v>309.99</v>
          </cell>
          <cell r="G1895" t="e">
            <v>#N/A</v>
          </cell>
          <cell r="H1895" t="e">
            <v>#N/A</v>
          </cell>
          <cell r="I1895" t="str">
            <v>LR1TONERBLA</v>
          </cell>
        </row>
        <row r="1896">
          <cell r="D1896">
            <v>400404</v>
          </cell>
          <cell r="E1896" t="str">
            <v>EUR</v>
          </cell>
          <cell r="F1896">
            <v>83.61</v>
          </cell>
          <cell r="G1896" t="str">
            <v>EUR</v>
          </cell>
          <cell r="H1896" t="e">
            <v>#VALUE!</v>
          </cell>
          <cell r="I1896" t="str">
            <v>MAINTEN1400</v>
          </cell>
        </row>
        <row r="1897">
          <cell r="D1897">
            <v>400401</v>
          </cell>
          <cell r="E1897" t="str">
            <v>EUR</v>
          </cell>
          <cell r="F1897">
            <v>96.4</v>
          </cell>
          <cell r="G1897" t="str">
            <v>EUR</v>
          </cell>
          <cell r="H1897" t="e">
            <v>#VALUE!</v>
          </cell>
          <cell r="I1897" t="str">
            <v>MAINTEN2000</v>
          </cell>
        </row>
        <row r="1898">
          <cell r="D1898">
            <v>400620</v>
          </cell>
          <cell r="E1898" t="str">
            <v>EUR</v>
          </cell>
          <cell r="F1898">
            <v>106.22</v>
          </cell>
          <cell r="G1898" t="str">
            <v>EUR</v>
          </cell>
          <cell r="H1898" t="e">
            <v>#VALUE!</v>
          </cell>
          <cell r="I1898" t="str">
            <v>MAINT2600CHN</v>
          </cell>
        </row>
        <row r="1899">
          <cell r="D1899">
            <v>400594</v>
          </cell>
          <cell r="E1899" t="str">
            <v>EUR</v>
          </cell>
          <cell r="F1899">
            <v>93.2</v>
          </cell>
          <cell r="G1899" t="str">
            <v>EUR</v>
          </cell>
          <cell r="H1899" t="e">
            <v>#VALUE!</v>
          </cell>
          <cell r="I1899" t="str">
            <v>MAINT3800A</v>
          </cell>
        </row>
        <row r="1900">
          <cell r="D1900">
            <v>400595</v>
          </cell>
          <cell r="E1900" t="str">
            <v>EUR</v>
          </cell>
          <cell r="F1900">
            <v>177.55</v>
          </cell>
          <cell r="G1900" t="str">
            <v>EUR</v>
          </cell>
          <cell r="H1900" t="e">
            <v>#VALUE!</v>
          </cell>
          <cell r="I1900" t="str">
            <v>MAINT3800B</v>
          </cell>
        </row>
        <row r="1901">
          <cell r="D1901">
            <v>400569</v>
          </cell>
          <cell r="E1901" t="str">
            <v>EUR</v>
          </cell>
          <cell r="F1901">
            <v>195.76</v>
          </cell>
          <cell r="G1901" t="str">
            <v>EUR</v>
          </cell>
          <cell r="H1901" t="e">
            <v>#VALUE!</v>
          </cell>
          <cell r="I1901" t="str">
            <v>MAINT3800C</v>
          </cell>
        </row>
        <row r="1902">
          <cell r="D1902">
            <v>400661</v>
          </cell>
          <cell r="E1902" t="str">
            <v>EUR</v>
          </cell>
          <cell r="F1902">
            <v>54.36</v>
          </cell>
          <cell r="G1902" t="str">
            <v>EUR</v>
          </cell>
          <cell r="H1902" t="e">
            <v>#VALUE!</v>
          </cell>
          <cell r="I1902" t="str">
            <v>MAINT3800D</v>
          </cell>
        </row>
        <row r="1903">
          <cell r="D1903">
            <v>400662</v>
          </cell>
          <cell r="E1903" t="str">
            <v>EUR</v>
          </cell>
          <cell r="F1903">
            <v>5.19</v>
          </cell>
          <cell r="G1903" t="str">
            <v>EUR</v>
          </cell>
          <cell r="H1903" t="e">
            <v>#VALUE!</v>
          </cell>
          <cell r="I1903" t="str">
            <v>MAINT3800E</v>
          </cell>
        </row>
        <row r="1904">
          <cell r="D1904">
            <v>400548</v>
          </cell>
          <cell r="E1904" t="str">
            <v>EUR</v>
          </cell>
          <cell r="F1904">
            <v>29.44</v>
          </cell>
          <cell r="G1904" t="str">
            <v>EUR</v>
          </cell>
          <cell r="H1904" t="e">
            <v>#VALUE!</v>
          </cell>
          <cell r="I1904" t="str">
            <v>MAINT3800F</v>
          </cell>
        </row>
        <row r="1905">
          <cell r="D1905">
            <v>400549</v>
          </cell>
          <cell r="E1905" t="str">
            <v>EUR</v>
          </cell>
          <cell r="F1905">
            <v>27.51</v>
          </cell>
          <cell r="G1905" t="str">
            <v>EUR</v>
          </cell>
          <cell r="H1905" t="e">
            <v>#VALUE!</v>
          </cell>
          <cell r="I1905" t="str">
            <v>MAINT3800G</v>
          </cell>
        </row>
        <row r="1906">
          <cell r="D1906">
            <v>400576</v>
          </cell>
          <cell r="E1906" t="str">
            <v>EUR</v>
          </cell>
          <cell r="F1906">
            <v>2.68</v>
          </cell>
          <cell r="G1906" t="str">
            <v>EUR</v>
          </cell>
          <cell r="H1906" t="e">
            <v>#VALUE!</v>
          </cell>
          <cell r="I1906" t="str">
            <v>MAINT3800H</v>
          </cell>
        </row>
        <row r="1907">
          <cell r="D1907">
            <v>209911</v>
          </cell>
          <cell r="E1907" t="str">
            <v>EUR</v>
          </cell>
          <cell r="F1907">
            <v>98.6</v>
          </cell>
          <cell r="G1907" t="str">
            <v>EUR</v>
          </cell>
          <cell r="H1907" t="e">
            <v>#VALUE!</v>
          </cell>
          <cell r="I1907" t="str">
            <v>MV250MAST</v>
          </cell>
        </row>
        <row r="1908">
          <cell r="D1908">
            <v>894718</v>
          </cell>
          <cell r="E1908" t="str">
            <v>EUR</v>
          </cell>
          <cell r="F1908">
            <v>226.49</v>
          </cell>
          <cell r="G1908" t="str">
            <v>EUR</v>
          </cell>
          <cell r="H1908" t="e">
            <v>#VALUE!</v>
          </cell>
          <cell r="I1908" t="str">
            <v>MV300MAST</v>
          </cell>
        </row>
        <row r="1909">
          <cell r="D1909">
            <v>887675</v>
          </cell>
          <cell r="E1909" t="str">
            <v>EUR</v>
          </cell>
          <cell r="F1909">
            <v>210.8</v>
          </cell>
          <cell r="G1909" t="str">
            <v>EUR</v>
          </cell>
          <cell r="H1909" t="e">
            <v>#VALUE!</v>
          </cell>
          <cell r="I1909" t="str">
            <v>MV300TONER</v>
          </cell>
        </row>
        <row r="1910">
          <cell r="D1910">
            <v>889606</v>
          </cell>
          <cell r="E1910" t="str">
            <v>EUR</v>
          </cell>
          <cell r="F1910">
            <v>98.42</v>
          </cell>
          <cell r="G1910" t="str">
            <v>EUR</v>
          </cell>
          <cell r="H1910" t="e">
            <v>#VALUE!</v>
          </cell>
          <cell r="I1910" t="str">
            <v>MV80MAST</v>
          </cell>
        </row>
        <row r="1911">
          <cell r="D1911">
            <v>889744</v>
          </cell>
          <cell r="E1911" t="str">
            <v>EUR</v>
          </cell>
          <cell r="F1911">
            <v>52.05</v>
          </cell>
          <cell r="G1911" t="str">
            <v>EUR</v>
          </cell>
          <cell r="H1911" t="e">
            <v>#VALUE!</v>
          </cell>
          <cell r="I1911" t="str">
            <v>MV80TONER</v>
          </cell>
        </row>
        <row r="1912">
          <cell r="D1912">
            <v>889015</v>
          </cell>
          <cell r="E1912" t="str">
            <v>EUR</v>
          </cell>
          <cell r="F1912">
            <v>119.59</v>
          </cell>
          <cell r="G1912" t="e">
            <v>#N/A</v>
          </cell>
          <cell r="H1912" t="e">
            <v>#N/A</v>
          </cell>
          <cell r="I1912" t="str">
            <v>M10MASTUNT2</v>
          </cell>
        </row>
        <row r="1913">
          <cell r="D1913">
            <v>887660</v>
          </cell>
          <cell r="E1913" t="str">
            <v>EUR</v>
          </cell>
          <cell r="F1913">
            <v>23.59</v>
          </cell>
          <cell r="G1913" t="e">
            <v>#N/A</v>
          </cell>
          <cell r="H1913" t="e">
            <v>#N/A</v>
          </cell>
          <cell r="I1913" t="str">
            <v>M10TONBLAUK</v>
          </cell>
        </row>
        <row r="1914">
          <cell r="D1914">
            <v>889351</v>
          </cell>
          <cell r="E1914" t="str">
            <v>EUR</v>
          </cell>
          <cell r="F1914">
            <v>121.28</v>
          </cell>
          <cell r="G1914" t="str">
            <v>EUR</v>
          </cell>
          <cell r="H1914" t="e">
            <v>#VALUE!</v>
          </cell>
          <cell r="I1914" t="str">
            <v>M100MASTUNT2</v>
          </cell>
        </row>
        <row r="1915">
          <cell r="D1915">
            <v>889260</v>
          </cell>
          <cell r="E1915" t="str">
            <v>EUR</v>
          </cell>
          <cell r="F1915">
            <v>111.76</v>
          </cell>
          <cell r="G1915" t="str">
            <v>EUR</v>
          </cell>
          <cell r="H1915" t="e">
            <v>#VALUE!</v>
          </cell>
          <cell r="I1915" t="str">
            <v>M5MASTUNT2</v>
          </cell>
        </row>
        <row r="1916">
          <cell r="D1916">
            <v>887659</v>
          </cell>
          <cell r="E1916" t="str">
            <v>EUR</v>
          </cell>
          <cell r="F1916">
            <v>23.59</v>
          </cell>
          <cell r="G1916" t="e">
            <v>#N/A</v>
          </cell>
          <cell r="H1916" t="e">
            <v>#N/A</v>
          </cell>
          <cell r="I1916" t="str">
            <v>M5TONERBLAUK</v>
          </cell>
        </row>
        <row r="1917">
          <cell r="D1917">
            <v>882019</v>
          </cell>
          <cell r="E1917" t="str">
            <v>EUR</v>
          </cell>
          <cell r="F1917">
            <v>41.44</v>
          </cell>
          <cell r="G1917" t="e">
            <v>#N/A</v>
          </cell>
          <cell r="H1917" t="e">
            <v>#N/A</v>
          </cell>
          <cell r="I1917" t="str">
            <v>M5TONERGRE</v>
          </cell>
        </row>
        <row r="1918">
          <cell r="D1918">
            <v>889207</v>
          </cell>
          <cell r="E1918" t="str">
            <v>EUR</v>
          </cell>
          <cell r="F1918">
            <v>38.33</v>
          </cell>
          <cell r="G1918" t="str">
            <v>EUR</v>
          </cell>
          <cell r="H1918" t="e">
            <v>#VALUE!</v>
          </cell>
          <cell r="I1918" t="str">
            <v>M5TONERRED</v>
          </cell>
        </row>
        <row r="1919">
          <cell r="D1919">
            <v>887664</v>
          </cell>
          <cell r="E1919" t="str">
            <v>EUR</v>
          </cell>
          <cell r="F1919">
            <v>26.21</v>
          </cell>
          <cell r="G1919" t="e">
            <v>#N/A</v>
          </cell>
          <cell r="H1919" t="e">
            <v>#N/A</v>
          </cell>
          <cell r="I1919" t="str">
            <v>M6TONERGER</v>
          </cell>
        </row>
        <row r="1920">
          <cell r="D1920">
            <v>889405</v>
          </cell>
          <cell r="E1920" t="str">
            <v>EUR</v>
          </cell>
          <cell r="F1920">
            <v>107.13</v>
          </cell>
          <cell r="G1920" t="str">
            <v>EUR</v>
          </cell>
          <cell r="H1920" t="e">
            <v>#VALUE!</v>
          </cell>
          <cell r="I1920" t="str">
            <v>NC11DEVBLA</v>
          </cell>
        </row>
        <row r="1921">
          <cell r="D1921">
            <v>889408</v>
          </cell>
          <cell r="E1921" t="str">
            <v>EUR</v>
          </cell>
          <cell r="F1921">
            <v>45.91</v>
          </cell>
          <cell r="G1921" t="str">
            <v>EUR</v>
          </cell>
          <cell r="H1921" t="e">
            <v>#VALUE!</v>
          </cell>
          <cell r="I1921" t="str">
            <v>NC11DEVCYN</v>
          </cell>
        </row>
        <row r="1922">
          <cell r="D1922">
            <v>889407</v>
          </cell>
          <cell r="E1922" t="str">
            <v>EUR</v>
          </cell>
          <cell r="F1922">
            <v>45.91</v>
          </cell>
          <cell r="G1922" t="str">
            <v>EUR</v>
          </cell>
          <cell r="H1922" t="e">
            <v>#VALUE!</v>
          </cell>
          <cell r="I1922" t="str">
            <v>NC11DEVMAG</v>
          </cell>
        </row>
        <row r="1923">
          <cell r="D1923">
            <v>889406</v>
          </cell>
          <cell r="E1923" t="str">
            <v>EUR</v>
          </cell>
          <cell r="F1923">
            <v>45.91</v>
          </cell>
          <cell r="G1923" t="str">
            <v>EUR</v>
          </cell>
          <cell r="H1923" t="e">
            <v>#VALUE!</v>
          </cell>
          <cell r="I1923" t="str">
            <v>NC11DEVYLW</v>
          </cell>
        </row>
        <row r="1924">
          <cell r="D1924">
            <v>887481</v>
          </cell>
          <cell r="E1924" t="str">
            <v>EUR</v>
          </cell>
          <cell r="F1924">
            <v>127.06</v>
          </cell>
          <cell r="G1924" t="e">
            <v>#N/A</v>
          </cell>
          <cell r="H1924" t="e">
            <v>#N/A</v>
          </cell>
          <cell r="I1924" t="str">
            <v>NC11TONERBLA</v>
          </cell>
        </row>
        <row r="1925">
          <cell r="D1925">
            <v>887487</v>
          </cell>
          <cell r="E1925" t="str">
            <v>EUR</v>
          </cell>
          <cell r="F1925">
            <v>71.400000000000006</v>
          </cell>
          <cell r="G1925" t="str">
            <v>EUR</v>
          </cell>
          <cell r="H1925" t="e">
            <v>#VALUE!</v>
          </cell>
          <cell r="I1925" t="str">
            <v>NC11TONERCYN</v>
          </cell>
        </row>
        <row r="1926">
          <cell r="D1926">
            <v>887485</v>
          </cell>
          <cell r="E1926" t="str">
            <v>EUR</v>
          </cell>
          <cell r="F1926">
            <v>71.400000000000006</v>
          </cell>
          <cell r="G1926" t="str">
            <v>EUR</v>
          </cell>
          <cell r="H1926" t="e">
            <v>#VALUE!</v>
          </cell>
          <cell r="I1926" t="str">
            <v>NC11TONERMAG</v>
          </cell>
        </row>
        <row r="1927">
          <cell r="D1927">
            <v>887483</v>
          </cell>
          <cell r="E1927" t="str">
            <v>EUR</v>
          </cell>
          <cell r="F1927">
            <v>71.400000000000006</v>
          </cell>
          <cell r="G1927" t="str">
            <v>EUR</v>
          </cell>
          <cell r="H1927" t="e">
            <v>#VALUE!</v>
          </cell>
          <cell r="I1927" t="str">
            <v>NC11TONERYLW</v>
          </cell>
        </row>
        <row r="1928">
          <cell r="D1928">
            <v>889526</v>
          </cell>
          <cell r="E1928" t="str">
            <v>EUR</v>
          </cell>
          <cell r="F1928">
            <v>93.45</v>
          </cell>
          <cell r="G1928" t="str">
            <v>EUR</v>
          </cell>
          <cell r="H1928" t="e">
            <v>#VALUE!</v>
          </cell>
          <cell r="I1928" t="str">
            <v>NC305DEVBLA</v>
          </cell>
        </row>
        <row r="1929">
          <cell r="D1929">
            <v>411113</v>
          </cell>
          <cell r="E1929" t="str">
            <v>EUR</v>
          </cell>
          <cell r="F1929">
            <v>62.01</v>
          </cell>
          <cell r="G1929" t="str">
            <v>EUR</v>
          </cell>
          <cell r="H1929" t="e">
            <v>#VALUE!</v>
          </cell>
          <cell r="I1929" t="str">
            <v>PCU1013CHN</v>
          </cell>
        </row>
        <row r="1930">
          <cell r="D1930">
            <v>411018</v>
          </cell>
          <cell r="E1930" t="str">
            <v>EUR</v>
          </cell>
          <cell r="F1930">
            <v>117.67</v>
          </cell>
          <cell r="G1930" t="str">
            <v>EUR</v>
          </cell>
          <cell r="H1930" t="e">
            <v>#VALUE!</v>
          </cell>
          <cell r="I1930" t="str">
            <v>PCU1027</v>
          </cell>
        </row>
        <row r="1931">
          <cell r="D1931">
            <v>410423</v>
          </cell>
          <cell r="E1931" t="str">
            <v>EUR</v>
          </cell>
          <cell r="F1931">
            <v>122.81</v>
          </cell>
          <cell r="G1931" t="str">
            <v>EUR</v>
          </cell>
          <cell r="H1931" t="e">
            <v>#VALUE!</v>
          </cell>
          <cell r="I1931" t="str">
            <v>PCU270</v>
          </cell>
        </row>
        <row r="1932">
          <cell r="D1932">
            <v>400633</v>
          </cell>
          <cell r="E1932" t="str">
            <v>EUR</v>
          </cell>
          <cell r="F1932">
            <v>117.67</v>
          </cell>
          <cell r="G1932" t="str">
            <v>EUR</v>
          </cell>
          <cell r="H1932" t="e">
            <v>#VALUE!</v>
          </cell>
          <cell r="I1932" t="str">
            <v>PCU320</v>
          </cell>
        </row>
        <row r="1933">
          <cell r="D1933">
            <v>410509</v>
          </cell>
          <cell r="E1933" t="str">
            <v>EUR</v>
          </cell>
          <cell r="F1933">
            <v>54.5</v>
          </cell>
          <cell r="G1933" t="str">
            <v>EUR</v>
          </cell>
          <cell r="H1933" t="e">
            <v>#VALUE!</v>
          </cell>
          <cell r="I1933" t="str">
            <v>STAPLEREFH</v>
          </cell>
        </row>
        <row r="1934">
          <cell r="D1934">
            <v>410509</v>
          </cell>
          <cell r="E1934" t="str">
            <v>EUR</v>
          </cell>
          <cell r="F1934">
            <v>54.27</v>
          </cell>
          <cell r="G1934" t="str">
            <v>EUR</v>
          </cell>
          <cell r="H1934" t="e">
            <v>#VALUE!</v>
          </cell>
          <cell r="I1934" t="str">
            <v>STAPLEREFH</v>
          </cell>
        </row>
        <row r="1935">
          <cell r="D1935">
            <v>410802</v>
          </cell>
          <cell r="E1935" t="str">
            <v>EUR</v>
          </cell>
          <cell r="F1935">
            <v>27.48</v>
          </cell>
          <cell r="G1935" t="str">
            <v>EUR</v>
          </cell>
          <cell r="H1935" t="e">
            <v>#VALUE!</v>
          </cell>
          <cell r="I1935" t="str">
            <v>STAPLEREFK</v>
          </cell>
        </row>
        <row r="1936">
          <cell r="D1936">
            <v>411241</v>
          </cell>
          <cell r="E1936" t="str">
            <v>EUR</v>
          </cell>
          <cell r="F1936">
            <v>19.75</v>
          </cell>
          <cell r="G1936" t="str">
            <v>EUR</v>
          </cell>
          <cell r="H1936" t="e">
            <v>#VALUE!</v>
          </cell>
          <cell r="I1936" t="str">
            <v>STAPLEREFL</v>
          </cell>
        </row>
        <row r="1937">
          <cell r="D1937">
            <v>208171</v>
          </cell>
          <cell r="E1937" t="str">
            <v>EUR</v>
          </cell>
          <cell r="F1937">
            <v>21.72</v>
          </cell>
          <cell r="G1937" t="str">
            <v>EUR</v>
          </cell>
          <cell r="H1937" t="e">
            <v>#VALUE!</v>
          </cell>
          <cell r="I1937" t="str">
            <v>STAPLETYPEC</v>
          </cell>
        </row>
        <row r="1938">
          <cell r="D1938">
            <v>208532</v>
          </cell>
          <cell r="E1938" t="str">
            <v>EUR</v>
          </cell>
          <cell r="F1938">
            <v>17.37</v>
          </cell>
          <cell r="G1938" t="str">
            <v>EUR</v>
          </cell>
          <cell r="H1938" t="e">
            <v>#VALUE!</v>
          </cell>
          <cell r="I1938" t="str">
            <v>STAPLETYPED</v>
          </cell>
        </row>
        <row r="1939">
          <cell r="D1939">
            <v>317927</v>
          </cell>
          <cell r="E1939" t="str">
            <v>EUR</v>
          </cell>
          <cell r="F1939">
            <v>15.78</v>
          </cell>
          <cell r="G1939" t="str">
            <v>EUR</v>
          </cell>
          <cell r="H1939" t="e">
            <v>#VALUE!</v>
          </cell>
          <cell r="I1939" t="str">
            <v>STAPLETYPEE</v>
          </cell>
        </row>
        <row r="1940">
          <cell r="D1940">
            <v>209307</v>
          </cell>
          <cell r="E1940" t="str">
            <v>EUR</v>
          </cell>
          <cell r="F1940">
            <v>23.7</v>
          </cell>
          <cell r="G1940" t="str">
            <v>EUR</v>
          </cell>
          <cell r="H1940" t="e">
            <v>#VALUE!</v>
          </cell>
          <cell r="I1940" t="str">
            <v>STAPLETYPEF</v>
          </cell>
        </row>
        <row r="1941">
          <cell r="D1941">
            <v>410133</v>
          </cell>
          <cell r="E1941" t="str">
            <v>EUR</v>
          </cell>
          <cell r="F1941">
            <v>23.7</v>
          </cell>
          <cell r="G1941" t="str">
            <v>EUR</v>
          </cell>
          <cell r="H1941" t="e">
            <v>#VALUE!</v>
          </cell>
          <cell r="I1941" t="str">
            <v>STAPLETYPEG</v>
          </cell>
        </row>
        <row r="1942">
          <cell r="D1942">
            <v>410508</v>
          </cell>
          <cell r="E1942" t="str">
            <v>EUR</v>
          </cell>
          <cell r="F1942">
            <v>24.11</v>
          </cell>
          <cell r="G1942" t="str">
            <v>EUR</v>
          </cell>
          <cell r="H1942" t="e">
            <v>#VALUE!</v>
          </cell>
          <cell r="I1942" t="str">
            <v>STAPLETYPEH</v>
          </cell>
        </row>
        <row r="1943">
          <cell r="D1943">
            <v>410597</v>
          </cell>
          <cell r="E1943" t="str">
            <v>EUR</v>
          </cell>
          <cell r="F1943">
            <v>27.89</v>
          </cell>
          <cell r="G1943" t="str">
            <v>EUR</v>
          </cell>
          <cell r="H1943" t="e">
            <v>#VALUE!</v>
          </cell>
          <cell r="I1943" t="str">
            <v>STAPLETYPEJ</v>
          </cell>
        </row>
        <row r="1944">
          <cell r="D1944">
            <v>410801</v>
          </cell>
          <cell r="E1944" t="str">
            <v>EUR</v>
          </cell>
          <cell r="F1944">
            <v>15.7</v>
          </cell>
          <cell r="G1944" t="str">
            <v>EUR</v>
          </cell>
          <cell r="H1944" t="e">
            <v>#VALUE!</v>
          </cell>
          <cell r="I1944" t="str">
            <v>STAPLETYPEK</v>
          </cell>
        </row>
        <row r="1945">
          <cell r="D1945">
            <v>411240</v>
          </cell>
          <cell r="E1945" t="str">
            <v>EUR</v>
          </cell>
          <cell r="F1945">
            <v>11.82</v>
          </cell>
          <cell r="G1945" t="str">
            <v>EUR</v>
          </cell>
          <cell r="H1945" t="e">
            <v>#VALUE!</v>
          </cell>
          <cell r="I1945" t="str">
            <v>STAPLETYPEL</v>
          </cell>
        </row>
        <row r="1946">
          <cell r="D1946">
            <v>922479</v>
          </cell>
          <cell r="E1946" t="str">
            <v>EUR</v>
          </cell>
          <cell r="F1946">
            <v>37</v>
          </cell>
          <cell r="G1946" t="e">
            <v>#N/A</v>
          </cell>
          <cell r="H1946" t="e">
            <v>#N/A</v>
          </cell>
          <cell r="I1946" t="str">
            <v>STAPLE85SWE</v>
          </cell>
        </row>
        <row r="1947">
          <cell r="D1947">
            <v>889341</v>
          </cell>
          <cell r="E1947" t="str">
            <v>EUR</v>
          </cell>
          <cell r="F1947">
            <v>66.400000000000006</v>
          </cell>
          <cell r="G1947" t="str">
            <v>EUR</v>
          </cell>
          <cell r="H1947" t="e">
            <v>#VALUE!</v>
          </cell>
          <cell r="I1947" t="str">
            <v>TONCOLLUN</v>
          </cell>
        </row>
        <row r="1948">
          <cell r="D1948">
            <v>885104</v>
          </cell>
          <cell r="E1948" t="str">
            <v>EUR</v>
          </cell>
          <cell r="F1948">
            <v>65.459999999999994</v>
          </cell>
          <cell r="G1948" t="e">
            <v>#N/A</v>
          </cell>
          <cell r="H1948" t="e">
            <v>#N/A</v>
          </cell>
          <cell r="I1948" t="str">
            <v>TONER10DFRA</v>
          </cell>
        </row>
        <row r="1949">
          <cell r="D1949">
            <v>888037</v>
          </cell>
          <cell r="E1949" t="str">
            <v>EUR</v>
          </cell>
          <cell r="F1949">
            <v>99</v>
          </cell>
          <cell r="G1949" t="str">
            <v>EUR</v>
          </cell>
          <cell r="H1949" t="e">
            <v>#VALUE!</v>
          </cell>
          <cell r="I1949" t="str">
            <v>TONER105CYN</v>
          </cell>
        </row>
        <row r="1950">
          <cell r="D1950">
            <v>888036</v>
          </cell>
          <cell r="E1950" t="str">
            <v>EUR</v>
          </cell>
          <cell r="F1950">
            <v>99</v>
          </cell>
          <cell r="G1950" t="str">
            <v>EUR</v>
          </cell>
          <cell r="H1950" t="e">
            <v>#VALUE!</v>
          </cell>
          <cell r="I1950" t="str">
            <v>TONER105MAG</v>
          </cell>
        </row>
        <row r="1951">
          <cell r="D1951">
            <v>888035</v>
          </cell>
          <cell r="E1951" t="str">
            <v>EUR</v>
          </cell>
          <cell r="F1951">
            <v>99</v>
          </cell>
          <cell r="G1951" t="str">
            <v>EUR</v>
          </cell>
          <cell r="H1951" t="e">
            <v>#VALUE!</v>
          </cell>
          <cell r="I1951" t="str">
            <v>TONER105YLW</v>
          </cell>
        </row>
        <row r="1952">
          <cell r="D1952">
            <v>885109</v>
          </cell>
          <cell r="E1952" t="str">
            <v>EUR</v>
          </cell>
          <cell r="F1952">
            <v>47.4</v>
          </cell>
          <cell r="G1952" t="e">
            <v>#N/A</v>
          </cell>
          <cell r="H1952" t="e">
            <v>#N/A</v>
          </cell>
          <cell r="I1952" t="str">
            <v>TONER20DEFRA</v>
          </cell>
        </row>
        <row r="1953">
          <cell r="D1953">
            <v>888032</v>
          </cell>
          <cell r="E1953" t="str">
            <v>EUR</v>
          </cell>
          <cell r="F1953">
            <v>39.42</v>
          </cell>
          <cell r="G1953" t="str">
            <v>EUR</v>
          </cell>
          <cell r="H1953" t="e">
            <v>#VALUE!</v>
          </cell>
          <cell r="I1953" t="str">
            <v>TONER205BLA</v>
          </cell>
        </row>
        <row r="1954">
          <cell r="D1954">
            <v>887849</v>
          </cell>
          <cell r="E1954" t="str">
            <v>EUR</v>
          </cell>
          <cell r="F1954">
            <v>71.010000000000005</v>
          </cell>
          <cell r="G1954" t="str">
            <v>EUR</v>
          </cell>
          <cell r="H1954" t="e">
            <v>#VALUE!</v>
          </cell>
          <cell r="I1954" t="str">
            <v>TONTYPEHCYN</v>
          </cell>
        </row>
        <row r="1955">
          <cell r="D1955">
            <v>887848</v>
          </cell>
          <cell r="E1955" t="str">
            <v>EUR</v>
          </cell>
          <cell r="F1955">
            <v>71.010000000000005</v>
          </cell>
          <cell r="G1955" t="str">
            <v>EUR</v>
          </cell>
          <cell r="H1955" t="e">
            <v>#VALUE!</v>
          </cell>
          <cell r="I1955" t="str">
            <v>TONTYPEHMAG</v>
          </cell>
        </row>
        <row r="1956">
          <cell r="D1956">
            <v>887845</v>
          </cell>
          <cell r="E1956" t="str">
            <v>EUR</v>
          </cell>
          <cell r="F1956">
            <v>74.790000000000006</v>
          </cell>
          <cell r="G1956" t="str">
            <v>EUR</v>
          </cell>
          <cell r="H1956" t="e">
            <v>#VALUE!</v>
          </cell>
          <cell r="I1956" t="str">
            <v>TONTYPEHXBLA</v>
          </cell>
        </row>
        <row r="1957">
          <cell r="D1957">
            <v>887847</v>
          </cell>
          <cell r="E1957" t="str">
            <v>EUR</v>
          </cell>
          <cell r="F1957">
            <v>71.010000000000005</v>
          </cell>
          <cell r="G1957" t="str">
            <v>EUR</v>
          </cell>
          <cell r="H1957" t="e">
            <v>#VALUE!</v>
          </cell>
          <cell r="I1957" t="str">
            <v>TONTYPEHYLW</v>
          </cell>
        </row>
        <row r="1958">
          <cell r="D1958">
            <v>887813</v>
          </cell>
          <cell r="E1958" t="str">
            <v>EUR</v>
          </cell>
          <cell r="F1958">
            <v>82.21</v>
          </cell>
          <cell r="G1958" t="str">
            <v>EUR</v>
          </cell>
          <cell r="H1958" t="e">
            <v>#VALUE!</v>
          </cell>
          <cell r="I1958" t="str">
            <v>TONTYPEJBLA</v>
          </cell>
        </row>
        <row r="1959">
          <cell r="D1959">
            <v>887816</v>
          </cell>
          <cell r="E1959" t="str">
            <v>EUR</v>
          </cell>
          <cell r="F1959">
            <v>91.37</v>
          </cell>
          <cell r="G1959" t="str">
            <v>EUR</v>
          </cell>
          <cell r="H1959" t="e">
            <v>#VALUE!</v>
          </cell>
          <cell r="I1959" t="str">
            <v>TONTYPEJCYN</v>
          </cell>
        </row>
        <row r="1960">
          <cell r="D1960">
            <v>887815</v>
          </cell>
          <cell r="E1960" t="str">
            <v>EUR</v>
          </cell>
          <cell r="F1960">
            <v>91.37</v>
          </cell>
          <cell r="G1960" t="str">
            <v>EUR</v>
          </cell>
          <cell r="H1960" t="e">
            <v>#VALUE!</v>
          </cell>
          <cell r="I1960" t="str">
            <v>TONTYPEJMAG</v>
          </cell>
        </row>
        <row r="1961">
          <cell r="D1961">
            <v>887814</v>
          </cell>
          <cell r="E1961" t="str">
            <v>EUR</v>
          </cell>
          <cell r="F1961">
            <v>91.37</v>
          </cell>
          <cell r="G1961" t="str">
            <v>EUR</v>
          </cell>
          <cell r="H1961" t="e">
            <v>#VALUE!</v>
          </cell>
          <cell r="I1961" t="str">
            <v>TONTYPEJYLW</v>
          </cell>
        </row>
        <row r="1962">
          <cell r="D1962">
            <v>887914</v>
          </cell>
          <cell r="E1962" t="str">
            <v>EUR</v>
          </cell>
          <cell r="F1962">
            <v>46.51</v>
          </cell>
          <cell r="G1962" t="str">
            <v>EUR</v>
          </cell>
          <cell r="H1962" t="e">
            <v>#VALUE!</v>
          </cell>
          <cell r="I1962" t="str">
            <v>TONTYPEK1BLA</v>
          </cell>
        </row>
        <row r="1963">
          <cell r="D1963">
            <v>887933</v>
          </cell>
          <cell r="E1963" t="str">
            <v>EUR</v>
          </cell>
          <cell r="F1963">
            <v>118.84</v>
          </cell>
          <cell r="G1963" t="str">
            <v>EUR</v>
          </cell>
          <cell r="H1963" t="e">
            <v>#VALUE!</v>
          </cell>
          <cell r="I1963" t="str">
            <v>TONTYPEK1CYN</v>
          </cell>
        </row>
        <row r="1964">
          <cell r="D1964">
            <v>887927</v>
          </cell>
          <cell r="E1964" t="str">
            <v>EUR</v>
          </cell>
          <cell r="F1964">
            <v>118.84</v>
          </cell>
          <cell r="G1964" t="str">
            <v>EUR</v>
          </cell>
          <cell r="H1964" t="e">
            <v>#VALUE!</v>
          </cell>
          <cell r="I1964" t="str">
            <v>TONTYPEK1MAG</v>
          </cell>
        </row>
        <row r="1965">
          <cell r="D1965">
            <v>887921</v>
          </cell>
          <cell r="E1965" t="str">
            <v>EUR</v>
          </cell>
          <cell r="F1965">
            <v>118.84</v>
          </cell>
          <cell r="G1965" t="str">
            <v>EUR</v>
          </cell>
          <cell r="H1965" t="e">
            <v>#VALUE!</v>
          </cell>
          <cell r="I1965" t="str">
            <v>TONTYPEK1YLW</v>
          </cell>
        </row>
        <row r="1966">
          <cell r="D1966">
            <v>887890</v>
          </cell>
          <cell r="E1966" t="str">
            <v>EUR</v>
          </cell>
          <cell r="F1966">
            <v>124.45</v>
          </cell>
          <cell r="G1966" t="str">
            <v>EUR</v>
          </cell>
          <cell r="H1966" t="e">
            <v>#VALUE!</v>
          </cell>
          <cell r="I1966" t="str">
            <v>TONTYPEL1BLA</v>
          </cell>
        </row>
        <row r="1967">
          <cell r="D1967">
            <v>887908</v>
          </cell>
          <cell r="E1967" t="str">
            <v>EUR</v>
          </cell>
          <cell r="F1967">
            <v>141.44999999999999</v>
          </cell>
          <cell r="G1967" t="str">
            <v>EUR</v>
          </cell>
          <cell r="H1967" t="e">
            <v>#VALUE!</v>
          </cell>
          <cell r="I1967" t="str">
            <v>TONTYPEL1CYN</v>
          </cell>
        </row>
        <row r="1968">
          <cell r="D1968">
            <v>887902</v>
          </cell>
          <cell r="E1968" t="str">
            <v>EUR</v>
          </cell>
          <cell r="F1968">
            <v>141.44999999999999</v>
          </cell>
          <cell r="G1968" t="str">
            <v>EUR</v>
          </cell>
          <cell r="H1968" t="e">
            <v>#VALUE!</v>
          </cell>
          <cell r="I1968" t="str">
            <v>TONTYPEL1MAG</v>
          </cell>
        </row>
        <row r="1969">
          <cell r="D1969">
            <v>887896</v>
          </cell>
          <cell r="E1969" t="str">
            <v>EUR</v>
          </cell>
          <cell r="F1969">
            <v>141.44999999999999</v>
          </cell>
          <cell r="G1969" t="str">
            <v>EUR</v>
          </cell>
          <cell r="H1969" t="e">
            <v>#VALUE!</v>
          </cell>
          <cell r="I1969" t="str">
            <v>TONTYPEL1YLW</v>
          </cell>
        </row>
        <row r="1970">
          <cell r="D1970">
            <v>410303</v>
          </cell>
          <cell r="E1970" t="str">
            <v>EUR</v>
          </cell>
          <cell r="F1970">
            <v>71.95</v>
          </cell>
          <cell r="G1970" t="str">
            <v>EUR</v>
          </cell>
          <cell r="H1970" t="e">
            <v>#VALUE!</v>
          </cell>
          <cell r="I1970" t="str">
            <v>TONTYPE185</v>
          </cell>
        </row>
        <row r="1971">
          <cell r="D1971">
            <v>885195</v>
          </cell>
          <cell r="E1971" t="str">
            <v>EUR</v>
          </cell>
          <cell r="F1971">
            <v>141.65</v>
          </cell>
          <cell r="G1971" t="e">
            <v>#N/A</v>
          </cell>
          <cell r="H1971" t="e">
            <v>#N/A</v>
          </cell>
          <cell r="I1971" t="str">
            <v>TON6205FRA</v>
          </cell>
        </row>
        <row r="1972">
          <cell r="D1972">
            <v>401092</v>
          </cell>
          <cell r="E1972" t="str">
            <v>EUR</v>
          </cell>
          <cell r="F1972">
            <v>42.55</v>
          </cell>
          <cell r="G1972" t="e">
            <v>#N/A</v>
          </cell>
          <cell r="H1972" t="e">
            <v>#N/A</v>
          </cell>
          <cell r="I1972" t="str">
            <v>1120DTONER</v>
          </cell>
        </row>
        <row r="1973">
          <cell r="D1973">
            <v>888029</v>
          </cell>
          <cell r="E1973" t="str">
            <v>EUR</v>
          </cell>
          <cell r="F1973">
            <v>61.33</v>
          </cell>
          <cell r="G1973" t="str">
            <v>EUR</v>
          </cell>
          <cell r="H1973" t="e">
            <v>#VALUE!</v>
          </cell>
          <cell r="I1973" t="str">
            <v>1160WTONER</v>
          </cell>
        </row>
        <row r="1974">
          <cell r="D1974">
            <v>885122</v>
          </cell>
          <cell r="E1974" t="str">
            <v>EUR</v>
          </cell>
          <cell r="F1974">
            <v>46.82</v>
          </cell>
          <cell r="G1974" t="e">
            <v>#N/A</v>
          </cell>
          <cell r="H1974" t="e">
            <v>#N/A</v>
          </cell>
          <cell r="I1974" t="str">
            <v>1205TONERUK</v>
          </cell>
        </row>
        <row r="1975">
          <cell r="D1975">
            <v>339588</v>
          </cell>
          <cell r="E1975" t="str">
            <v>EUR</v>
          </cell>
          <cell r="F1975">
            <v>141.93</v>
          </cell>
          <cell r="G1975" t="str">
            <v>EUR</v>
          </cell>
          <cell r="H1975" t="e">
            <v>#VALUE!</v>
          </cell>
          <cell r="I1975" t="str">
            <v>1210DTONER</v>
          </cell>
        </row>
        <row r="1976">
          <cell r="D1976">
            <v>887754</v>
          </cell>
          <cell r="E1976" t="str">
            <v>EUR</v>
          </cell>
          <cell r="F1976">
            <v>39.6</v>
          </cell>
          <cell r="G1976" t="e">
            <v>#N/A</v>
          </cell>
          <cell r="H1976" t="e">
            <v>#N/A</v>
          </cell>
          <cell r="I1976" t="str">
            <v>1215TONER</v>
          </cell>
        </row>
        <row r="1977">
          <cell r="D1977">
            <v>888078</v>
          </cell>
          <cell r="E1977" t="str">
            <v>EUR</v>
          </cell>
          <cell r="F1977">
            <v>37.1</v>
          </cell>
          <cell r="G1977" t="str">
            <v>EUR</v>
          </cell>
          <cell r="H1977" t="e">
            <v>#VALUE!</v>
          </cell>
          <cell r="I1977" t="str">
            <v>1215TONERKOR</v>
          </cell>
        </row>
        <row r="1978">
          <cell r="D1978">
            <v>888087</v>
          </cell>
          <cell r="E1978" t="str">
            <v>EUR</v>
          </cell>
          <cell r="F1978">
            <v>12.32</v>
          </cell>
          <cell r="G1978" t="str">
            <v>EUR</v>
          </cell>
          <cell r="H1978" t="e">
            <v>#VALUE!</v>
          </cell>
          <cell r="I1978" t="str">
            <v>1220DTONER</v>
          </cell>
        </row>
        <row r="1979">
          <cell r="D1979">
            <v>885258</v>
          </cell>
          <cell r="E1979" t="str">
            <v>EUR</v>
          </cell>
          <cell r="F1979">
            <v>9.33</v>
          </cell>
          <cell r="G1979" t="e">
            <v>#N/A</v>
          </cell>
          <cell r="H1979" t="e">
            <v>#N/A</v>
          </cell>
          <cell r="I1979" t="str">
            <v>1250DTONER</v>
          </cell>
        </row>
        <row r="1980">
          <cell r="D1980">
            <v>411073</v>
          </cell>
          <cell r="E1980" t="str">
            <v>EUR</v>
          </cell>
          <cell r="F1980">
            <v>44.14</v>
          </cell>
          <cell r="G1980" t="str">
            <v>EUR</v>
          </cell>
          <cell r="H1980" t="e">
            <v>#VALUE!</v>
          </cell>
          <cell r="I1980" t="str">
            <v>1255DTONCHN</v>
          </cell>
        </row>
        <row r="1981">
          <cell r="D1981">
            <v>887661</v>
          </cell>
          <cell r="E1981" t="str">
            <v>EUR</v>
          </cell>
          <cell r="F1981">
            <v>25.3</v>
          </cell>
          <cell r="G1981" t="e">
            <v>#N/A</v>
          </cell>
          <cell r="H1981" t="e">
            <v>#N/A</v>
          </cell>
          <cell r="I1981" t="str">
            <v>2050TONBLAUK</v>
          </cell>
        </row>
        <row r="1982">
          <cell r="D1982">
            <v>889776</v>
          </cell>
          <cell r="E1982" t="str">
            <v>EUR</v>
          </cell>
          <cell r="F1982">
            <v>184.92</v>
          </cell>
          <cell r="G1982" t="str">
            <v>EUR</v>
          </cell>
          <cell r="H1982" t="e">
            <v>#VALUE!</v>
          </cell>
          <cell r="I1982" t="str">
            <v>2200EXTONER</v>
          </cell>
        </row>
        <row r="1983">
          <cell r="D1983">
            <v>889614</v>
          </cell>
          <cell r="E1983" t="str">
            <v>EUR</v>
          </cell>
          <cell r="F1983">
            <v>47.8</v>
          </cell>
          <cell r="G1983" t="str">
            <v>EUR</v>
          </cell>
          <cell r="H1983" t="e">
            <v>#VALUE!</v>
          </cell>
          <cell r="I1983" t="str">
            <v>2205DTONER</v>
          </cell>
        </row>
        <row r="1984">
          <cell r="D1984">
            <v>887977</v>
          </cell>
          <cell r="E1984" t="str">
            <v>EUR</v>
          </cell>
          <cell r="F1984">
            <v>71.63</v>
          </cell>
          <cell r="G1984" t="e">
            <v>#N/A</v>
          </cell>
          <cell r="H1984" t="e">
            <v>#N/A</v>
          </cell>
          <cell r="I1984" t="str">
            <v>2210DTONER</v>
          </cell>
        </row>
        <row r="1985">
          <cell r="D1985">
            <v>885229</v>
          </cell>
          <cell r="E1985" t="str">
            <v>EUR</v>
          </cell>
          <cell r="F1985">
            <v>71.63</v>
          </cell>
          <cell r="G1985" t="e">
            <v>#N/A</v>
          </cell>
          <cell r="H1985" t="e">
            <v>#N/A</v>
          </cell>
          <cell r="I1985" t="str">
            <v>2210DTONER2</v>
          </cell>
        </row>
        <row r="1986">
          <cell r="D1986">
            <v>885266</v>
          </cell>
          <cell r="E1986" t="str">
            <v>EUR</v>
          </cell>
          <cell r="F1986">
            <v>12.21</v>
          </cell>
          <cell r="G1986" t="e">
            <v>#N/A</v>
          </cell>
          <cell r="H1986" t="e">
            <v>#N/A</v>
          </cell>
          <cell r="I1986" t="str">
            <v>2220DTONFRA</v>
          </cell>
        </row>
        <row r="1987">
          <cell r="D1987">
            <v>887620</v>
          </cell>
          <cell r="E1987" t="str">
            <v>EUR</v>
          </cell>
          <cell r="F1987">
            <v>28.01</v>
          </cell>
          <cell r="G1987" t="e">
            <v>#N/A</v>
          </cell>
          <cell r="H1987" t="e">
            <v>#N/A</v>
          </cell>
          <cell r="I1987" t="str">
            <v>3000TONERUK</v>
          </cell>
        </row>
        <row r="1988">
          <cell r="D1988">
            <v>889268</v>
          </cell>
          <cell r="E1988" t="str">
            <v>EUR</v>
          </cell>
          <cell r="F1988">
            <v>32.56</v>
          </cell>
          <cell r="G1988" t="str">
            <v>EUR</v>
          </cell>
          <cell r="H1988" t="e">
            <v>#VALUE!</v>
          </cell>
          <cell r="I1988" t="str">
            <v>310DEV</v>
          </cell>
        </row>
        <row r="1989">
          <cell r="D1989">
            <v>887612</v>
          </cell>
          <cell r="E1989" t="str">
            <v>EUR</v>
          </cell>
          <cell r="F1989">
            <v>18.05</v>
          </cell>
          <cell r="G1989" t="e">
            <v>#N/A</v>
          </cell>
          <cell r="H1989" t="e">
            <v>#N/A</v>
          </cell>
          <cell r="I1989" t="str">
            <v>310TONERUK</v>
          </cell>
        </row>
        <row r="1990">
          <cell r="D1990">
            <v>887681</v>
          </cell>
          <cell r="E1990" t="str">
            <v>EUR</v>
          </cell>
          <cell r="F1990">
            <v>18.05</v>
          </cell>
          <cell r="G1990" t="e">
            <v>#N/A</v>
          </cell>
          <cell r="H1990" t="e">
            <v>#N/A</v>
          </cell>
          <cell r="I1990" t="str">
            <v>320TONERUK</v>
          </cell>
        </row>
        <row r="1991">
          <cell r="D1991">
            <v>885137</v>
          </cell>
          <cell r="E1991" t="str">
            <v>EUR</v>
          </cell>
          <cell r="F1991">
            <v>97.05</v>
          </cell>
          <cell r="G1991" t="e">
            <v>#N/A</v>
          </cell>
          <cell r="H1991" t="e">
            <v>#N/A</v>
          </cell>
          <cell r="I1991" t="str">
            <v>3200DTONFRA</v>
          </cell>
        </row>
        <row r="1992">
          <cell r="D1992">
            <v>885180</v>
          </cell>
          <cell r="E1992" t="str">
            <v>EUR</v>
          </cell>
          <cell r="F1992">
            <v>108.04</v>
          </cell>
          <cell r="G1992" t="e">
            <v>#N/A</v>
          </cell>
          <cell r="H1992" t="e">
            <v>#N/A</v>
          </cell>
          <cell r="I1992" t="str">
            <v>3200DTONUK</v>
          </cell>
        </row>
        <row r="1993">
          <cell r="D1993">
            <v>888063</v>
          </cell>
          <cell r="E1993" t="str">
            <v>EUR</v>
          </cell>
          <cell r="F1993">
            <v>20.74</v>
          </cell>
          <cell r="G1993" t="e">
            <v>#N/A</v>
          </cell>
          <cell r="H1993" t="e">
            <v>#N/A</v>
          </cell>
          <cell r="I1993" t="str">
            <v>3205DTONER</v>
          </cell>
        </row>
        <row r="1994">
          <cell r="D1994">
            <v>885251</v>
          </cell>
          <cell r="E1994" t="str">
            <v>EUR</v>
          </cell>
          <cell r="F1994">
            <v>20.74</v>
          </cell>
          <cell r="G1994" t="e">
            <v>#N/A</v>
          </cell>
          <cell r="H1994" t="e">
            <v>#N/A</v>
          </cell>
          <cell r="I1994" t="str">
            <v>3205DTONFRA</v>
          </cell>
        </row>
        <row r="1995">
          <cell r="D1995">
            <v>889415</v>
          </cell>
          <cell r="E1995" t="str">
            <v>EUR</v>
          </cell>
          <cell r="F1995">
            <v>34.020000000000003</v>
          </cell>
          <cell r="G1995" t="e">
            <v>#N/A</v>
          </cell>
          <cell r="H1995" t="e">
            <v>#N/A</v>
          </cell>
          <cell r="I1995" t="str">
            <v>3300DEVUSA</v>
          </cell>
        </row>
        <row r="1996">
          <cell r="D1996">
            <v>889411</v>
          </cell>
          <cell r="E1996" t="str">
            <v>EUR</v>
          </cell>
          <cell r="F1996">
            <v>43.24</v>
          </cell>
          <cell r="G1996" t="e">
            <v>#N/A</v>
          </cell>
          <cell r="H1996" t="e">
            <v>#N/A</v>
          </cell>
          <cell r="I1996" t="str">
            <v>3300TONERUK</v>
          </cell>
        </row>
        <row r="1997">
          <cell r="D1997">
            <v>887133</v>
          </cell>
          <cell r="E1997" t="str">
            <v>EUR</v>
          </cell>
          <cell r="F1997">
            <v>49.15</v>
          </cell>
          <cell r="G1997" t="e">
            <v>#N/A</v>
          </cell>
          <cell r="H1997" t="e">
            <v>#N/A</v>
          </cell>
          <cell r="I1997" t="str">
            <v>4000DEVUSA</v>
          </cell>
        </row>
        <row r="1998">
          <cell r="D1998">
            <v>887621</v>
          </cell>
          <cell r="E1998" t="str">
            <v>EUR</v>
          </cell>
          <cell r="F1998">
            <v>36.85</v>
          </cell>
          <cell r="G1998" t="e">
            <v>#N/A</v>
          </cell>
          <cell r="H1998" t="e">
            <v>#N/A</v>
          </cell>
          <cell r="I1998" t="str">
            <v>4000TONERUK</v>
          </cell>
        </row>
        <row r="1999">
          <cell r="D1999">
            <v>887564</v>
          </cell>
          <cell r="E1999" t="str">
            <v>EUR</v>
          </cell>
          <cell r="F1999">
            <v>30.77</v>
          </cell>
          <cell r="G1999" t="str">
            <v>EUR</v>
          </cell>
          <cell r="H1999" t="e">
            <v>#VALUE!</v>
          </cell>
          <cell r="I1999" t="str">
            <v>4418DEVBLA</v>
          </cell>
        </row>
        <row r="2000">
          <cell r="D2000">
            <v>887566</v>
          </cell>
          <cell r="E2000" t="str">
            <v>EUR</v>
          </cell>
          <cell r="F2000">
            <v>63.82</v>
          </cell>
          <cell r="G2000" t="str">
            <v>EUR</v>
          </cell>
          <cell r="H2000" t="e">
            <v>#VALUE!</v>
          </cell>
          <cell r="I2000" t="str">
            <v>4418DEVBLU</v>
          </cell>
        </row>
        <row r="2001">
          <cell r="D2001">
            <v>887567</v>
          </cell>
          <cell r="E2001" t="str">
            <v>EUR</v>
          </cell>
          <cell r="F2001">
            <v>63.82</v>
          </cell>
          <cell r="G2001" t="str">
            <v>EUR</v>
          </cell>
          <cell r="H2001" t="e">
            <v>#VALUE!</v>
          </cell>
          <cell r="I2001" t="str">
            <v>4418DEVGRE</v>
          </cell>
        </row>
        <row r="2002">
          <cell r="D2002">
            <v>887565</v>
          </cell>
          <cell r="E2002" t="str">
            <v>EUR</v>
          </cell>
          <cell r="F2002">
            <v>60.65</v>
          </cell>
          <cell r="G2002" t="str">
            <v>EUR</v>
          </cell>
          <cell r="H2002" t="e">
            <v>#VALUE!</v>
          </cell>
          <cell r="I2002" t="str">
            <v>4418DEVRED</v>
          </cell>
        </row>
        <row r="2003">
          <cell r="D2003">
            <v>887610</v>
          </cell>
          <cell r="E2003" t="str">
            <v>EUR</v>
          </cell>
          <cell r="F2003">
            <v>37.83</v>
          </cell>
          <cell r="G2003" t="e">
            <v>#N/A</v>
          </cell>
          <cell r="H2003" t="e">
            <v>#N/A</v>
          </cell>
          <cell r="I2003" t="str">
            <v>4418TONBLAUK</v>
          </cell>
        </row>
        <row r="2004">
          <cell r="D2004">
            <v>887530</v>
          </cell>
          <cell r="E2004" t="str">
            <v>EUR</v>
          </cell>
          <cell r="F2004">
            <v>43.13</v>
          </cell>
          <cell r="G2004" t="str">
            <v>EUR</v>
          </cell>
          <cell r="H2004" t="e">
            <v>#VALUE!</v>
          </cell>
          <cell r="I2004" t="str">
            <v>4418TONERBLU</v>
          </cell>
        </row>
        <row r="2005">
          <cell r="D2005">
            <v>887533</v>
          </cell>
          <cell r="E2005" t="str">
            <v>EUR</v>
          </cell>
          <cell r="F2005">
            <v>43.13</v>
          </cell>
          <cell r="G2005" t="str">
            <v>EUR</v>
          </cell>
          <cell r="H2005" t="e">
            <v>#VALUE!</v>
          </cell>
          <cell r="I2005" t="str">
            <v>4418TONERGRE</v>
          </cell>
        </row>
        <row r="2006">
          <cell r="D2006">
            <v>887527</v>
          </cell>
          <cell r="E2006" t="str">
            <v>EUR</v>
          </cell>
          <cell r="F2006">
            <v>43.13</v>
          </cell>
          <cell r="G2006" t="str">
            <v>EUR</v>
          </cell>
          <cell r="H2006" t="e">
            <v>#VALUE!</v>
          </cell>
          <cell r="I2006" t="str">
            <v>4418TONERRED</v>
          </cell>
        </row>
        <row r="2007">
          <cell r="D2007">
            <v>887704</v>
          </cell>
          <cell r="E2007" t="str">
            <v>EUR</v>
          </cell>
          <cell r="F2007">
            <v>43.13</v>
          </cell>
          <cell r="G2007" t="str">
            <v>EUR</v>
          </cell>
          <cell r="H2007" t="e">
            <v>#VALUE!</v>
          </cell>
          <cell r="I2007" t="str">
            <v>4422TONER</v>
          </cell>
        </row>
        <row r="2008">
          <cell r="D2008">
            <v>887459</v>
          </cell>
          <cell r="E2008" t="str">
            <v>EUR</v>
          </cell>
          <cell r="F2008">
            <v>128.80000000000001</v>
          </cell>
          <cell r="G2008" t="str">
            <v>EUR</v>
          </cell>
          <cell r="H2008" t="e">
            <v>#VALUE!</v>
          </cell>
          <cell r="I2008" t="str">
            <v>4460TONERBLA</v>
          </cell>
        </row>
        <row r="2009">
          <cell r="D2009">
            <v>887453</v>
          </cell>
          <cell r="E2009" t="str">
            <v>EUR</v>
          </cell>
          <cell r="F2009">
            <v>37.1</v>
          </cell>
          <cell r="G2009" t="str">
            <v>EUR</v>
          </cell>
          <cell r="H2009" t="e">
            <v>#VALUE!</v>
          </cell>
          <cell r="I2009" t="str">
            <v>4460TONERBLU</v>
          </cell>
        </row>
        <row r="2010">
          <cell r="D2010">
            <v>887454</v>
          </cell>
          <cell r="E2010" t="str">
            <v>EUR</v>
          </cell>
          <cell r="F2010">
            <v>37.1</v>
          </cell>
          <cell r="G2010" t="str">
            <v>EUR</v>
          </cell>
          <cell r="H2010" t="e">
            <v>#VALUE!</v>
          </cell>
          <cell r="I2010" t="str">
            <v>4460TONERGRE</v>
          </cell>
        </row>
        <row r="2011">
          <cell r="D2011">
            <v>887452</v>
          </cell>
          <cell r="E2011" t="str">
            <v>EUR</v>
          </cell>
          <cell r="F2011">
            <v>37.1</v>
          </cell>
          <cell r="G2011" t="str">
            <v>EUR</v>
          </cell>
          <cell r="H2011" t="e">
            <v>#VALUE!</v>
          </cell>
          <cell r="I2011" t="str">
            <v>4460TONERRED</v>
          </cell>
        </row>
        <row r="2012">
          <cell r="D2012">
            <v>889490</v>
          </cell>
          <cell r="E2012" t="str">
            <v>EUR</v>
          </cell>
          <cell r="F2012">
            <v>31.21</v>
          </cell>
          <cell r="G2012" t="e">
            <v>#N/A</v>
          </cell>
          <cell r="H2012" t="e">
            <v>#N/A</v>
          </cell>
          <cell r="I2012" t="str">
            <v>450TONERUK</v>
          </cell>
        </row>
        <row r="2013">
          <cell r="D2013">
            <v>887622</v>
          </cell>
          <cell r="E2013" t="str">
            <v>EUR</v>
          </cell>
          <cell r="F2013">
            <v>33.9</v>
          </cell>
          <cell r="G2013" t="e">
            <v>#N/A</v>
          </cell>
          <cell r="H2013" t="e">
            <v>#N/A</v>
          </cell>
          <cell r="I2013" t="str">
            <v>5000TONERUK</v>
          </cell>
        </row>
        <row r="2014">
          <cell r="D2014">
            <v>887655</v>
          </cell>
          <cell r="E2014" t="str">
            <v>EUR</v>
          </cell>
          <cell r="F2014">
            <v>56.51</v>
          </cell>
          <cell r="G2014" t="e">
            <v>#N/A</v>
          </cell>
          <cell r="H2014" t="e">
            <v>#N/A</v>
          </cell>
          <cell r="I2014" t="str">
            <v>5010TONBLUK</v>
          </cell>
        </row>
        <row r="2015">
          <cell r="D2015">
            <v>889292</v>
          </cell>
          <cell r="E2015" t="str">
            <v>EUR</v>
          </cell>
          <cell r="F2015">
            <v>23.56</v>
          </cell>
          <cell r="G2015" t="str">
            <v>EUR</v>
          </cell>
          <cell r="H2015" t="e">
            <v>#VALUE!</v>
          </cell>
          <cell r="I2015" t="str">
            <v>510DEVBLU</v>
          </cell>
        </row>
        <row r="2016">
          <cell r="D2016">
            <v>889289</v>
          </cell>
          <cell r="E2016" t="str">
            <v>EUR</v>
          </cell>
          <cell r="F2016">
            <v>23.56</v>
          </cell>
          <cell r="G2016" t="str">
            <v>EUR</v>
          </cell>
          <cell r="H2016" t="e">
            <v>#VALUE!</v>
          </cell>
          <cell r="I2016" t="str">
            <v>510DEVRED</v>
          </cell>
        </row>
        <row r="2017">
          <cell r="D2017">
            <v>887616</v>
          </cell>
          <cell r="E2017" t="str">
            <v>EUR</v>
          </cell>
          <cell r="F2017">
            <v>37.54</v>
          </cell>
          <cell r="G2017" t="e">
            <v>#N/A</v>
          </cell>
          <cell r="H2017" t="e">
            <v>#N/A</v>
          </cell>
          <cell r="I2017" t="str">
            <v>510TONBLAUK</v>
          </cell>
        </row>
        <row r="2018">
          <cell r="D2018">
            <v>889283</v>
          </cell>
          <cell r="E2018" t="str">
            <v>EUR</v>
          </cell>
          <cell r="F2018">
            <v>42.03</v>
          </cell>
          <cell r="G2018" t="str">
            <v>EUR</v>
          </cell>
          <cell r="H2018" t="e">
            <v>#VALUE!</v>
          </cell>
          <cell r="I2018" t="str">
            <v>510TONERBLU</v>
          </cell>
        </row>
        <row r="2019">
          <cell r="D2019">
            <v>889286</v>
          </cell>
          <cell r="E2019" t="str">
            <v>EUR</v>
          </cell>
          <cell r="F2019">
            <v>42.03</v>
          </cell>
          <cell r="G2019" t="str">
            <v>EUR</v>
          </cell>
          <cell r="H2019" t="e">
            <v>#VALUE!</v>
          </cell>
          <cell r="I2019" t="str">
            <v>510TONERGRE</v>
          </cell>
        </row>
        <row r="2020">
          <cell r="D2020">
            <v>889280</v>
          </cell>
          <cell r="E2020" t="str">
            <v>EUR</v>
          </cell>
          <cell r="F2020">
            <v>42.03</v>
          </cell>
          <cell r="G2020" t="str">
            <v>EUR</v>
          </cell>
          <cell r="H2020" t="e">
            <v>#VALUE!</v>
          </cell>
          <cell r="I2020" t="str">
            <v>510TONERRED</v>
          </cell>
        </row>
        <row r="2021">
          <cell r="D2021">
            <v>887741</v>
          </cell>
          <cell r="E2021" t="str">
            <v>EUR</v>
          </cell>
          <cell r="F2021">
            <v>124.82</v>
          </cell>
          <cell r="G2021" t="e">
            <v>#N/A</v>
          </cell>
          <cell r="H2021" t="e">
            <v>#N/A</v>
          </cell>
          <cell r="I2021" t="str">
            <v>5200DTONER</v>
          </cell>
        </row>
        <row r="2022">
          <cell r="D2022">
            <v>885190</v>
          </cell>
          <cell r="E2022" t="str">
            <v>EUR</v>
          </cell>
          <cell r="F2022">
            <v>117.3</v>
          </cell>
          <cell r="G2022" t="e">
            <v>#N/A</v>
          </cell>
          <cell r="H2022" t="e">
            <v>#N/A</v>
          </cell>
          <cell r="I2022" t="str">
            <v>5200DTONFRA</v>
          </cell>
        </row>
        <row r="2023">
          <cell r="D2023">
            <v>887995</v>
          </cell>
          <cell r="E2023" t="str">
            <v>EUR</v>
          </cell>
          <cell r="F2023">
            <v>123.32</v>
          </cell>
          <cell r="G2023" t="e">
            <v>#N/A</v>
          </cell>
          <cell r="H2023" t="e">
            <v>#N/A</v>
          </cell>
          <cell r="I2023" t="str">
            <v>5205DTONER</v>
          </cell>
        </row>
        <row r="2024">
          <cell r="D2024">
            <v>885241</v>
          </cell>
          <cell r="E2024" t="str">
            <v>EUR</v>
          </cell>
          <cell r="F2024">
            <v>123.32</v>
          </cell>
          <cell r="G2024" t="e">
            <v>#N/A</v>
          </cell>
          <cell r="H2024" t="e">
            <v>#N/A</v>
          </cell>
          <cell r="I2024" t="str">
            <v>5205DTONER2</v>
          </cell>
        </row>
        <row r="2025">
          <cell r="D2025">
            <v>887642</v>
          </cell>
          <cell r="E2025" t="str">
            <v>EUR</v>
          </cell>
          <cell r="F2025">
            <v>113.22</v>
          </cell>
          <cell r="G2025" t="e">
            <v>#N/A</v>
          </cell>
          <cell r="H2025" t="e">
            <v>#N/A</v>
          </cell>
          <cell r="I2025" t="str">
            <v>610TONERUK</v>
          </cell>
        </row>
        <row r="2026">
          <cell r="D2026">
            <v>885274</v>
          </cell>
          <cell r="E2026" t="str">
            <v>EUR</v>
          </cell>
          <cell r="F2026">
            <v>29.79</v>
          </cell>
          <cell r="G2026" t="e">
            <v>#N/A</v>
          </cell>
          <cell r="H2026" t="e">
            <v>#N/A</v>
          </cell>
          <cell r="I2026" t="str">
            <v>6210DTONER</v>
          </cell>
        </row>
        <row r="2027">
          <cell r="D2027">
            <v>887576</v>
          </cell>
          <cell r="E2027" t="str">
            <v>EUR</v>
          </cell>
          <cell r="F2027">
            <v>63.8</v>
          </cell>
          <cell r="G2027" t="str">
            <v>EUR</v>
          </cell>
          <cell r="H2027" t="e">
            <v>#VALUE!</v>
          </cell>
          <cell r="I2027" t="str">
            <v>670DEV</v>
          </cell>
        </row>
        <row r="2028">
          <cell r="D2028">
            <v>887571</v>
          </cell>
          <cell r="E2028" t="str">
            <v>EUR</v>
          </cell>
          <cell r="F2028">
            <v>45.23</v>
          </cell>
          <cell r="G2028" t="e">
            <v>#N/A</v>
          </cell>
          <cell r="H2028" t="e">
            <v>#N/A</v>
          </cell>
          <cell r="I2028" t="str">
            <v>670TONERUSA</v>
          </cell>
        </row>
        <row r="2029">
          <cell r="D2029">
            <v>887656</v>
          </cell>
          <cell r="E2029" t="str">
            <v>EUR</v>
          </cell>
          <cell r="F2029">
            <v>69.62</v>
          </cell>
          <cell r="G2029" t="e">
            <v>#N/A</v>
          </cell>
          <cell r="H2029" t="e">
            <v>#N/A</v>
          </cell>
          <cell r="I2029" t="str">
            <v>7770TONERUK</v>
          </cell>
        </row>
        <row r="2030">
          <cell r="D2030">
            <v>887447</v>
          </cell>
          <cell r="E2030" t="str">
            <v>EUR</v>
          </cell>
          <cell r="F2030">
            <v>468.88</v>
          </cell>
          <cell r="G2030" t="str">
            <v>EUR</v>
          </cell>
          <cell r="H2030" t="e">
            <v>#VALUE!</v>
          </cell>
          <cell r="I2030" t="str">
            <v>800TONERBLA</v>
          </cell>
        </row>
        <row r="2031">
          <cell r="D2031">
            <v>889553</v>
          </cell>
          <cell r="E2031" t="str">
            <v>EUR</v>
          </cell>
          <cell r="F2031">
            <v>30.28</v>
          </cell>
          <cell r="G2031" t="str">
            <v>EUR</v>
          </cell>
          <cell r="H2031" t="e">
            <v>#VALUE!</v>
          </cell>
          <cell r="I2031" t="str">
            <v>8015DEVBLA</v>
          </cell>
        </row>
        <row r="2032">
          <cell r="D2032">
            <v>889562</v>
          </cell>
          <cell r="E2032" t="str">
            <v>EUR</v>
          </cell>
          <cell r="F2032">
            <v>30.28</v>
          </cell>
          <cell r="G2032" t="str">
            <v>EUR</v>
          </cell>
          <cell r="H2032" t="e">
            <v>#VALUE!</v>
          </cell>
          <cell r="I2032" t="str">
            <v>8015DEVCYN</v>
          </cell>
        </row>
        <row r="2033">
          <cell r="D2033">
            <v>889556</v>
          </cell>
          <cell r="E2033" t="str">
            <v>EUR</v>
          </cell>
          <cell r="F2033">
            <v>30.28</v>
          </cell>
          <cell r="G2033" t="str">
            <v>EUR</v>
          </cell>
          <cell r="H2033" t="e">
            <v>#VALUE!</v>
          </cell>
          <cell r="I2033" t="str">
            <v>8015DEVYLW</v>
          </cell>
        </row>
        <row r="2034">
          <cell r="D2034">
            <v>889541</v>
          </cell>
          <cell r="E2034" t="str">
            <v>EUR</v>
          </cell>
          <cell r="F2034">
            <v>173.12</v>
          </cell>
          <cell r="G2034" t="str">
            <v>EUR</v>
          </cell>
          <cell r="H2034" t="e">
            <v>#VALUE!</v>
          </cell>
          <cell r="I2034" t="str">
            <v>8015TONBLA</v>
          </cell>
        </row>
        <row r="2035">
          <cell r="D2035">
            <v>889550</v>
          </cell>
          <cell r="E2035" t="str">
            <v>EUR</v>
          </cell>
          <cell r="F2035">
            <v>173.12</v>
          </cell>
          <cell r="G2035" t="str">
            <v>EUR</v>
          </cell>
          <cell r="H2035" t="e">
            <v>#VALUE!</v>
          </cell>
          <cell r="I2035" t="str">
            <v>8015TONCYN</v>
          </cell>
        </row>
        <row r="2036">
          <cell r="D2036">
            <v>889547</v>
          </cell>
          <cell r="E2036" t="str">
            <v>EUR</v>
          </cell>
          <cell r="F2036">
            <v>173.12</v>
          </cell>
          <cell r="G2036" t="str">
            <v>EUR</v>
          </cell>
          <cell r="H2036" t="e">
            <v>#VALUE!</v>
          </cell>
          <cell r="I2036" t="str">
            <v>8015TONMAG</v>
          </cell>
        </row>
        <row r="2037">
          <cell r="D2037">
            <v>889544</v>
          </cell>
          <cell r="E2037" t="str">
            <v>EUR</v>
          </cell>
          <cell r="F2037">
            <v>173.12</v>
          </cell>
          <cell r="G2037" t="str">
            <v>EUR</v>
          </cell>
          <cell r="H2037" t="e">
            <v>#VALUE!</v>
          </cell>
          <cell r="I2037" t="str">
            <v>8015TONYLW</v>
          </cell>
        </row>
        <row r="2038">
          <cell r="D2038">
            <v>887188</v>
          </cell>
          <cell r="E2038" t="str">
            <v>EUR</v>
          </cell>
          <cell r="F2038">
            <v>153.5</v>
          </cell>
          <cell r="G2038" t="str">
            <v>EUR</v>
          </cell>
          <cell r="H2038" t="e">
            <v>#VALUE!</v>
          </cell>
          <cell r="I2038" t="str">
            <v>820DEV</v>
          </cell>
        </row>
        <row r="2039">
          <cell r="D2039">
            <v>888009</v>
          </cell>
          <cell r="E2039" t="str">
            <v>EUR</v>
          </cell>
          <cell r="F2039">
            <v>131.97999999999999</v>
          </cell>
          <cell r="G2039" t="str">
            <v>EUR</v>
          </cell>
          <cell r="H2039" t="e">
            <v>#VALUE!</v>
          </cell>
          <cell r="I2039" t="str">
            <v>8200DTONER</v>
          </cell>
        </row>
        <row r="2040">
          <cell r="D2040">
            <v>888157</v>
          </cell>
          <cell r="E2040" t="str">
            <v>EUR</v>
          </cell>
          <cell r="F2040">
            <v>34.229999999999997</v>
          </cell>
          <cell r="G2040" t="e">
            <v>#N/A</v>
          </cell>
          <cell r="H2040" t="e">
            <v>#N/A</v>
          </cell>
          <cell r="I2040" t="str">
            <v>8205DTONER</v>
          </cell>
        </row>
        <row r="2041">
          <cell r="D2041">
            <v>885344</v>
          </cell>
          <cell r="E2041" t="str">
            <v>EUR</v>
          </cell>
          <cell r="F2041">
            <v>34.229999999999997</v>
          </cell>
          <cell r="G2041" t="e">
            <v>#N/A</v>
          </cell>
          <cell r="H2041" t="e">
            <v>#N/A</v>
          </cell>
          <cell r="I2041" t="str">
            <v>8205DTONFRA</v>
          </cell>
        </row>
        <row r="2042">
          <cell r="D2042">
            <v>889580</v>
          </cell>
          <cell r="E2042" t="str">
            <v>EUR</v>
          </cell>
          <cell r="F2042">
            <v>138.01</v>
          </cell>
          <cell r="G2042" t="str">
            <v>EUR</v>
          </cell>
          <cell r="H2042" t="e">
            <v>#VALUE!</v>
          </cell>
          <cell r="I2042" t="str">
            <v>8800DEVBLA</v>
          </cell>
        </row>
        <row r="2043">
          <cell r="D2043">
            <v>887695</v>
          </cell>
          <cell r="E2043" t="str">
            <v>EUR</v>
          </cell>
          <cell r="F2043">
            <v>238.17</v>
          </cell>
          <cell r="G2043" t="e">
            <v>#N/A</v>
          </cell>
          <cell r="H2043" t="e">
            <v>#N/A</v>
          </cell>
          <cell r="I2043" t="str">
            <v>8800TONERUK</v>
          </cell>
        </row>
        <row r="2044">
          <cell r="D2044">
            <v>209890</v>
          </cell>
          <cell r="E2044" t="str">
            <v>EUR</v>
          </cell>
          <cell r="F2044">
            <v>104.21</v>
          </cell>
          <cell r="G2044" t="str">
            <v>EUR</v>
          </cell>
          <cell r="H2044" t="e">
            <v>#VALUE!</v>
          </cell>
          <cell r="I2044" t="str">
            <v>AF251MAST</v>
          </cell>
        </row>
        <row r="2045">
          <cell r="D2045">
            <v>400398</v>
          </cell>
          <cell r="E2045" t="str">
            <v>EUR</v>
          </cell>
          <cell r="F2045">
            <v>57.15</v>
          </cell>
          <cell r="G2045" t="str">
            <v>EUR</v>
          </cell>
          <cell r="H2045" t="e">
            <v>#VALUE!</v>
          </cell>
          <cell r="I2045" t="str">
            <v>AP1400TONER</v>
          </cell>
        </row>
        <row r="2046">
          <cell r="D2046">
            <v>923961</v>
          </cell>
          <cell r="E2046" t="str">
            <v>EUR</v>
          </cell>
          <cell r="F2046">
            <v>107.99</v>
          </cell>
          <cell r="G2046" t="e">
            <v>#N/A</v>
          </cell>
          <cell r="H2046" t="e">
            <v>#N/A</v>
          </cell>
          <cell r="I2046" t="str">
            <v>AP1610TONER</v>
          </cell>
        </row>
        <row r="2047">
          <cell r="D2047">
            <v>400679</v>
          </cell>
          <cell r="E2047" t="str">
            <v>EUR</v>
          </cell>
          <cell r="F2047">
            <v>143.82</v>
          </cell>
          <cell r="G2047" t="e">
            <v>#N/A</v>
          </cell>
          <cell r="H2047" t="e">
            <v>#N/A</v>
          </cell>
          <cell r="I2047" t="str">
            <v>AP200TONCHN</v>
          </cell>
        </row>
        <row r="2048">
          <cell r="D2048">
            <v>400618</v>
          </cell>
          <cell r="E2048" t="str">
            <v>EUR</v>
          </cell>
          <cell r="F2048">
            <v>147.27000000000001</v>
          </cell>
          <cell r="G2048" t="e">
            <v>#N/A</v>
          </cell>
          <cell r="H2048" t="e">
            <v>#N/A</v>
          </cell>
          <cell r="I2048" t="str">
            <v>AP200TONER</v>
          </cell>
        </row>
        <row r="2049">
          <cell r="D2049">
            <v>400395</v>
          </cell>
          <cell r="E2049" t="str">
            <v>EUR</v>
          </cell>
          <cell r="F2049">
            <v>95.43</v>
          </cell>
          <cell r="G2049" t="str">
            <v>EUR</v>
          </cell>
          <cell r="H2049" t="e">
            <v>#VALUE!</v>
          </cell>
          <cell r="I2049" t="str">
            <v>AP2000TONER</v>
          </cell>
        </row>
        <row r="2050">
          <cell r="D2050">
            <v>400321</v>
          </cell>
          <cell r="E2050" t="str">
            <v>EUR</v>
          </cell>
          <cell r="F2050">
            <v>25.22</v>
          </cell>
          <cell r="G2050" t="str">
            <v>EUR</v>
          </cell>
          <cell r="H2050" t="e">
            <v>#VALUE!</v>
          </cell>
          <cell r="I2050" t="str">
            <v>AP204OIL</v>
          </cell>
        </row>
        <row r="2051">
          <cell r="D2051">
            <v>400320</v>
          </cell>
          <cell r="E2051" t="str">
            <v>EUR</v>
          </cell>
          <cell r="F2051">
            <v>136.46</v>
          </cell>
          <cell r="G2051" t="str">
            <v>EUR</v>
          </cell>
          <cell r="H2051" t="e">
            <v>#VALUE!</v>
          </cell>
          <cell r="I2051" t="str">
            <v>AP204PCU</v>
          </cell>
        </row>
        <row r="2052">
          <cell r="D2052">
            <v>400316</v>
          </cell>
          <cell r="E2052" t="str">
            <v>EUR</v>
          </cell>
          <cell r="F2052">
            <v>63.16</v>
          </cell>
          <cell r="G2052" t="str">
            <v>EUR</v>
          </cell>
          <cell r="H2052" t="e">
            <v>#VALUE!</v>
          </cell>
          <cell r="I2052" t="str">
            <v>AP204TONBLA</v>
          </cell>
        </row>
        <row r="2053">
          <cell r="D2053">
            <v>400317</v>
          </cell>
          <cell r="E2053" t="str">
            <v>EUR</v>
          </cell>
          <cell r="F2053">
            <v>56.38</v>
          </cell>
          <cell r="G2053" t="str">
            <v>EUR</v>
          </cell>
          <cell r="H2053" t="e">
            <v>#VALUE!</v>
          </cell>
          <cell r="I2053" t="str">
            <v>AP204TONCYN</v>
          </cell>
        </row>
        <row r="2054">
          <cell r="D2054">
            <v>400318</v>
          </cell>
          <cell r="E2054" t="str">
            <v>EUR</v>
          </cell>
          <cell r="F2054">
            <v>56.38</v>
          </cell>
          <cell r="G2054" t="str">
            <v>EUR</v>
          </cell>
          <cell r="H2054" t="e">
            <v>#VALUE!</v>
          </cell>
          <cell r="I2054" t="str">
            <v>AP204TONMAG</v>
          </cell>
        </row>
        <row r="2055">
          <cell r="D2055">
            <v>400319</v>
          </cell>
          <cell r="E2055" t="str">
            <v>EUR</v>
          </cell>
          <cell r="F2055">
            <v>56.38</v>
          </cell>
          <cell r="G2055" t="str">
            <v>EUR</v>
          </cell>
          <cell r="H2055" t="e">
            <v>#VALUE!</v>
          </cell>
          <cell r="I2055" t="str">
            <v>AP204TONYLW</v>
          </cell>
        </row>
        <row r="2056">
          <cell r="D2056">
            <v>400322</v>
          </cell>
          <cell r="E2056" t="str">
            <v>EUR</v>
          </cell>
          <cell r="F2056">
            <v>8.2799999999999994</v>
          </cell>
          <cell r="G2056" t="str">
            <v>EUR</v>
          </cell>
          <cell r="H2056" t="e">
            <v>#VALUE!</v>
          </cell>
          <cell r="I2056" t="str">
            <v>AP204WASTE</v>
          </cell>
        </row>
        <row r="2057">
          <cell r="D2057">
            <v>400514</v>
          </cell>
          <cell r="E2057" t="str">
            <v>EUR</v>
          </cell>
          <cell r="F2057">
            <v>25.32</v>
          </cell>
          <cell r="G2057" t="str">
            <v>EUR</v>
          </cell>
          <cell r="H2057" t="e">
            <v>#VALUE!</v>
          </cell>
          <cell r="I2057" t="str">
            <v>AP206FUSER</v>
          </cell>
        </row>
        <row r="2058">
          <cell r="D2058">
            <v>400511</v>
          </cell>
          <cell r="E2058" t="str">
            <v>EUR</v>
          </cell>
          <cell r="F2058">
            <v>151.63</v>
          </cell>
          <cell r="G2058" t="str">
            <v>EUR</v>
          </cell>
          <cell r="H2058" t="e">
            <v>#VALUE!</v>
          </cell>
          <cell r="I2058" t="str">
            <v>AP206PCU</v>
          </cell>
        </row>
        <row r="2059">
          <cell r="D2059">
            <v>400507</v>
          </cell>
          <cell r="E2059" t="str">
            <v>EUR</v>
          </cell>
          <cell r="F2059">
            <v>73.680000000000007</v>
          </cell>
          <cell r="G2059" t="str">
            <v>EUR</v>
          </cell>
          <cell r="H2059" t="e">
            <v>#VALUE!</v>
          </cell>
          <cell r="I2059" t="str">
            <v>AP206TONBLA</v>
          </cell>
        </row>
        <row r="2060">
          <cell r="D2060">
            <v>400508</v>
          </cell>
          <cell r="E2060" t="str">
            <v>EUR</v>
          </cell>
          <cell r="F2060">
            <v>69.739999999999995</v>
          </cell>
          <cell r="G2060" t="str">
            <v>EUR</v>
          </cell>
          <cell r="H2060" t="e">
            <v>#VALUE!</v>
          </cell>
          <cell r="I2060" t="str">
            <v>AP206TONCYN</v>
          </cell>
        </row>
        <row r="2061">
          <cell r="D2061">
            <v>400509</v>
          </cell>
          <cell r="E2061" t="str">
            <v>EUR</v>
          </cell>
          <cell r="F2061">
            <v>69.739999999999995</v>
          </cell>
          <cell r="G2061" t="str">
            <v>EUR</v>
          </cell>
          <cell r="H2061" t="e">
            <v>#VALUE!</v>
          </cell>
          <cell r="I2061" t="str">
            <v>AP206TONMAG</v>
          </cell>
        </row>
        <row r="2062">
          <cell r="D2062">
            <v>400510</v>
          </cell>
          <cell r="E2062" t="str">
            <v>EUR</v>
          </cell>
          <cell r="F2062">
            <v>69.739999999999995</v>
          </cell>
          <cell r="G2062" t="str">
            <v>EUR</v>
          </cell>
          <cell r="H2062" t="e">
            <v>#VALUE!</v>
          </cell>
          <cell r="I2062" t="str">
            <v>AP206TONYLW</v>
          </cell>
        </row>
        <row r="2063">
          <cell r="D2063">
            <v>400513</v>
          </cell>
          <cell r="E2063" t="str">
            <v>EUR</v>
          </cell>
          <cell r="F2063">
            <v>8.2799999999999994</v>
          </cell>
          <cell r="G2063" t="e">
            <v>#N/A</v>
          </cell>
          <cell r="H2063" t="e">
            <v>#N/A</v>
          </cell>
          <cell r="I2063" t="str">
            <v>AP206WASTE</v>
          </cell>
        </row>
        <row r="2064">
          <cell r="D2064">
            <v>400760</v>
          </cell>
          <cell r="E2064" t="str">
            <v>EUR</v>
          </cell>
          <cell r="F2064">
            <v>147.27000000000001</v>
          </cell>
          <cell r="G2064" t="str">
            <v>EUR</v>
          </cell>
          <cell r="H2064" t="e">
            <v>#VALUE!</v>
          </cell>
          <cell r="I2064" t="str">
            <v>AP215TONCHN</v>
          </cell>
        </row>
        <row r="2065">
          <cell r="D2065">
            <v>400342</v>
          </cell>
          <cell r="E2065" t="str">
            <v>EUR</v>
          </cell>
          <cell r="F2065">
            <v>17.45</v>
          </cell>
          <cell r="G2065" t="e">
            <v>#N/A</v>
          </cell>
          <cell r="H2065" t="e">
            <v>#N/A</v>
          </cell>
          <cell r="I2065" t="str">
            <v>AP305OIL</v>
          </cell>
        </row>
        <row r="2066">
          <cell r="D2066">
            <v>400344</v>
          </cell>
          <cell r="E2066" t="str">
            <v>EUR</v>
          </cell>
          <cell r="F2066">
            <v>231.68</v>
          </cell>
          <cell r="G2066" t="str">
            <v>EUR</v>
          </cell>
          <cell r="H2066" t="e">
            <v>#VALUE!</v>
          </cell>
          <cell r="I2066" t="str">
            <v>AP305PCU</v>
          </cell>
        </row>
        <row r="2067">
          <cell r="D2067">
            <v>400338</v>
          </cell>
          <cell r="E2067" t="str">
            <v>EUR</v>
          </cell>
          <cell r="F2067">
            <v>81</v>
          </cell>
          <cell r="G2067" t="e">
            <v>#N/A</v>
          </cell>
          <cell r="H2067" t="e">
            <v>#N/A</v>
          </cell>
          <cell r="I2067" t="str">
            <v>AP305TONBLA</v>
          </cell>
        </row>
        <row r="2068">
          <cell r="D2068">
            <v>400339</v>
          </cell>
          <cell r="E2068" t="str">
            <v>EUR</v>
          </cell>
          <cell r="F2068">
            <v>100</v>
          </cell>
          <cell r="G2068" t="e">
            <v>#N/A</v>
          </cell>
          <cell r="H2068" t="e">
            <v>#N/A</v>
          </cell>
          <cell r="I2068" t="str">
            <v>AP305TONCYN</v>
          </cell>
        </row>
        <row r="2069">
          <cell r="D2069">
            <v>400340</v>
          </cell>
          <cell r="E2069" t="str">
            <v>EUR</v>
          </cell>
          <cell r="F2069">
            <v>100</v>
          </cell>
          <cell r="G2069" t="e">
            <v>#N/A</v>
          </cell>
          <cell r="H2069" t="e">
            <v>#N/A</v>
          </cell>
          <cell r="I2069" t="str">
            <v>AP305TONMAG</v>
          </cell>
        </row>
        <row r="2070">
          <cell r="D2070">
            <v>400341</v>
          </cell>
          <cell r="E2070" t="str">
            <v>EUR</v>
          </cell>
          <cell r="F2070">
            <v>100</v>
          </cell>
          <cell r="G2070" t="e">
            <v>#N/A</v>
          </cell>
          <cell r="H2070" t="e">
            <v>#N/A</v>
          </cell>
          <cell r="I2070" t="str">
            <v>AP305TONYLW</v>
          </cell>
        </row>
        <row r="2071">
          <cell r="D2071">
            <v>400343</v>
          </cell>
          <cell r="E2071" t="str">
            <v>EUR</v>
          </cell>
          <cell r="F2071">
            <v>10.66</v>
          </cell>
          <cell r="G2071" t="str">
            <v>EUR</v>
          </cell>
          <cell r="H2071" t="e">
            <v>#VALUE!</v>
          </cell>
          <cell r="I2071" t="str">
            <v>AP305WASTE</v>
          </cell>
        </row>
        <row r="2072">
          <cell r="D2072">
            <v>400496</v>
          </cell>
          <cell r="E2072" t="str">
            <v>EUR</v>
          </cell>
          <cell r="F2072">
            <v>14.96</v>
          </cell>
          <cell r="G2072" t="str">
            <v>EUR</v>
          </cell>
          <cell r="H2072" t="e">
            <v>#VALUE!</v>
          </cell>
          <cell r="I2072" t="str">
            <v>AP306CHARGER</v>
          </cell>
        </row>
        <row r="2073">
          <cell r="D2073">
            <v>400497</v>
          </cell>
          <cell r="E2073" t="str">
            <v>EUR</v>
          </cell>
          <cell r="F2073">
            <v>16.7</v>
          </cell>
          <cell r="G2073" t="str">
            <v>EUR</v>
          </cell>
          <cell r="H2073" t="e">
            <v>#VALUE!</v>
          </cell>
          <cell r="I2073" t="str">
            <v>AP306OIL</v>
          </cell>
        </row>
        <row r="2074">
          <cell r="D2074">
            <v>400490</v>
          </cell>
          <cell r="E2074" t="str">
            <v>EUR</v>
          </cell>
          <cell r="F2074">
            <v>272.57</v>
          </cell>
          <cell r="G2074" t="str">
            <v>EUR</v>
          </cell>
          <cell r="H2074" t="e">
            <v>#VALUE!</v>
          </cell>
          <cell r="I2074" t="str">
            <v>AP306PCU</v>
          </cell>
        </row>
        <row r="2075">
          <cell r="D2075">
            <v>400491</v>
          </cell>
          <cell r="E2075" t="str">
            <v>EUR</v>
          </cell>
          <cell r="F2075">
            <v>89.65</v>
          </cell>
          <cell r="G2075" t="str">
            <v>EUR</v>
          </cell>
          <cell r="H2075" t="e">
            <v>#VALUE!</v>
          </cell>
          <cell r="I2075" t="str">
            <v>AP306TONBLA</v>
          </cell>
        </row>
        <row r="2076">
          <cell r="D2076">
            <v>400492</v>
          </cell>
          <cell r="E2076" t="str">
            <v>EUR</v>
          </cell>
          <cell r="F2076">
            <v>110.67</v>
          </cell>
          <cell r="G2076" t="str">
            <v>EUR</v>
          </cell>
          <cell r="H2076" t="e">
            <v>#VALUE!</v>
          </cell>
          <cell r="I2076" t="str">
            <v>AP306TONCYN</v>
          </cell>
        </row>
        <row r="2077">
          <cell r="D2077">
            <v>400493</v>
          </cell>
          <cell r="E2077" t="str">
            <v>EUR</v>
          </cell>
          <cell r="F2077">
            <v>110.67</v>
          </cell>
          <cell r="G2077" t="str">
            <v>EUR</v>
          </cell>
          <cell r="H2077" t="e">
            <v>#VALUE!</v>
          </cell>
          <cell r="I2077" t="str">
            <v>AP306TONMAG</v>
          </cell>
        </row>
        <row r="2078">
          <cell r="D2078">
            <v>400494</v>
          </cell>
          <cell r="E2078" t="str">
            <v>EUR</v>
          </cell>
          <cell r="F2078">
            <v>110.67</v>
          </cell>
          <cell r="G2078" t="str">
            <v>EUR</v>
          </cell>
          <cell r="H2078" t="e">
            <v>#VALUE!</v>
          </cell>
          <cell r="I2078" t="str">
            <v>AP306TONYLW</v>
          </cell>
        </row>
        <row r="2079">
          <cell r="D2079">
            <v>400495</v>
          </cell>
          <cell r="E2079" t="str">
            <v>EUR</v>
          </cell>
          <cell r="F2079">
            <v>10.45</v>
          </cell>
          <cell r="G2079" t="str">
            <v>EUR</v>
          </cell>
          <cell r="H2079" t="e">
            <v>#VALUE!</v>
          </cell>
          <cell r="I2079" t="str">
            <v>AP306WASTE</v>
          </cell>
        </row>
        <row r="2080">
          <cell r="D2080">
            <v>352900</v>
          </cell>
          <cell r="E2080" t="str">
            <v>EUR</v>
          </cell>
          <cell r="F2080">
            <v>39.5</v>
          </cell>
          <cell r="G2080" t="str">
            <v>EUR</v>
          </cell>
          <cell r="H2080" t="e">
            <v>#VALUE!</v>
          </cell>
          <cell r="I2080" t="str">
            <v>CHARGERKITM</v>
          </cell>
        </row>
        <row r="2081">
          <cell r="D2081">
            <v>889409</v>
          </cell>
          <cell r="E2081" t="str">
            <v>EUR</v>
          </cell>
          <cell r="F2081">
            <v>28.91</v>
          </cell>
          <cell r="G2081" t="str">
            <v>EUR</v>
          </cell>
          <cell r="H2081" t="e">
            <v>#VALUE!</v>
          </cell>
          <cell r="I2081" t="str">
            <v>CLEANCARRIER</v>
          </cell>
        </row>
        <row r="2082">
          <cell r="D2082">
            <v>352822</v>
          </cell>
          <cell r="E2082" t="str">
            <v>EUR</v>
          </cell>
          <cell r="F2082">
            <v>70.11</v>
          </cell>
          <cell r="G2082" t="str">
            <v>EUR</v>
          </cell>
          <cell r="H2082" t="e">
            <v>#VALUE!</v>
          </cell>
          <cell r="I2082" t="str">
            <v>CLEANM2</v>
          </cell>
        </row>
        <row r="2083">
          <cell r="D2083">
            <v>358810</v>
          </cell>
          <cell r="E2083" t="str">
            <v>EUR</v>
          </cell>
          <cell r="F2083">
            <v>32.729999999999997</v>
          </cell>
          <cell r="G2083" t="e">
            <v>#N/A</v>
          </cell>
          <cell r="H2083" t="e">
            <v>#N/A</v>
          </cell>
          <cell r="I2083" t="str">
            <v>CLEAN6000</v>
          </cell>
        </row>
        <row r="2084">
          <cell r="D2084">
            <v>392000</v>
          </cell>
          <cell r="E2084" t="str">
            <v>EUR</v>
          </cell>
          <cell r="F2084">
            <v>64.36</v>
          </cell>
          <cell r="G2084" t="str">
            <v>EUR</v>
          </cell>
          <cell r="H2084" t="e">
            <v>#VALUE!</v>
          </cell>
          <cell r="I2084" t="str">
            <v>DEVCART12PLS</v>
          </cell>
        </row>
        <row r="2085">
          <cell r="D2085">
            <v>889759</v>
          </cell>
          <cell r="E2085" t="str">
            <v>EUR</v>
          </cell>
          <cell r="F2085">
            <v>27.9</v>
          </cell>
          <cell r="G2085" t="str">
            <v>EUR</v>
          </cell>
          <cell r="H2085" t="e">
            <v>#VALUE!</v>
          </cell>
          <cell r="I2085" t="str">
            <v>DEVTYPEFBLA</v>
          </cell>
        </row>
        <row r="2086">
          <cell r="D2086">
            <v>889762</v>
          </cell>
          <cell r="E2086" t="str">
            <v>EUR</v>
          </cell>
          <cell r="F2086">
            <v>27.9</v>
          </cell>
          <cell r="G2086" t="str">
            <v>EUR</v>
          </cell>
          <cell r="H2086" t="e">
            <v>#VALUE!</v>
          </cell>
          <cell r="I2086" t="str">
            <v>DEVTYPEFCYN</v>
          </cell>
        </row>
        <row r="2087">
          <cell r="D2087">
            <v>889761</v>
          </cell>
          <cell r="E2087" t="str">
            <v>EUR</v>
          </cell>
          <cell r="F2087">
            <v>27.9</v>
          </cell>
          <cell r="G2087" t="str">
            <v>EUR</v>
          </cell>
          <cell r="H2087" t="e">
            <v>#VALUE!</v>
          </cell>
          <cell r="I2087" t="str">
            <v>DEVTYPEFMAG</v>
          </cell>
        </row>
        <row r="2088">
          <cell r="D2088">
            <v>889760</v>
          </cell>
          <cell r="E2088" t="str">
            <v>EUR</v>
          </cell>
          <cell r="F2088">
            <v>27.9</v>
          </cell>
          <cell r="G2088" t="str">
            <v>EUR</v>
          </cell>
          <cell r="H2088" t="e">
            <v>#VALUE!</v>
          </cell>
          <cell r="I2088" t="str">
            <v>DEVTYPEFYLW</v>
          </cell>
        </row>
        <row r="2089">
          <cell r="D2089">
            <v>889882</v>
          </cell>
          <cell r="E2089" t="str">
            <v>EUR</v>
          </cell>
          <cell r="F2089">
            <v>27.9</v>
          </cell>
          <cell r="G2089" t="str">
            <v>EUR</v>
          </cell>
          <cell r="H2089" t="e">
            <v>#VALUE!</v>
          </cell>
          <cell r="I2089" t="str">
            <v>DEVTYPEGCYN</v>
          </cell>
        </row>
        <row r="2090">
          <cell r="D2090">
            <v>889881</v>
          </cell>
          <cell r="E2090" t="str">
            <v>EUR</v>
          </cell>
          <cell r="F2090">
            <v>27.9</v>
          </cell>
          <cell r="G2090" t="str">
            <v>EUR</v>
          </cell>
          <cell r="H2090" t="e">
            <v>#VALUE!</v>
          </cell>
          <cell r="I2090" t="str">
            <v>DEVTYPEGMAG</v>
          </cell>
        </row>
        <row r="2091">
          <cell r="D2091">
            <v>889880</v>
          </cell>
          <cell r="E2091" t="str">
            <v>EUR</v>
          </cell>
          <cell r="F2091">
            <v>27.9</v>
          </cell>
          <cell r="G2091" t="str">
            <v>EUR</v>
          </cell>
          <cell r="H2091" t="e">
            <v>#VALUE!</v>
          </cell>
          <cell r="I2091" t="str">
            <v>DEVTYPEGYLW</v>
          </cell>
        </row>
        <row r="2092">
          <cell r="D2092">
            <v>887880</v>
          </cell>
          <cell r="E2092" t="str">
            <v>EUR</v>
          </cell>
          <cell r="F2092">
            <v>22.82</v>
          </cell>
          <cell r="G2092" t="str">
            <v>EUR</v>
          </cell>
          <cell r="H2092" t="e">
            <v>#VALUE!</v>
          </cell>
          <cell r="I2092" t="str">
            <v>DEVTYPEKBLA</v>
          </cell>
        </row>
        <row r="2093">
          <cell r="D2093">
            <v>887883</v>
          </cell>
          <cell r="E2093" t="str">
            <v>EUR</v>
          </cell>
          <cell r="F2093">
            <v>57.22</v>
          </cell>
          <cell r="G2093" t="str">
            <v>EUR</v>
          </cell>
          <cell r="H2093" t="e">
            <v>#VALUE!</v>
          </cell>
          <cell r="I2093" t="str">
            <v>DEVTYPEKCYN</v>
          </cell>
        </row>
        <row r="2094">
          <cell r="D2094">
            <v>887882</v>
          </cell>
          <cell r="E2094" t="str">
            <v>EUR</v>
          </cell>
          <cell r="F2094">
            <v>57.22</v>
          </cell>
          <cell r="G2094" t="str">
            <v>EUR</v>
          </cell>
          <cell r="H2094" t="e">
            <v>#VALUE!</v>
          </cell>
          <cell r="I2094" t="str">
            <v>DEVTYPEKMAG</v>
          </cell>
        </row>
        <row r="2095">
          <cell r="D2095">
            <v>887881</v>
          </cell>
          <cell r="E2095" t="str">
            <v>EUR</v>
          </cell>
          <cell r="F2095">
            <v>57.22</v>
          </cell>
          <cell r="G2095" t="str">
            <v>EUR</v>
          </cell>
          <cell r="H2095" t="e">
            <v>#VALUE!</v>
          </cell>
          <cell r="I2095" t="str">
            <v>DEVTYPEKYLW</v>
          </cell>
        </row>
        <row r="2096">
          <cell r="D2096">
            <v>887951</v>
          </cell>
          <cell r="E2096" t="str">
            <v>EUR</v>
          </cell>
          <cell r="F2096">
            <v>78.94</v>
          </cell>
          <cell r="G2096" t="str">
            <v>EUR</v>
          </cell>
          <cell r="H2096" t="e">
            <v>#VALUE!</v>
          </cell>
          <cell r="I2096" t="str">
            <v>DEVTYPELBLA</v>
          </cell>
        </row>
        <row r="2097">
          <cell r="D2097">
            <v>887954</v>
          </cell>
          <cell r="E2097" t="str">
            <v>EUR</v>
          </cell>
          <cell r="F2097">
            <v>63.14</v>
          </cell>
          <cell r="G2097" t="str">
            <v>EUR</v>
          </cell>
          <cell r="H2097" t="e">
            <v>#VALUE!</v>
          </cell>
          <cell r="I2097" t="str">
            <v>DEVTYPELCYN</v>
          </cell>
        </row>
        <row r="2098">
          <cell r="D2098">
            <v>887953</v>
          </cell>
          <cell r="E2098" t="str">
            <v>EUR</v>
          </cell>
          <cell r="F2098">
            <v>63.14</v>
          </cell>
          <cell r="G2098" t="str">
            <v>EUR</v>
          </cell>
          <cell r="H2098" t="e">
            <v>#VALUE!</v>
          </cell>
          <cell r="I2098" t="str">
            <v>DEVTYPELMAG</v>
          </cell>
        </row>
        <row r="2099">
          <cell r="D2099">
            <v>887952</v>
          </cell>
          <cell r="E2099" t="str">
            <v>EUR</v>
          </cell>
          <cell r="F2099">
            <v>63.14</v>
          </cell>
          <cell r="G2099" t="str">
            <v>EUR</v>
          </cell>
          <cell r="H2099" t="e">
            <v>#VALUE!</v>
          </cell>
          <cell r="I2099" t="str">
            <v>DEVTYPELYLW</v>
          </cell>
        </row>
        <row r="2100">
          <cell r="D2100">
            <v>889455</v>
          </cell>
          <cell r="E2100" t="str">
            <v>EUR</v>
          </cell>
          <cell r="F2100">
            <v>78.260000000000005</v>
          </cell>
          <cell r="G2100" t="e">
            <v>#N/A</v>
          </cell>
          <cell r="H2100" t="e">
            <v>#N/A</v>
          </cell>
          <cell r="I2100" t="str">
            <v>DEVTYPE1</v>
          </cell>
        </row>
        <row r="2101">
          <cell r="D2101">
            <v>885176</v>
          </cell>
          <cell r="E2101" t="str">
            <v>EUR</v>
          </cell>
          <cell r="F2101">
            <v>77.14</v>
          </cell>
          <cell r="G2101" t="e">
            <v>#N/A</v>
          </cell>
          <cell r="H2101" t="e">
            <v>#N/A</v>
          </cell>
          <cell r="I2101" t="str">
            <v>DEVTYPE1USA</v>
          </cell>
        </row>
        <row r="2102">
          <cell r="D2102">
            <v>888010</v>
          </cell>
          <cell r="E2102" t="str">
            <v>EUR</v>
          </cell>
          <cell r="F2102">
            <v>81.510000000000005</v>
          </cell>
          <cell r="G2102" t="str">
            <v>EUR</v>
          </cell>
          <cell r="H2102" t="e">
            <v>#VALUE!</v>
          </cell>
          <cell r="I2102" t="str">
            <v>DEVTYPE14</v>
          </cell>
        </row>
        <row r="2103">
          <cell r="D2103">
            <v>888002</v>
          </cell>
          <cell r="E2103" t="str">
            <v>EUR</v>
          </cell>
          <cell r="F2103">
            <v>197.91</v>
          </cell>
          <cell r="G2103" t="str">
            <v>EUR</v>
          </cell>
          <cell r="H2103" t="e">
            <v>#VALUE!</v>
          </cell>
          <cell r="I2103" t="str">
            <v>DEVTYPE15</v>
          </cell>
        </row>
        <row r="2104">
          <cell r="D2104">
            <v>888114</v>
          </cell>
          <cell r="E2104" t="str">
            <v>EUR</v>
          </cell>
          <cell r="F2104">
            <v>37.68</v>
          </cell>
          <cell r="G2104" t="str">
            <v>EUR</v>
          </cell>
          <cell r="H2104" t="e">
            <v>#VALUE!</v>
          </cell>
          <cell r="I2104" t="str">
            <v>DEVTYPE16W</v>
          </cell>
        </row>
        <row r="2105">
          <cell r="D2105">
            <v>888073</v>
          </cell>
          <cell r="E2105" t="str">
            <v>EUR</v>
          </cell>
          <cell r="F2105">
            <v>52.01</v>
          </cell>
          <cell r="G2105" t="e">
            <v>#N/A</v>
          </cell>
          <cell r="H2105" t="e">
            <v>#N/A</v>
          </cell>
          <cell r="I2105" t="str">
            <v>DEVTYPE18</v>
          </cell>
        </row>
        <row r="2106">
          <cell r="D2106">
            <v>888095</v>
          </cell>
          <cell r="E2106" t="str">
            <v>EUR</v>
          </cell>
          <cell r="F2106">
            <v>20.88</v>
          </cell>
          <cell r="G2106" t="str">
            <v>EUR</v>
          </cell>
          <cell r="H2106" t="e">
            <v>#VALUE!</v>
          </cell>
          <cell r="I2106" t="str">
            <v>DEVTYPE19</v>
          </cell>
        </row>
        <row r="2107">
          <cell r="D2107">
            <v>887637</v>
          </cell>
          <cell r="E2107" t="str">
            <v>EUR</v>
          </cell>
          <cell r="F2107">
            <v>247.17</v>
          </cell>
          <cell r="G2107" t="str">
            <v>EUR</v>
          </cell>
          <cell r="H2107" t="e">
            <v>#VALUE!</v>
          </cell>
          <cell r="I2107" t="str">
            <v>DEVTYPE2</v>
          </cell>
        </row>
        <row r="2108">
          <cell r="D2108">
            <v>888164</v>
          </cell>
          <cell r="E2108" t="str">
            <v>EUR</v>
          </cell>
          <cell r="F2108">
            <v>15.67</v>
          </cell>
          <cell r="G2108" t="str">
            <v>EUR</v>
          </cell>
          <cell r="H2108" t="e">
            <v>#VALUE!</v>
          </cell>
          <cell r="I2108" t="str">
            <v>DEVTYPE21</v>
          </cell>
        </row>
        <row r="2109">
          <cell r="D2109">
            <v>885281</v>
          </cell>
          <cell r="E2109" t="str">
            <v>EUR</v>
          </cell>
          <cell r="F2109">
            <v>62.07</v>
          </cell>
          <cell r="G2109" t="e">
            <v>#N/A</v>
          </cell>
          <cell r="H2109" t="e">
            <v>#N/A</v>
          </cell>
          <cell r="I2109" t="str">
            <v>DEVTYPE24</v>
          </cell>
        </row>
        <row r="2110">
          <cell r="D2110">
            <v>889855</v>
          </cell>
          <cell r="E2110" t="str">
            <v>EUR</v>
          </cell>
          <cell r="F2110">
            <v>51.12</v>
          </cell>
          <cell r="G2110" t="str">
            <v>EUR</v>
          </cell>
          <cell r="H2110" t="e">
            <v>#VALUE!</v>
          </cell>
          <cell r="I2110" t="str">
            <v>DEVTYPE3</v>
          </cell>
        </row>
        <row r="2111">
          <cell r="D2111">
            <v>887733</v>
          </cell>
          <cell r="E2111" t="str">
            <v>EUR</v>
          </cell>
          <cell r="F2111">
            <v>200.15</v>
          </cell>
          <cell r="G2111" t="str">
            <v>EUR</v>
          </cell>
          <cell r="H2111" t="e">
            <v>#VALUE!</v>
          </cell>
          <cell r="I2111" t="str">
            <v>DEVTYPE5</v>
          </cell>
        </row>
        <row r="2112">
          <cell r="D2112">
            <v>887748</v>
          </cell>
          <cell r="E2112" t="str">
            <v>EUR</v>
          </cell>
          <cell r="F2112">
            <v>201.42</v>
          </cell>
          <cell r="G2112" t="str">
            <v>EUR</v>
          </cell>
          <cell r="H2112" t="e">
            <v>#VALUE!</v>
          </cell>
          <cell r="I2112" t="str">
            <v>DEVTYPE7</v>
          </cell>
        </row>
        <row r="2113">
          <cell r="D2113">
            <v>885164</v>
          </cell>
          <cell r="E2113" t="str">
            <v>EUR</v>
          </cell>
          <cell r="F2113">
            <v>337.93</v>
          </cell>
          <cell r="G2113" t="e">
            <v>#N/A</v>
          </cell>
          <cell r="H2113" t="e">
            <v>#N/A</v>
          </cell>
          <cell r="I2113" t="str">
            <v>DEVTYPE8</v>
          </cell>
        </row>
        <row r="2114">
          <cell r="D2114">
            <v>887797</v>
          </cell>
          <cell r="E2114" t="str">
            <v>EUR</v>
          </cell>
          <cell r="F2114">
            <v>209.48</v>
          </cell>
          <cell r="G2114" t="str">
            <v>EUR</v>
          </cell>
          <cell r="H2114" t="e">
            <v>#VALUE!</v>
          </cell>
          <cell r="I2114" t="str">
            <v>DEVTYPE9</v>
          </cell>
        </row>
        <row r="2115">
          <cell r="D2115">
            <v>339032</v>
          </cell>
          <cell r="E2115" t="str">
            <v>EUR</v>
          </cell>
          <cell r="F2115">
            <v>49.69</v>
          </cell>
          <cell r="G2115" t="e">
            <v>#N/A</v>
          </cell>
          <cell r="H2115" t="e">
            <v>#N/A</v>
          </cell>
          <cell r="I2115" t="str">
            <v>FAXCART1200</v>
          </cell>
        </row>
        <row r="2116">
          <cell r="D2116">
            <v>923180</v>
          </cell>
          <cell r="E2116" t="str">
            <v>EUR</v>
          </cell>
          <cell r="F2116">
            <v>86.59</v>
          </cell>
          <cell r="G2116" t="e">
            <v>#N/A</v>
          </cell>
          <cell r="H2116" t="e">
            <v>#N/A</v>
          </cell>
          <cell r="I2116" t="str">
            <v>FAXCART61BLA</v>
          </cell>
        </row>
        <row r="2117">
          <cell r="D2117">
            <v>923181</v>
          </cell>
          <cell r="E2117" t="str">
            <v>EUR</v>
          </cell>
          <cell r="F2117">
            <v>86.59</v>
          </cell>
          <cell r="G2117" t="e">
            <v>#N/A</v>
          </cell>
          <cell r="H2117" t="e">
            <v>#N/A</v>
          </cell>
          <cell r="I2117" t="str">
            <v>FAXCART61CLR</v>
          </cell>
        </row>
        <row r="2118">
          <cell r="D2118">
            <v>430013</v>
          </cell>
          <cell r="E2118" t="str">
            <v>EUR</v>
          </cell>
          <cell r="F2118">
            <v>17.38</v>
          </cell>
          <cell r="G2118" t="str">
            <v>EUR</v>
          </cell>
          <cell r="H2118" t="e">
            <v>#VALUE!</v>
          </cell>
          <cell r="I2118" t="str">
            <v>FAXCART68BLA</v>
          </cell>
        </row>
        <row r="2119">
          <cell r="D2119">
            <v>430014</v>
          </cell>
          <cell r="E2119" t="str">
            <v>EUR</v>
          </cell>
          <cell r="F2119">
            <v>24.84</v>
          </cell>
          <cell r="G2119" t="str">
            <v>EUR</v>
          </cell>
          <cell r="H2119" t="e">
            <v>#VALUE!</v>
          </cell>
          <cell r="I2119" t="str">
            <v>FAXCART68CLR</v>
          </cell>
        </row>
        <row r="2120">
          <cell r="D2120">
            <v>334238</v>
          </cell>
          <cell r="E2120" t="str">
            <v>EUR</v>
          </cell>
          <cell r="F2120">
            <v>670.99</v>
          </cell>
          <cell r="G2120" t="e">
            <v>#N/A</v>
          </cell>
          <cell r="H2120" t="e">
            <v>#N/A</v>
          </cell>
          <cell r="I2120" t="str">
            <v>FAXCART800</v>
          </cell>
        </row>
        <row r="2121">
          <cell r="D2121">
            <v>339353</v>
          </cell>
          <cell r="E2121" t="str">
            <v>EUR</v>
          </cell>
          <cell r="F2121">
            <v>857.58</v>
          </cell>
          <cell r="G2121" t="e">
            <v>#N/A</v>
          </cell>
          <cell r="H2121" t="e">
            <v>#N/A</v>
          </cell>
          <cell r="I2121" t="str">
            <v>FAXCART88BLA</v>
          </cell>
        </row>
        <row r="2122">
          <cell r="D2122">
            <v>339342</v>
          </cell>
          <cell r="E2122" t="str">
            <v>EUR</v>
          </cell>
          <cell r="F2122">
            <v>1106.52</v>
          </cell>
          <cell r="G2122" t="e">
            <v>#N/A</v>
          </cell>
          <cell r="H2122" t="e">
            <v>#N/A</v>
          </cell>
          <cell r="I2122" t="str">
            <v>FAXCART88CLR</v>
          </cell>
        </row>
        <row r="2123">
          <cell r="D2123">
            <v>894716</v>
          </cell>
          <cell r="E2123" t="str">
            <v>EUR</v>
          </cell>
          <cell r="F2123">
            <v>239.38</v>
          </cell>
          <cell r="G2123" t="str">
            <v>EUR</v>
          </cell>
          <cell r="H2123" t="e">
            <v>#VALUE!</v>
          </cell>
          <cell r="I2123" t="str">
            <v>FAXMASTER100</v>
          </cell>
        </row>
        <row r="2124">
          <cell r="D2124">
            <v>889347</v>
          </cell>
          <cell r="E2124" t="str">
            <v>EUR</v>
          </cell>
          <cell r="F2124">
            <v>238.47</v>
          </cell>
          <cell r="G2124" t="str">
            <v>EUR</v>
          </cell>
          <cell r="H2124" t="e">
            <v>#VALUE!</v>
          </cell>
          <cell r="I2124" t="str">
            <v>FAXMASTER30</v>
          </cell>
        </row>
        <row r="2125">
          <cell r="D2125">
            <v>593928</v>
          </cell>
          <cell r="E2125" t="str">
            <v>EUR</v>
          </cell>
          <cell r="F2125">
            <v>450.76</v>
          </cell>
          <cell r="G2125" t="str">
            <v>EUR</v>
          </cell>
          <cell r="H2125" t="e">
            <v>#VALUE!</v>
          </cell>
          <cell r="I2125" t="str">
            <v>FAXMAST1000L</v>
          </cell>
        </row>
        <row r="2126">
          <cell r="D2126">
            <v>593928</v>
          </cell>
          <cell r="E2126" t="str">
            <v>EUR</v>
          </cell>
          <cell r="F2126">
            <v>450.76</v>
          </cell>
          <cell r="G2126" t="str">
            <v>EUR</v>
          </cell>
          <cell r="H2126" t="e">
            <v>#VALUE!</v>
          </cell>
          <cell r="I2126" t="str">
            <v>FAXMAST1000L</v>
          </cell>
        </row>
        <row r="2127">
          <cell r="D2127">
            <v>339472</v>
          </cell>
          <cell r="E2127" t="str">
            <v>EUR</v>
          </cell>
          <cell r="F2127">
            <v>177.42</v>
          </cell>
          <cell r="G2127" t="str">
            <v>EUR</v>
          </cell>
          <cell r="H2127" t="e">
            <v>#VALUE!</v>
          </cell>
          <cell r="I2127" t="str">
            <v>FAXMAST70</v>
          </cell>
        </row>
        <row r="2128">
          <cell r="D2128">
            <v>339343</v>
          </cell>
          <cell r="E2128" t="str">
            <v>EUR</v>
          </cell>
          <cell r="F2128">
            <v>310.79000000000002</v>
          </cell>
          <cell r="G2128" t="e">
            <v>#N/A</v>
          </cell>
          <cell r="H2128" t="e">
            <v>#N/A</v>
          </cell>
          <cell r="I2128" t="str">
            <v>FAXREF88BLA</v>
          </cell>
        </row>
        <row r="2129">
          <cell r="D2129">
            <v>339344</v>
          </cell>
          <cell r="E2129" t="str">
            <v>EUR</v>
          </cell>
          <cell r="F2129">
            <v>730.83</v>
          </cell>
          <cell r="G2129" t="e">
            <v>#N/A</v>
          </cell>
          <cell r="H2129" t="e">
            <v>#N/A</v>
          </cell>
          <cell r="I2129" t="str">
            <v>FAXREF88CLR</v>
          </cell>
        </row>
        <row r="2130">
          <cell r="D2130">
            <v>920616</v>
          </cell>
          <cell r="E2130" t="str">
            <v>EUR</v>
          </cell>
          <cell r="F2130">
            <v>140.30000000000001</v>
          </cell>
          <cell r="G2130" t="e">
            <v>#N/A</v>
          </cell>
          <cell r="H2130" t="e">
            <v>#N/A</v>
          </cell>
          <cell r="I2130" t="str">
            <v>FAXRIBBON500</v>
          </cell>
        </row>
        <row r="2131">
          <cell r="D2131">
            <v>430244</v>
          </cell>
          <cell r="E2131" t="str">
            <v>EUR</v>
          </cell>
          <cell r="F2131">
            <v>41.02</v>
          </cell>
          <cell r="G2131" t="str">
            <v>EUR</v>
          </cell>
          <cell r="H2131" t="e">
            <v>#VALUE!</v>
          </cell>
          <cell r="I2131" t="str">
            <v>FAXTNR1435CN</v>
          </cell>
        </row>
        <row r="2132">
          <cell r="D2132">
            <v>430400</v>
          </cell>
          <cell r="E2132" t="str">
            <v>EUR</v>
          </cell>
          <cell r="F2132">
            <v>54.83</v>
          </cell>
          <cell r="G2132" t="e">
            <v>#N/A</v>
          </cell>
          <cell r="H2132" t="e">
            <v>#N/A</v>
          </cell>
          <cell r="I2132" t="str">
            <v>FAXTN1265KOR</v>
          </cell>
        </row>
        <row r="2133">
          <cell r="D2133">
            <v>430159</v>
          </cell>
          <cell r="E2133" t="str">
            <v>EUR</v>
          </cell>
          <cell r="F2133">
            <v>38.450000000000003</v>
          </cell>
          <cell r="G2133" t="e">
            <v>#N/A</v>
          </cell>
          <cell r="H2133" t="e">
            <v>#N/A</v>
          </cell>
          <cell r="I2133" t="str">
            <v>FAXTONER1430</v>
          </cell>
        </row>
        <row r="2134">
          <cell r="D2134">
            <v>430245</v>
          </cell>
          <cell r="E2134" t="str">
            <v>EUR</v>
          </cell>
          <cell r="F2134">
            <v>74.95</v>
          </cell>
          <cell r="G2134" t="str">
            <v>EUR</v>
          </cell>
          <cell r="H2134" t="e">
            <v>#VALUE!</v>
          </cell>
          <cell r="I2134" t="str">
            <v>FAXTONER5210</v>
          </cell>
        </row>
        <row r="2135">
          <cell r="D2135">
            <v>339474</v>
          </cell>
          <cell r="E2135" t="str">
            <v>EUR</v>
          </cell>
          <cell r="F2135">
            <v>202.85</v>
          </cell>
          <cell r="G2135" t="str">
            <v>EUR</v>
          </cell>
          <cell r="H2135" t="e">
            <v>#VALUE!</v>
          </cell>
          <cell r="I2135" t="str">
            <v>FAXTONER70</v>
          </cell>
        </row>
        <row r="2136">
          <cell r="D2136">
            <v>593901</v>
          </cell>
          <cell r="E2136" t="str">
            <v>EUR</v>
          </cell>
          <cell r="F2136">
            <v>39.82</v>
          </cell>
          <cell r="G2136" t="e">
            <v>#N/A</v>
          </cell>
          <cell r="H2136" t="e">
            <v>#N/A</v>
          </cell>
          <cell r="I2136" t="str">
            <v>FAXTON1000L</v>
          </cell>
        </row>
        <row r="2137">
          <cell r="D2137">
            <v>430278</v>
          </cell>
          <cell r="E2137" t="str">
            <v>EUR</v>
          </cell>
          <cell r="F2137">
            <v>43.76</v>
          </cell>
          <cell r="G2137" t="str">
            <v>EUR</v>
          </cell>
          <cell r="H2137" t="e">
            <v>#VALUE!</v>
          </cell>
          <cell r="I2137" t="str">
            <v>FAXTON1240CN</v>
          </cell>
        </row>
        <row r="2138">
          <cell r="D2138">
            <v>430351</v>
          </cell>
          <cell r="E2138" t="str">
            <v>EUR</v>
          </cell>
          <cell r="F2138">
            <v>36.21</v>
          </cell>
          <cell r="G2138" t="str">
            <v>EUR</v>
          </cell>
          <cell r="H2138" t="e">
            <v>#VALUE!</v>
          </cell>
          <cell r="I2138" t="str">
            <v>FAXTON1260CN</v>
          </cell>
        </row>
        <row r="2139">
          <cell r="D2139">
            <v>430225</v>
          </cell>
          <cell r="E2139" t="str">
            <v>EUR</v>
          </cell>
          <cell r="F2139">
            <v>42.13</v>
          </cell>
          <cell r="G2139" t="str">
            <v>EUR</v>
          </cell>
          <cell r="H2139" t="e">
            <v>#VALUE!</v>
          </cell>
          <cell r="I2139" t="str">
            <v>FAXTON1435CN</v>
          </cell>
        </row>
        <row r="2140">
          <cell r="D2140">
            <v>339481</v>
          </cell>
          <cell r="E2140" t="str">
            <v>EUR</v>
          </cell>
          <cell r="F2140">
            <v>177.61</v>
          </cell>
          <cell r="G2140" t="e">
            <v>#N/A</v>
          </cell>
          <cell r="H2140" t="e">
            <v>#N/A</v>
          </cell>
          <cell r="I2140" t="str">
            <v>FAXTON150FRA</v>
          </cell>
        </row>
        <row r="2141">
          <cell r="D2141">
            <v>889878</v>
          </cell>
          <cell r="E2141" t="str">
            <v>EUR</v>
          </cell>
          <cell r="F2141">
            <v>148.43</v>
          </cell>
          <cell r="G2141" t="str">
            <v>EUR</v>
          </cell>
          <cell r="H2141" t="e">
            <v>#VALUE!</v>
          </cell>
          <cell r="I2141" t="str">
            <v>FAXTON30TWN</v>
          </cell>
        </row>
        <row r="2142">
          <cell r="D2142">
            <v>400323</v>
          </cell>
          <cell r="E2142" t="str">
            <v>EUR</v>
          </cell>
          <cell r="F2142">
            <v>25.32</v>
          </cell>
          <cell r="G2142" t="str">
            <v>EUR</v>
          </cell>
          <cell r="H2142" t="e">
            <v>#VALUE!</v>
          </cell>
          <cell r="I2142" t="str">
            <v>FUSER204</v>
          </cell>
        </row>
        <row r="2143">
          <cell r="D2143">
            <v>889782</v>
          </cell>
          <cell r="E2143" t="str">
            <v>EUR</v>
          </cell>
          <cell r="F2143">
            <v>111.27</v>
          </cell>
          <cell r="G2143" t="str">
            <v>EUR</v>
          </cell>
          <cell r="H2143" t="e">
            <v>#VALUE!</v>
          </cell>
          <cell r="I2143" t="str">
            <v>IMAGEUNIT1</v>
          </cell>
        </row>
        <row r="2144">
          <cell r="D2144">
            <v>366490</v>
          </cell>
          <cell r="E2144" t="str">
            <v>EUR</v>
          </cell>
          <cell r="F2144">
            <v>232.87</v>
          </cell>
          <cell r="G2144" t="e">
            <v>#N/A</v>
          </cell>
          <cell r="H2144" t="e">
            <v>#N/A</v>
          </cell>
          <cell r="I2144" t="str">
            <v>INKROLLED410</v>
          </cell>
        </row>
        <row r="2145">
          <cell r="D2145">
            <v>400441</v>
          </cell>
          <cell r="E2145" t="str">
            <v>EUR</v>
          </cell>
          <cell r="F2145">
            <v>163.19</v>
          </cell>
          <cell r="G2145" t="str">
            <v>EUR</v>
          </cell>
          <cell r="H2145" t="e">
            <v>#VALUE!</v>
          </cell>
          <cell r="I2145" t="str">
            <v>INKROLLTYPEA</v>
          </cell>
        </row>
        <row r="2146">
          <cell r="D2146">
            <v>208050</v>
          </cell>
          <cell r="E2146" t="str">
            <v>EUR</v>
          </cell>
          <cell r="F2146">
            <v>343</v>
          </cell>
          <cell r="G2146" t="e">
            <v>#N/A</v>
          </cell>
          <cell r="H2146" t="e">
            <v>#N/A</v>
          </cell>
          <cell r="I2146" t="str">
            <v>LR1TONERBLA</v>
          </cell>
        </row>
        <row r="2147">
          <cell r="D2147">
            <v>400404</v>
          </cell>
          <cell r="E2147" t="str">
            <v>EUR</v>
          </cell>
          <cell r="F2147">
            <v>83.61</v>
          </cell>
          <cell r="G2147" t="str">
            <v>EUR</v>
          </cell>
          <cell r="H2147" t="e">
            <v>#VALUE!</v>
          </cell>
          <cell r="I2147" t="str">
            <v>MAINTEN1400</v>
          </cell>
        </row>
        <row r="2148">
          <cell r="D2148">
            <v>400401</v>
          </cell>
          <cell r="E2148" t="str">
            <v>EUR</v>
          </cell>
          <cell r="F2148">
            <v>96.4</v>
          </cell>
          <cell r="G2148" t="str">
            <v>EUR</v>
          </cell>
          <cell r="H2148" t="e">
            <v>#VALUE!</v>
          </cell>
          <cell r="I2148" t="str">
            <v>MAINTEN2000</v>
          </cell>
        </row>
        <row r="2149">
          <cell r="D2149">
            <v>400620</v>
          </cell>
          <cell r="E2149" t="str">
            <v>EUR</v>
          </cell>
          <cell r="F2149">
            <v>106.22</v>
          </cell>
          <cell r="G2149" t="str">
            <v>EUR</v>
          </cell>
          <cell r="H2149" t="e">
            <v>#VALUE!</v>
          </cell>
          <cell r="I2149" t="str">
            <v>MAINT2600CHN</v>
          </cell>
        </row>
        <row r="2150">
          <cell r="D2150">
            <v>400594</v>
          </cell>
          <cell r="E2150" t="str">
            <v>EUR</v>
          </cell>
          <cell r="F2150">
            <v>93.2</v>
          </cell>
          <cell r="G2150" t="str">
            <v>EUR</v>
          </cell>
          <cell r="H2150" t="e">
            <v>#VALUE!</v>
          </cell>
          <cell r="I2150" t="str">
            <v>MAINT3800A</v>
          </cell>
        </row>
        <row r="2151">
          <cell r="D2151">
            <v>400595</v>
          </cell>
          <cell r="E2151" t="str">
            <v>EUR</v>
          </cell>
          <cell r="F2151">
            <v>177.55</v>
          </cell>
          <cell r="G2151" t="str">
            <v>EUR</v>
          </cell>
          <cell r="H2151" t="e">
            <v>#VALUE!</v>
          </cell>
          <cell r="I2151" t="str">
            <v>MAINT3800B</v>
          </cell>
        </row>
        <row r="2152">
          <cell r="D2152">
            <v>400569</v>
          </cell>
          <cell r="E2152" t="str">
            <v>EUR</v>
          </cell>
          <cell r="F2152">
            <v>195.76</v>
          </cell>
          <cell r="G2152" t="str">
            <v>EUR</v>
          </cell>
          <cell r="H2152" t="e">
            <v>#VALUE!</v>
          </cell>
          <cell r="I2152" t="str">
            <v>MAINT3800C</v>
          </cell>
        </row>
        <row r="2153">
          <cell r="D2153">
            <v>400661</v>
          </cell>
          <cell r="E2153" t="str">
            <v>EUR</v>
          </cell>
          <cell r="F2153">
            <v>54.36</v>
          </cell>
          <cell r="G2153" t="str">
            <v>EUR</v>
          </cell>
          <cell r="H2153" t="e">
            <v>#VALUE!</v>
          </cell>
          <cell r="I2153" t="str">
            <v>MAINT3800D</v>
          </cell>
        </row>
        <row r="2154">
          <cell r="D2154">
            <v>400662</v>
          </cell>
          <cell r="E2154" t="str">
            <v>EUR</v>
          </cell>
          <cell r="F2154">
            <v>5.19</v>
          </cell>
          <cell r="G2154" t="str">
            <v>EUR</v>
          </cell>
          <cell r="H2154" t="e">
            <v>#VALUE!</v>
          </cell>
          <cell r="I2154" t="str">
            <v>MAINT3800E</v>
          </cell>
        </row>
        <row r="2155">
          <cell r="D2155">
            <v>400548</v>
          </cell>
          <cell r="E2155" t="str">
            <v>EUR</v>
          </cell>
          <cell r="F2155">
            <v>29.44</v>
          </cell>
          <cell r="G2155" t="str">
            <v>EUR</v>
          </cell>
          <cell r="H2155" t="e">
            <v>#VALUE!</v>
          </cell>
          <cell r="I2155" t="str">
            <v>MAINT3800F</v>
          </cell>
        </row>
        <row r="2156">
          <cell r="D2156">
            <v>400549</v>
          </cell>
          <cell r="E2156" t="str">
            <v>EUR</v>
          </cell>
          <cell r="F2156">
            <v>27.51</v>
          </cell>
          <cell r="G2156" t="str">
            <v>EUR</v>
          </cell>
          <cell r="H2156" t="e">
            <v>#VALUE!</v>
          </cell>
          <cell r="I2156" t="str">
            <v>MAINT3800G</v>
          </cell>
        </row>
        <row r="2157">
          <cell r="D2157">
            <v>400576</v>
          </cell>
          <cell r="E2157" t="str">
            <v>EUR</v>
          </cell>
          <cell r="F2157">
            <v>2.68</v>
          </cell>
          <cell r="G2157" t="str">
            <v>EUR</v>
          </cell>
          <cell r="H2157" t="e">
            <v>#VALUE!</v>
          </cell>
          <cell r="I2157" t="str">
            <v>MAINT3800H</v>
          </cell>
        </row>
        <row r="2158">
          <cell r="D2158">
            <v>361071</v>
          </cell>
          <cell r="E2158" t="str">
            <v>EUR</v>
          </cell>
          <cell r="F2158">
            <v>98.33</v>
          </cell>
          <cell r="G2158" t="e">
            <v>#N/A</v>
          </cell>
          <cell r="H2158" t="e">
            <v>#N/A</v>
          </cell>
          <cell r="I2158" t="str">
            <v>MASTERMP01</v>
          </cell>
        </row>
        <row r="2159">
          <cell r="D2159">
            <v>361093</v>
          </cell>
          <cell r="E2159" t="str">
            <v>EUR</v>
          </cell>
          <cell r="F2159">
            <v>94.43</v>
          </cell>
          <cell r="G2159" t="e">
            <v>#N/A</v>
          </cell>
          <cell r="H2159" t="e">
            <v>#N/A</v>
          </cell>
          <cell r="I2159" t="str">
            <v>MKITMP01</v>
          </cell>
        </row>
        <row r="2160">
          <cell r="D2160">
            <v>209911</v>
          </cell>
          <cell r="E2160" t="str">
            <v>EUR</v>
          </cell>
          <cell r="F2160">
            <v>104.21</v>
          </cell>
          <cell r="G2160" t="str">
            <v>EUR</v>
          </cell>
          <cell r="H2160" t="e">
            <v>#VALUE!</v>
          </cell>
          <cell r="I2160" t="str">
            <v>MV250MAST</v>
          </cell>
        </row>
        <row r="2161">
          <cell r="D2161">
            <v>894718</v>
          </cell>
          <cell r="E2161" t="str">
            <v>EUR</v>
          </cell>
          <cell r="F2161">
            <v>239.38</v>
          </cell>
          <cell r="G2161" t="str">
            <v>EUR</v>
          </cell>
          <cell r="H2161" t="e">
            <v>#VALUE!</v>
          </cell>
          <cell r="I2161" t="str">
            <v>MV300MAST</v>
          </cell>
        </row>
        <row r="2162">
          <cell r="D2162">
            <v>887675</v>
          </cell>
          <cell r="E2162" t="str">
            <v>EUR</v>
          </cell>
          <cell r="F2162">
            <v>222.79</v>
          </cell>
          <cell r="G2162" t="str">
            <v>EUR</v>
          </cell>
          <cell r="H2162" t="e">
            <v>#VALUE!</v>
          </cell>
          <cell r="I2162" t="str">
            <v>MV300TONER</v>
          </cell>
        </row>
        <row r="2163">
          <cell r="D2163">
            <v>889606</v>
          </cell>
          <cell r="E2163" t="str">
            <v>EUR</v>
          </cell>
          <cell r="F2163">
            <v>104.03</v>
          </cell>
          <cell r="G2163" t="str">
            <v>EUR</v>
          </cell>
          <cell r="H2163" t="e">
            <v>#VALUE!</v>
          </cell>
          <cell r="I2163" t="str">
            <v>MV80MAST</v>
          </cell>
        </row>
        <row r="2164">
          <cell r="D2164">
            <v>889744</v>
          </cell>
          <cell r="E2164" t="str">
            <v>EUR</v>
          </cell>
          <cell r="F2164">
            <v>55.01</v>
          </cell>
          <cell r="G2164" t="str">
            <v>EUR</v>
          </cell>
          <cell r="H2164" t="e">
            <v>#VALUE!</v>
          </cell>
          <cell r="I2164" t="str">
            <v>MV80TONER</v>
          </cell>
        </row>
        <row r="2165">
          <cell r="D2165">
            <v>889015</v>
          </cell>
          <cell r="E2165" t="str">
            <v>EUR</v>
          </cell>
          <cell r="F2165">
            <v>126.4</v>
          </cell>
          <cell r="G2165" t="e">
            <v>#N/A</v>
          </cell>
          <cell r="H2165" t="e">
            <v>#N/A</v>
          </cell>
          <cell r="I2165" t="str">
            <v>M10MASTUNT2</v>
          </cell>
        </row>
        <row r="2166">
          <cell r="D2166">
            <v>887660</v>
          </cell>
          <cell r="E2166" t="str">
            <v>EUR</v>
          </cell>
          <cell r="F2166">
            <v>23.58</v>
          </cell>
          <cell r="G2166" t="e">
            <v>#N/A</v>
          </cell>
          <cell r="H2166" t="e">
            <v>#N/A</v>
          </cell>
          <cell r="I2166" t="str">
            <v>M10TONBLAUK</v>
          </cell>
        </row>
        <row r="2167">
          <cell r="D2167">
            <v>889351</v>
          </cell>
          <cell r="E2167" t="str">
            <v>EUR</v>
          </cell>
          <cell r="F2167">
            <v>128.18</v>
          </cell>
          <cell r="G2167" t="str">
            <v>EUR</v>
          </cell>
          <cell r="H2167" t="e">
            <v>#VALUE!</v>
          </cell>
          <cell r="I2167" t="str">
            <v>M100MASTUNT2</v>
          </cell>
        </row>
        <row r="2168">
          <cell r="D2168">
            <v>889260</v>
          </cell>
          <cell r="E2168" t="str">
            <v>EUR</v>
          </cell>
          <cell r="F2168">
            <v>118.13</v>
          </cell>
          <cell r="G2168" t="str">
            <v>EUR</v>
          </cell>
          <cell r="H2168" t="e">
            <v>#VALUE!</v>
          </cell>
          <cell r="I2168" t="str">
            <v>M5MASTUNT2</v>
          </cell>
        </row>
        <row r="2169">
          <cell r="D2169">
            <v>887659</v>
          </cell>
          <cell r="E2169" t="str">
            <v>EUR</v>
          </cell>
          <cell r="F2169">
            <v>23.58</v>
          </cell>
          <cell r="G2169" t="e">
            <v>#N/A</v>
          </cell>
          <cell r="H2169" t="e">
            <v>#N/A</v>
          </cell>
          <cell r="I2169" t="str">
            <v>M5TONERBLAUK</v>
          </cell>
        </row>
        <row r="2170">
          <cell r="D2170">
            <v>887664</v>
          </cell>
          <cell r="E2170" t="str">
            <v>EUR</v>
          </cell>
          <cell r="F2170">
            <v>26.21</v>
          </cell>
          <cell r="G2170" t="e">
            <v>#N/A</v>
          </cell>
          <cell r="H2170" t="e">
            <v>#N/A</v>
          </cell>
          <cell r="I2170" t="str">
            <v>M6TONERGER</v>
          </cell>
        </row>
        <row r="2171">
          <cell r="D2171">
            <v>889408</v>
          </cell>
          <cell r="E2171" t="str">
            <v>EUR</v>
          </cell>
          <cell r="F2171">
            <v>48.52</v>
          </cell>
          <cell r="G2171" t="str">
            <v>EUR</v>
          </cell>
          <cell r="H2171" t="e">
            <v>#VALUE!</v>
          </cell>
          <cell r="I2171" t="str">
            <v>NC11DEVCYN</v>
          </cell>
        </row>
        <row r="2172">
          <cell r="D2172">
            <v>889407</v>
          </cell>
          <cell r="E2172" t="str">
            <v>EUR</v>
          </cell>
          <cell r="F2172">
            <v>48.52</v>
          </cell>
          <cell r="G2172" t="str">
            <v>EUR</v>
          </cell>
          <cell r="H2172" t="e">
            <v>#VALUE!</v>
          </cell>
          <cell r="I2172" t="str">
            <v>NC11DEVMAG</v>
          </cell>
        </row>
        <row r="2173">
          <cell r="D2173">
            <v>889406</v>
          </cell>
          <cell r="E2173" t="str">
            <v>EUR</v>
          </cell>
          <cell r="F2173">
            <v>48.52</v>
          </cell>
          <cell r="G2173" t="str">
            <v>EUR</v>
          </cell>
          <cell r="H2173" t="e">
            <v>#VALUE!</v>
          </cell>
          <cell r="I2173" t="str">
            <v>NC11DEVYLW</v>
          </cell>
        </row>
        <row r="2174">
          <cell r="D2174">
            <v>887481</v>
          </cell>
          <cell r="E2174" t="str">
            <v>EUR</v>
          </cell>
          <cell r="F2174">
            <v>126.32</v>
          </cell>
          <cell r="G2174" t="e">
            <v>#N/A</v>
          </cell>
          <cell r="H2174" t="e">
            <v>#N/A</v>
          </cell>
          <cell r="I2174" t="str">
            <v>NC11TONERBLA</v>
          </cell>
        </row>
        <row r="2175">
          <cell r="D2175">
            <v>887487</v>
          </cell>
          <cell r="E2175" t="str">
            <v>EUR</v>
          </cell>
          <cell r="F2175">
            <v>75.459999999999994</v>
          </cell>
          <cell r="G2175" t="str">
            <v>EUR</v>
          </cell>
          <cell r="H2175" t="e">
            <v>#VALUE!</v>
          </cell>
          <cell r="I2175" t="str">
            <v>NC11TONERCYN</v>
          </cell>
        </row>
        <row r="2176">
          <cell r="D2176">
            <v>887485</v>
          </cell>
          <cell r="E2176" t="str">
            <v>EUR</v>
          </cell>
          <cell r="F2176">
            <v>75.459999999999994</v>
          </cell>
          <cell r="G2176" t="str">
            <v>EUR</v>
          </cell>
          <cell r="H2176" t="e">
            <v>#VALUE!</v>
          </cell>
          <cell r="I2176" t="str">
            <v>NC11TONERMAG</v>
          </cell>
        </row>
        <row r="2177">
          <cell r="D2177">
            <v>887483</v>
          </cell>
          <cell r="E2177" t="str">
            <v>EUR</v>
          </cell>
          <cell r="F2177">
            <v>75.459999999999994</v>
          </cell>
          <cell r="G2177" t="str">
            <v>EUR</v>
          </cell>
          <cell r="H2177" t="e">
            <v>#VALUE!</v>
          </cell>
          <cell r="I2177" t="str">
            <v>NC11TONERYLW</v>
          </cell>
        </row>
        <row r="2178">
          <cell r="D2178">
            <v>889526</v>
          </cell>
          <cell r="E2178" t="str">
            <v>EUR</v>
          </cell>
          <cell r="F2178">
            <v>98.77</v>
          </cell>
          <cell r="G2178" t="str">
            <v>EUR</v>
          </cell>
          <cell r="H2178" t="e">
            <v>#VALUE!</v>
          </cell>
          <cell r="I2178" t="str">
            <v>NC305DEVBLA</v>
          </cell>
        </row>
        <row r="2179">
          <cell r="D2179">
            <v>394800</v>
          </cell>
          <cell r="E2179" t="str">
            <v>EUR</v>
          </cell>
          <cell r="F2179">
            <v>94.42</v>
          </cell>
          <cell r="G2179" t="str">
            <v>EUR</v>
          </cell>
          <cell r="H2179" t="e">
            <v>#VALUE!</v>
          </cell>
          <cell r="I2179" t="str">
            <v>OPCCARTTYP12</v>
          </cell>
        </row>
        <row r="2180">
          <cell r="D2180">
            <v>394600</v>
          </cell>
          <cell r="E2180" t="str">
            <v>EUR</v>
          </cell>
          <cell r="F2180">
            <v>103.26</v>
          </cell>
          <cell r="G2180" t="str">
            <v>EUR</v>
          </cell>
          <cell r="H2180" t="e">
            <v>#VALUE!</v>
          </cell>
          <cell r="I2180" t="str">
            <v>OPCKITM</v>
          </cell>
        </row>
        <row r="2181">
          <cell r="D2181">
            <v>357270</v>
          </cell>
          <cell r="E2181" t="str">
            <v>EUR</v>
          </cell>
          <cell r="F2181">
            <v>88.36</v>
          </cell>
          <cell r="G2181" t="e">
            <v>#N/A</v>
          </cell>
          <cell r="H2181" t="e">
            <v>#N/A</v>
          </cell>
          <cell r="I2181" t="str">
            <v>OPCKIT150RB</v>
          </cell>
        </row>
        <row r="2182">
          <cell r="D2182">
            <v>357136</v>
          </cell>
          <cell r="E2182" t="str">
            <v>EUR</v>
          </cell>
          <cell r="F2182">
            <v>88.36</v>
          </cell>
          <cell r="G2182" t="e">
            <v>#N/A</v>
          </cell>
          <cell r="H2182" t="e">
            <v>#N/A</v>
          </cell>
          <cell r="I2182" t="str">
            <v>OPCKIT80RB</v>
          </cell>
        </row>
        <row r="2183">
          <cell r="D2183">
            <v>358652</v>
          </cell>
          <cell r="E2183" t="str">
            <v>EUR</v>
          </cell>
          <cell r="F2183">
            <v>86.91</v>
          </cell>
          <cell r="G2183" t="e">
            <v>#N/A</v>
          </cell>
          <cell r="H2183" t="e">
            <v>#N/A</v>
          </cell>
          <cell r="I2183" t="str">
            <v>OPCKIT81RB</v>
          </cell>
        </row>
        <row r="2184">
          <cell r="D2184">
            <v>358800</v>
          </cell>
          <cell r="E2184" t="str">
            <v>EUR</v>
          </cell>
          <cell r="F2184">
            <v>72.67</v>
          </cell>
          <cell r="G2184" t="e">
            <v>#N/A</v>
          </cell>
          <cell r="H2184" t="e">
            <v>#N/A</v>
          </cell>
          <cell r="I2184" t="str">
            <v>OPC6000</v>
          </cell>
        </row>
        <row r="2185">
          <cell r="D2185">
            <v>411113</v>
          </cell>
          <cell r="E2185" t="str">
            <v>EUR</v>
          </cell>
          <cell r="F2185">
            <v>62.01</v>
          </cell>
          <cell r="G2185" t="str">
            <v>EUR</v>
          </cell>
          <cell r="H2185" t="e">
            <v>#VALUE!</v>
          </cell>
          <cell r="I2185" t="str">
            <v>PCU1013CHN</v>
          </cell>
        </row>
        <row r="2186">
          <cell r="D2186">
            <v>411018</v>
          </cell>
          <cell r="E2186" t="str">
            <v>EUR</v>
          </cell>
          <cell r="F2186">
            <v>117.67</v>
          </cell>
          <cell r="G2186" t="str">
            <v>EUR</v>
          </cell>
          <cell r="H2186" t="e">
            <v>#VALUE!</v>
          </cell>
          <cell r="I2186" t="str">
            <v>PCU1027</v>
          </cell>
        </row>
        <row r="2187">
          <cell r="D2187">
            <v>410423</v>
          </cell>
          <cell r="E2187" t="str">
            <v>EUR</v>
          </cell>
          <cell r="F2187">
            <v>125.26</v>
          </cell>
          <cell r="G2187" t="str">
            <v>EUR</v>
          </cell>
          <cell r="H2187" t="e">
            <v>#VALUE!</v>
          </cell>
          <cell r="I2187" t="str">
            <v>PCU270</v>
          </cell>
        </row>
        <row r="2188">
          <cell r="D2188">
            <v>400633</v>
          </cell>
          <cell r="E2188" t="str">
            <v>EUR</v>
          </cell>
          <cell r="F2188">
            <v>117.67</v>
          </cell>
          <cell r="G2188" t="str">
            <v>EUR</v>
          </cell>
          <cell r="H2188" t="e">
            <v>#VALUE!</v>
          </cell>
          <cell r="I2188" t="str">
            <v>PCU320</v>
          </cell>
        </row>
        <row r="2189">
          <cell r="D2189">
            <v>410509</v>
          </cell>
          <cell r="E2189" t="str">
            <v>EUR</v>
          </cell>
          <cell r="F2189">
            <v>57.52</v>
          </cell>
          <cell r="G2189" t="str">
            <v>EUR</v>
          </cell>
          <cell r="H2189" t="e">
            <v>#VALUE!</v>
          </cell>
          <cell r="I2189" t="str">
            <v>STAPLEREFH</v>
          </cell>
        </row>
        <row r="2190">
          <cell r="D2190">
            <v>410802</v>
          </cell>
          <cell r="E2190" t="str">
            <v>EUR</v>
          </cell>
          <cell r="F2190">
            <v>27.48</v>
          </cell>
          <cell r="G2190" t="str">
            <v>EUR</v>
          </cell>
          <cell r="H2190" t="e">
            <v>#VALUE!</v>
          </cell>
          <cell r="I2190" t="str">
            <v>STAPLEREFK</v>
          </cell>
        </row>
        <row r="2191">
          <cell r="D2191">
            <v>411241</v>
          </cell>
          <cell r="E2191" t="str">
            <v>EUR</v>
          </cell>
          <cell r="F2191">
            <v>19.75</v>
          </cell>
          <cell r="G2191" t="str">
            <v>EUR</v>
          </cell>
          <cell r="H2191" t="e">
            <v>#VALUE!</v>
          </cell>
          <cell r="I2191" t="str">
            <v>STAPLEREFL</v>
          </cell>
        </row>
        <row r="2192">
          <cell r="D2192">
            <v>208171</v>
          </cell>
          <cell r="E2192" t="str">
            <v>EUR</v>
          </cell>
          <cell r="F2192">
            <v>22.06</v>
          </cell>
          <cell r="G2192" t="str">
            <v>EUR</v>
          </cell>
          <cell r="H2192" t="e">
            <v>#VALUE!</v>
          </cell>
          <cell r="I2192" t="str">
            <v>STAPLETYPEC</v>
          </cell>
        </row>
        <row r="2193">
          <cell r="D2193">
            <v>208532</v>
          </cell>
          <cell r="E2193" t="str">
            <v>EUR</v>
          </cell>
          <cell r="F2193">
            <v>17.64</v>
          </cell>
          <cell r="G2193" t="str">
            <v>EUR</v>
          </cell>
          <cell r="H2193" t="e">
            <v>#VALUE!</v>
          </cell>
          <cell r="I2193" t="str">
            <v>STAPLETYPED</v>
          </cell>
        </row>
        <row r="2194">
          <cell r="D2194">
            <v>317927</v>
          </cell>
          <cell r="E2194" t="str">
            <v>EUR</v>
          </cell>
          <cell r="F2194">
            <v>16.03</v>
          </cell>
          <cell r="G2194" t="str">
            <v>EUR</v>
          </cell>
          <cell r="H2194" t="e">
            <v>#VALUE!</v>
          </cell>
          <cell r="I2194" t="str">
            <v>STAPLETYPEE</v>
          </cell>
        </row>
        <row r="2195">
          <cell r="D2195">
            <v>209307</v>
          </cell>
          <cell r="E2195" t="str">
            <v>EUR</v>
          </cell>
          <cell r="F2195">
            <v>24.08</v>
          </cell>
          <cell r="G2195" t="str">
            <v>EUR</v>
          </cell>
          <cell r="H2195" t="e">
            <v>#VALUE!</v>
          </cell>
          <cell r="I2195" t="str">
            <v>STAPLETYPEF</v>
          </cell>
        </row>
        <row r="2196">
          <cell r="D2196">
            <v>410133</v>
          </cell>
          <cell r="E2196" t="str">
            <v>EUR</v>
          </cell>
          <cell r="F2196">
            <v>24.08</v>
          </cell>
          <cell r="G2196" t="str">
            <v>EUR</v>
          </cell>
          <cell r="H2196" t="e">
            <v>#VALUE!</v>
          </cell>
          <cell r="I2196" t="str">
            <v>STAPLETYPEG</v>
          </cell>
        </row>
        <row r="2197">
          <cell r="D2197">
            <v>410508</v>
          </cell>
          <cell r="E2197" t="str">
            <v>EUR</v>
          </cell>
          <cell r="F2197">
            <v>25.55</v>
          </cell>
          <cell r="G2197" t="str">
            <v>EUR</v>
          </cell>
          <cell r="H2197" t="e">
            <v>#VALUE!</v>
          </cell>
          <cell r="I2197" t="str">
            <v>STAPLETYPEH</v>
          </cell>
        </row>
        <row r="2198">
          <cell r="D2198">
            <v>410597</v>
          </cell>
          <cell r="E2198" t="str">
            <v>EUR</v>
          </cell>
          <cell r="F2198">
            <v>29.56</v>
          </cell>
          <cell r="G2198" t="str">
            <v>EUR</v>
          </cell>
          <cell r="H2198" t="e">
            <v>#VALUE!</v>
          </cell>
          <cell r="I2198" t="str">
            <v>STAPLETYPEJ</v>
          </cell>
        </row>
        <row r="2199">
          <cell r="D2199">
            <v>410801</v>
          </cell>
          <cell r="E2199" t="str">
            <v>EUR</v>
          </cell>
          <cell r="F2199">
            <v>15.7</v>
          </cell>
          <cell r="G2199" t="str">
            <v>EUR</v>
          </cell>
          <cell r="H2199" t="e">
            <v>#VALUE!</v>
          </cell>
          <cell r="I2199" t="str">
            <v>STAPLETYPEK</v>
          </cell>
        </row>
        <row r="2200">
          <cell r="D2200">
            <v>411240</v>
          </cell>
          <cell r="E2200" t="str">
            <v>EUR</v>
          </cell>
          <cell r="F2200">
            <v>11.82</v>
          </cell>
          <cell r="G2200" t="str">
            <v>EUR</v>
          </cell>
          <cell r="H2200" t="e">
            <v>#VALUE!</v>
          </cell>
          <cell r="I2200" t="str">
            <v>STAPLETYPEL</v>
          </cell>
        </row>
        <row r="2201">
          <cell r="D2201">
            <v>923978</v>
          </cell>
          <cell r="E2201" t="str">
            <v>EUR</v>
          </cell>
          <cell r="F2201">
            <v>107.99</v>
          </cell>
          <cell r="G2201" t="e">
            <v>#N/A</v>
          </cell>
          <cell r="H2201" t="e">
            <v>#N/A</v>
          </cell>
          <cell r="I2201" t="str">
            <v>TONAP1610USA</v>
          </cell>
        </row>
        <row r="2202">
          <cell r="D2202">
            <v>887669</v>
          </cell>
          <cell r="E2202" t="str">
            <v>EUR</v>
          </cell>
          <cell r="F2202">
            <v>54.47</v>
          </cell>
          <cell r="G2202" t="e">
            <v>#N/A</v>
          </cell>
          <cell r="H2202" t="e">
            <v>#N/A</v>
          </cell>
          <cell r="I2202" t="str">
            <v>TONERKITM</v>
          </cell>
        </row>
        <row r="2203">
          <cell r="D2203">
            <v>394700</v>
          </cell>
          <cell r="E2203" t="str">
            <v>EUR</v>
          </cell>
          <cell r="F2203">
            <v>54.3</v>
          </cell>
          <cell r="G2203" t="e">
            <v>#N/A</v>
          </cell>
          <cell r="H2203" t="e">
            <v>#N/A</v>
          </cell>
          <cell r="I2203" t="str">
            <v>TONERKITMN</v>
          </cell>
        </row>
        <row r="2204">
          <cell r="D2204">
            <v>357126</v>
          </cell>
          <cell r="E2204" t="str">
            <v>EUR</v>
          </cell>
          <cell r="F2204">
            <v>20.45</v>
          </cell>
          <cell r="G2204" t="e">
            <v>#N/A</v>
          </cell>
          <cell r="H2204" t="e">
            <v>#N/A</v>
          </cell>
          <cell r="I2204" t="str">
            <v>TONERKIT80RB</v>
          </cell>
        </row>
        <row r="2205">
          <cell r="D2205">
            <v>885104</v>
          </cell>
          <cell r="E2205" t="str">
            <v>EUR</v>
          </cell>
          <cell r="F2205">
            <v>65.459999999999994</v>
          </cell>
          <cell r="G2205" t="e">
            <v>#N/A</v>
          </cell>
          <cell r="H2205" t="e">
            <v>#N/A</v>
          </cell>
          <cell r="I2205" t="str">
            <v>TONER10DFRA</v>
          </cell>
        </row>
        <row r="2206">
          <cell r="D2206">
            <v>888037</v>
          </cell>
          <cell r="E2206" t="str">
            <v>EUR</v>
          </cell>
          <cell r="F2206">
            <v>104.94</v>
          </cell>
          <cell r="G2206" t="str">
            <v>EUR</v>
          </cell>
          <cell r="H2206" t="e">
            <v>#VALUE!</v>
          </cell>
          <cell r="I2206" t="str">
            <v>TONER105CYN</v>
          </cell>
        </row>
        <row r="2207">
          <cell r="D2207">
            <v>888036</v>
          </cell>
          <cell r="E2207" t="str">
            <v>EUR</v>
          </cell>
          <cell r="F2207">
            <v>104.94</v>
          </cell>
          <cell r="G2207" t="str">
            <v>EUR</v>
          </cell>
          <cell r="H2207" t="e">
            <v>#VALUE!</v>
          </cell>
          <cell r="I2207" t="str">
            <v>TONER105MAG</v>
          </cell>
        </row>
        <row r="2208">
          <cell r="D2208">
            <v>888035</v>
          </cell>
          <cell r="E2208" t="str">
            <v>EUR</v>
          </cell>
          <cell r="F2208">
            <v>104.94</v>
          </cell>
          <cell r="G2208" t="str">
            <v>EUR</v>
          </cell>
          <cell r="H2208" t="e">
            <v>#VALUE!</v>
          </cell>
          <cell r="I2208" t="str">
            <v>TONER105YLW</v>
          </cell>
        </row>
        <row r="2209">
          <cell r="D2209">
            <v>885109</v>
          </cell>
          <cell r="E2209" t="str">
            <v>EUR</v>
          </cell>
          <cell r="F2209">
            <v>47.4</v>
          </cell>
          <cell r="G2209" t="e">
            <v>#N/A</v>
          </cell>
          <cell r="H2209" t="e">
            <v>#N/A</v>
          </cell>
          <cell r="I2209" t="str">
            <v>TONER20DEFRA</v>
          </cell>
        </row>
        <row r="2210">
          <cell r="D2210">
            <v>888032</v>
          </cell>
          <cell r="E2210" t="str">
            <v>EUR</v>
          </cell>
          <cell r="F2210">
            <v>41.79</v>
          </cell>
          <cell r="G2210" t="str">
            <v>EUR</v>
          </cell>
          <cell r="H2210" t="e">
            <v>#VALUE!</v>
          </cell>
          <cell r="I2210" t="str">
            <v>TONER205BLA</v>
          </cell>
        </row>
        <row r="2211">
          <cell r="D2211">
            <v>887849</v>
          </cell>
          <cell r="E2211" t="str">
            <v>EUR</v>
          </cell>
          <cell r="F2211">
            <v>75.05</v>
          </cell>
          <cell r="G2211" t="str">
            <v>EUR</v>
          </cell>
          <cell r="H2211" t="e">
            <v>#VALUE!</v>
          </cell>
          <cell r="I2211" t="str">
            <v>TONTYPEHCYN</v>
          </cell>
        </row>
        <row r="2212">
          <cell r="D2212">
            <v>887848</v>
          </cell>
          <cell r="E2212" t="str">
            <v>EUR</v>
          </cell>
          <cell r="F2212">
            <v>75.05</v>
          </cell>
          <cell r="G2212" t="str">
            <v>EUR</v>
          </cell>
          <cell r="H2212" t="e">
            <v>#VALUE!</v>
          </cell>
          <cell r="I2212" t="str">
            <v>TONTYPEHMAG</v>
          </cell>
        </row>
        <row r="2213">
          <cell r="D2213">
            <v>887845</v>
          </cell>
          <cell r="E2213" t="str">
            <v>EUR</v>
          </cell>
          <cell r="F2213">
            <v>79.05</v>
          </cell>
          <cell r="G2213" t="str">
            <v>EUR</v>
          </cell>
          <cell r="H2213" t="e">
            <v>#VALUE!</v>
          </cell>
          <cell r="I2213" t="str">
            <v>TONTYPEHXBLA</v>
          </cell>
        </row>
        <row r="2214">
          <cell r="D2214">
            <v>887847</v>
          </cell>
          <cell r="E2214" t="str">
            <v>EUR</v>
          </cell>
          <cell r="F2214">
            <v>75.05</v>
          </cell>
          <cell r="G2214" t="str">
            <v>EUR</v>
          </cell>
          <cell r="H2214" t="e">
            <v>#VALUE!</v>
          </cell>
          <cell r="I2214" t="str">
            <v>TONTYPEHYLW</v>
          </cell>
        </row>
        <row r="2215">
          <cell r="D2215">
            <v>887813</v>
          </cell>
          <cell r="E2215" t="str">
            <v>EUR</v>
          </cell>
          <cell r="F2215">
            <v>86.89</v>
          </cell>
          <cell r="G2215" t="str">
            <v>EUR</v>
          </cell>
          <cell r="H2215" t="e">
            <v>#VALUE!</v>
          </cell>
          <cell r="I2215" t="str">
            <v>TONTYPEJBLA</v>
          </cell>
        </row>
        <row r="2216">
          <cell r="D2216">
            <v>887816</v>
          </cell>
          <cell r="E2216" t="str">
            <v>EUR</v>
          </cell>
          <cell r="F2216">
            <v>96.57</v>
          </cell>
          <cell r="G2216" t="str">
            <v>EUR</v>
          </cell>
          <cell r="H2216" t="e">
            <v>#VALUE!</v>
          </cell>
          <cell r="I2216" t="str">
            <v>TONTYPEJCYN</v>
          </cell>
        </row>
        <row r="2217">
          <cell r="D2217">
            <v>887815</v>
          </cell>
          <cell r="E2217" t="str">
            <v>EUR</v>
          </cell>
          <cell r="F2217">
            <v>96.57</v>
          </cell>
          <cell r="G2217" t="str">
            <v>EUR</v>
          </cell>
          <cell r="H2217" t="e">
            <v>#VALUE!</v>
          </cell>
          <cell r="I2217" t="str">
            <v>TONTYPEJMAG</v>
          </cell>
        </row>
        <row r="2218">
          <cell r="D2218">
            <v>887814</v>
          </cell>
          <cell r="E2218" t="str">
            <v>EUR</v>
          </cell>
          <cell r="F2218">
            <v>96.57</v>
          </cell>
          <cell r="G2218" t="str">
            <v>EUR</v>
          </cell>
          <cell r="H2218" t="e">
            <v>#VALUE!</v>
          </cell>
          <cell r="I2218" t="str">
            <v>TONTYPEJYLW</v>
          </cell>
        </row>
        <row r="2219">
          <cell r="D2219">
            <v>887914</v>
          </cell>
          <cell r="E2219" t="str">
            <v>EUR</v>
          </cell>
          <cell r="F2219">
            <v>49.16</v>
          </cell>
          <cell r="G2219" t="str">
            <v>EUR</v>
          </cell>
          <cell r="H2219" t="e">
            <v>#VALUE!</v>
          </cell>
          <cell r="I2219" t="str">
            <v>TONTYPEK1BLA</v>
          </cell>
        </row>
        <row r="2220">
          <cell r="D2220">
            <v>887933</v>
          </cell>
          <cell r="E2220" t="str">
            <v>EUR</v>
          </cell>
          <cell r="F2220">
            <v>125.61</v>
          </cell>
          <cell r="G2220" t="str">
            <v>EUR</v>
          </cell>
          <cell r="H2220" t="e">
            <v>#VALUE!</v>
          </cell>
          <cell r="I2220" t="str">
            <v>TONTYPEK1CYN</v>
          </cell>
        </row>
        <row r="2221">
          <cell r="D2221">
            <v>887927</v>
          </cell>
          <cell r="E2221" t="str">
            <v>EUR</v>
          </cell>
          <cell r="F2221">
            <v>125.61</v>
          </cell>
          <cell r="G2221" t="str">
            <v>EUR</v>
          </cell>
          <cell r="H2221" t="e">
            <v>#VALUE!</v>
          </cell>
          <cell r="I2221" t="str">
            <v>TONTYPEK1MAG</v>
          </cell>
        </row>
        <row r="2222">
          <cell r="D2222">
            <v>887921</v>
          </cell>
          <cell r="E2222" t="str">
            <v>EUR</v>
          </cell>
          <cell r="F2222">
            <v>125.61</v>
          </cell>
          <cell r="G2222" t="str">
            <v>EUR</v>
          </cell>
          <cell r="H2222" t="e">
            <v>#VALUE!</v>
          </cell>
          <cell r="I2222" t="str">
            <v>TONTYPEK1YLW</v>
          </cell>
        </row>
        <row r="2223">
          <cell r="D2223">
            <v>887890</v>
          </cell>
          <cell r="E2223" t="str">
            <v>EUR</v>
          </cell>
          <cell r="F2223">
            <v>131.54</v>
          </cell>
          <cell r="G2223" t="str">
            <v>EUR</v>
          </cell>
          <cell r="H2223" t="e">
            <v>#VALUE!</v>
          </cell>
          <cell r="I2223" t="str">
            <v>TONTYPEL1BLA</v>
          </cell>
        </row>
        <row r="2224">
          <cell r="D2224">
            <v>887908</v>
          </cell>
          <cell r="E2224" t="str">
            <v>EUR</v>
          </cell>
          <cell r="F2224">
            <v>149.5</v>
          </cell>
          <cell r="G2224" t="str">
            <v>EUR</v>
          </cell>
          <cell r="H2224" t="e">
            <v>#VALUE!</v>
          </cell>
          <cell r="I2224" t="str">
            <v>TONTYPEL1CYN</v>
          </cell>
        </row>
        <row r="2225">
          <cell r="D2225">
            <v>887902</v>
          </cell>
          <cell r="E2225" t="str">
            <v>EUR</v>
          </cell>
          <cell r="F2225">
            <v>149.5</v>
          </cell>
          <cell r="G2225" t="str">
            <v>EUR</v>
          </cell>
          <cell r="H2225" t="e">
            <v>#VALUE!</v>
          </cell>
          <cell r="I2225" t="str">
            <v>TONTYPEL1MAG</v>
          </cell>
        </row>
        <row r="2226">
          <cell r="D2226">
            <v>887896</v>
          </cell>
          <cell r="E2226" t="str">
            <v>EUR</v>
          </cell>
          <cell r="F2226">
            <v>149.5</v>
          </cell>
          <cell r="G2226" t="str">
            <v>EUR</v>
          </cell>
          <cell r="H2226" t="e">
            <v>#VALUE!</v>
          </cell>
          <cell r="I2226" t="str">
            <v>TONTYPEL1YLW</v>
          </cell>
        </row>
        <row r="2227">
          <cell r="D2227">
            <v>885165</v>
          </cell>
          <cell r="E2227" t="str">
            <v>EUR</v>
          </cell>
          <cell r="F2227">
            <v>53.65</v>
          </cell>
          <cell r="G2227" t="e">
            <v>#N/A</v>
          </cell>
          <cell r="H2227" t="e">
            <v>#N/A</v>
          </cell>
          <cell r="I2227" t="str">
            <v>TONTYPE1100W</v>
          </cell>
        </row>
        <row r="2228">
          <cell r="D2228">
            <v>410303</v>
          </cell>
          <cell r="E2228" t="str">
            <v>EUR</v>
          </cell>
          <cell r="F2228">
            <v>73.39</v>
          </cell>
          <cell r="G2228" t="str">
            <v>EUR</v>
          </cell>
          <cell r="H2228" t="e">
            <v>#VALUE!</v>
          </cell>
          <cell r="I2228" t="str">
            <v>TONTYPE185</v>
          </cell>
        </row>
        <row r="2229">
          <cell r="D2229">
            <v>394002</v>
          </cell>
          <cell r="E2229" t="str">
            <v>EUR</v>
          </cell>
          <cell r="F2229">
            <v>8.6999999999999993</v>
          </cell>
          <cell r="G2229" t="e">
            <v>#N/A</v>
          </cell>
          <cell r="H2229" t="e">
            <v>#N/A</v>
          </cell>
          <cell r="I2229" t="str">
            <v>TON6000P02CH</v>
          </cell>
        </row>
        <row r="2230">
          <cell r="D2230">
            <v>885195</v>
          </cell>
          <cell r="E2230" t="str">
            <v>EUR</v>
          </cell>
          <cell r="F2230">
            <v>141.65</v>
          </cell>
          <cell r="G2230" t="e">
            <v>#N/A</v>
          </cell>
          <cell r="H2230" t="e">
            <v>#N/A</v>
          </cell>
          <cell r="I2230" t="str">
            <v>TON6205FRA</v>
          </cell>
        </row>
        <row r="2231">
          <cell r="D2231">
            <v>401092</v>
          </cell>
          <cell r="E2231" t="str">
            <v>EUR</v>
          </cell>
          <cell r="F2231">
            <v>43.4</v>
          </cell>
          <cell r="G2231" t="e">
            <v>#N/A</v>
          </cell>
          <cell r="H2231" t="e">
            <v>#N/A</v>
          </cell>
          <cell r="I2231" t="str">
            <v>1120DTONER</v>
          </cell>
        </row>
        <row r="2232">
          <cell r="D2232">
            <v>401129</v>
          </cell>
          <cell r="E2232" t="str">
            <v>EUR</v>
          </cell>
          <cell r="F2232">
            <v>56.73</v>
          </cell>
          <cell r="G2232" t="e">
            <v>#N/A</v>
          </cell>
          <cell r="H2232" t="e">
            <v>#N/A</v>
          </cell>
          <cell r="I2232" t="str">
            <v>1125DTONUK</v>
          </cell>
        </row>
        <row r="2233">
          <cell r="D2233">
            <v>888029</v>
          </cell>
          <cell r="E2233" t="str">
            <v>EUR</v>
          </cell>
          <cell r="F2233">
            <v>65.010000000000005</v>
          </cell>
          <cell r="G2233" t="str">
            <v>EUR</v>
          </cell>
          <cell r="H2233" t="e">
            <v>#VALUE!</v>
          </cell>
          <cell r="I2233" t="str">
            <v>1160WTONER</v>
          </cell>
        </row>
        <row r="2234">
          <cell r="D2234">
            <v>885122</v>
          </cell>
          <cell r="E2234" t="str">
            <v>EUR</v>
          </cell>
          <cell r="F2234">
            <v>45.24</v>
          </cell>
          <cell r="G2234" t="e">
            <v>#N/A</v>
          </cell>
          <cell r="H2234" t="e">
            <v>#N/A</v>
          </cell>
          <cell r="I2234" t="str">
            <v>1205TONERUK</v>
          </cell>
        </row>
        <row r="2235">
          <cell r="D2235">
            <v>339588</v>
          </cell>
          <cell r="E2235" t="str">
            <v>EUR</v>
          </cell>
          <cell r="F2235">
            <v>150.01</v>
          </cell>
          <cell r="G2235" t="str">
            <v>EUR</v>
          </cell>
          <cell r="H2235" t="e">
            <v>#VALUE!</v>
          </cell>
          <cell r="I2235" t="str">
            <v>1210DTONER</v>
          </cell>
        </row>
        <row r="2236">
          <cell r="D2236">
            <v>887754</v>
          </cell>
          <cell r="E2236" t="str">
            <v>EUR</v>
          </cell>
          <cell r="F2236">
            <v>39.21</v>
          </cell>
          <cell r="G2236" t="e">
            <v>#N/A</v>
          </cell>
          <cell r="H2236" t="e">
            <v>#N/A</v>
          </cell>
          <cell r="I2236" t="str">
            <v>1215TONER</v>
          </cell>
        </row>
        <row r="2237">
          <cell r="D2237">
            <v>888078</v>
          </cell>
          <cell r="E2237" t="str">
            <v>EUR</v>
          </cell>
          <cell r="F2237">
            <v>39.22</v>
          </cell>
          <cell r="G2237" t="str">
            <v>EUR</v>
          </cell>
          <cell r="H2237" t="e">
            <v>#VALUE!</v>
          </cell>
          <cell r="I2237" t="str">
            <v>1215TONERKOR</v>
          </cell>
        </row>
        <row r="2238">
          <cell r="D2238">
            <v>888087</v>
          </cell>
          <cell r="E2238" t="str">
            <v>EUR</v>
          </cell>
          <cell r="F2238">
            <v>13.03</v>
          </cell>
          <cell r="G2238" t="str">
            <v>EUR</v>
          </cell>
          <cell r="H2238" t="e">
            <v>#VALUE!</v>
          </cell>
          <cell r="I2238" t="str">
            <v>1220DTONER</v>
          </cell>
        </row>
        <row r="2239">
          <cell r="D2239">
            <v>885258</v>
          </cell>
          <cell r="E2239" t="str">
            <v>EUR</v>
          </cell>
          <cell r="F2239">
            <v>9.33</v>
          </cell>
          <cell r="G2239" t="e">
            <v>#N/A</v>
          </cell>
          <cell r="H2239" t="e">
            <v>#N/A</v>
          </cell>
          <cell r="I2239" t="str">
            <v>1250DTONER</v>
          </cell>
        </row>
        <row r="2240">
          <cell r="D2240">
            <v>411073</v>
          </cell>
          <cell r="E2240" t="str">
            <v>EUR</v>
          </cell>
          <cell r="F2240">
            <v>45.56</v>
          </cell>
          <cell r="G2240" t="str">
            <v>EUR</v>
          </cell>
          <cell r="H2240" t="e">
            <v>#VALUE!</v>
          </cell>
          <cell r="I2240" t="str">
            <v>1255DTONCHN</v>
          </cell>
        </row>
        <row r="2241">
          <cell r="D2241">
            <v>887661</v>
          </cell>
          <cell r="E2241" t="str">
            <v>EUR</v>
          </cell>
          <cell r="F2241">
            <v>25.3</v>
          </cell>
          <cell r="G2241" t="e">
            <v>#N/A</v>
          </cell>
          <cell r="H2241" t="e">
            <v>#N/A</v>
          </cell>
          <cell r="I2241" t="str">
            <v>2050TONBLAUK</v>
          </cell>
        </row>
        <row r="2242">
          <cell r="D2242">
            <v>889873</v>
          </cell>
          <cell r="E2242" t="str">
            <v>EUR</v>
          </cell>
          <cell r="F2242">
            <v>166.78</v>
          </cell>
          <cell r="G2242" t="str">
            <v>EUR</v>
          </cell>
          <cell r="H2242" t="e">
            <v>#VALUE!</v>
          </cell>
          <cell r="I2242" t="str">
            <v>2100DTONER</v>
          </cell>
        </row>
        <row r="2243">
          <cell r="D2243">
            <v>889776</v>
          </cell>
          <cell r="E2243" t="str">
            <v>EUR</v>
          </cell>
          <cell r="F2243">
            <v>195.44</v>
          </cell>
          <cell r="G2243" t="str">
            <v>EUR</v>
          </cell>
          <cell r="H2243" t="e">
            <v>#VALUE!</v>
          </cell>
          <cell r="I2243" t="str">
            <v>2200EXTONER</v>
          </cell>
        </row>
        <row r="2244">
          <cell r="D2244">
            <v>889614</v>
          </cell>
          <cell r="E2244" t="str">
            <v>EUR</v>
          </cell>
          <cell r="F2244">
            <v>50.52</v>
          </cell>
          <cell r="G2244" t="str">
            <v>EUR</v>
          </cell>
          <cell r="H2244" t="e">
            <v>#VALUE!</v>
          </cell>
          <cell r="I2244" t="str">
            <v>2205DTONER</v>
          </cell>
        </row>
        <row r="2245">
          <cell r="D2245">
            <v>887977</v>
          </cell>
          <cell r="E2245" t="str">
            <v>EUR</v>
          </cell>
          <cell r="F2245">
            <v>75.930000000000007</v>
          </cell>
          <cell r="G2245" t="e">
            <v>#N/A</v>
          </cell>
          <cell r="H2245" t="e">
            <v>#N/A</v>
          </cell>
          <cell r="I2245" t="str">
            <v>2210DTONER</v>
          </cell>
        </row>
        <row r="2246">
          <cell r="D2246">
            <v>885229</v>
          </cell>
          <cell r="E2246" t="str">
            <v>EUR</v>
          </cell>
          <cell r="F2246">
            <v>73.7</v>
          </cell>
          <cell r="G2246" t="e">
            <v>#N/A</v>
          </cell>
          <cell r="H2246" t="e">
            <v>#N/A</v>
          </cell>
          <cell r="I2246" t="str">
            <v>2210DTONER2</v>
          </cell>
        </row>
        <row r="2247">
          <cell r="D2247">
            <v>885266</v>
          </cell>
          <cell r="E2247" t="str">
            <v>EUR</v>
          </cell>
          <cell r="F2247">
            <v>12.21</v>
          </cell>
          <cell r="G2247" t="e">
            <v>#N/A</v>
          </cell>
          <cell r="H2247" t="e">
            <v>#N/A</v>
          </cell>
          <cell r="I2247" t="str">
            <v>2220DTONFRA</v>
          </cell>
        </row>
        <row r="2248">
          <cell r="D2248">
            <v>887620</v>
          </cell>
          <cell r="E2248" t="str">
            <v>EUR</v>
          </cell>
          <cell r="F2248">
            <v>28.01</v>
          </cell>
          <cell r="G2248" t="e">
            <v>#N/A</v>
          </cell>
          <cell r="H2248" t="e">
            <v>#N/A</v>
          </cell>
          <cell r="I2248" t="str">
            <v>3000TONERUK</v>
          </cell>
        </row>
        <row r="2249">
          <cell r="D2249">
            <v>887620</v>
          </cell>
          <cell r="E2249" t="str">
            <v>EUR</v>
          </cell>
          <cell r="F2249">
            <v>28.01</v>
          </cell>
          <cell r="G2249" t="e">
            <v>#N/A</v>
          </cell>
          <cell r="H2249" t="e">
            <v>#N/A</v>
          </cell>
          <cell r="I2249" t="str">
            <v>3000TONERUK</v>
          </cell>
        </row>
        <row r="2250">
          <cell r="D2250">
            <v>889268</v>
          </cell>
          <cell r="E2250" t="str">
            <v>EUR</v>
          </cell>
          <cell r="F2250">
            <v>34.42</v>
          </cell>
          <cell r="G2250" t="str">
            <v>EUR</v>
          </cell>
          <cell r="H2250" t="e">
            <v>#VALUE!</v>
          </cell>
          <cell r="I2250" t="str">
            <v>310DEV</v>
          </cell>
        </row>
        <row r="2251">
          <cell r="D2251">
            <v>887612</v>
          </cell>
          <cell r="E2251" t="str">
            <v>EUR</v>
          </cell>
          <cell r="F2251">
            <v>18.059999999999999</v>
          </cell>
          <cell r="G2251" t="e">
            <v>#N/A</v>
          </cell>
          <cell r="H2251" t="e">
            <v>#N/A</v>
          </cell>
          <cell r="I2251" t="str">
            <v>310TONERUK</v>
          </cell>
        </row>
        <row r="2252">
          <cell r="D2252">
            <v>887681</v>
          </cell>
          <cell r="E2252" t="str">
            <v>EUR</v>
          </cell>
          <cell r="F2252">
            <v>18.059999999999999</v>
          </cell>
          <cell r="G2252" t="e">
            <v>#N/A</v>
          </cell>
          <cell r="H2252" t="e">
            <v>#N/A</v>
          </cell>
          <cell r="I2252" t="str">
            <v>320TONERUK</v>
          </cell>
        </row>
        <row r="2253">
          <cell r="D2253">
            <v>885137</v>
          </cell>
          <cell r="E2253" t="str">
            <v>EUR</v>
          </cell>
          <cell r="F2253">
            <v>97.05</v>
          </cell>
          <cell r="G2253" t="e">
            <v>#N/A</v>
          </cell>
          <cell r="H2253" t="e">
            <v>#N/A</v>
          </cell>
          <cell r="I2253" t="str">
            <v>3200DTONFRA</v>
          </cell>
        </row>
        <row r="2254">
          <cell r="D2254">
            <v>885180</v>
          </cell>
          <cell r="E2254" t="str">
            <v>EUR</v>
          </cell>
          <cell r="F2254">
            <v>97.05</v>
          </cell>
          <cell r="G2254" t="e">
            <v>#N/A</v>
          </cell>
          <cell r="H2254" t="e">
            <v>#N/A</v>
          </cell>
          <cell r="I2254" t="str">
            <v>3200DTONUK</v>
          </cell>
        </row>
        <row r="2255">
          <cell r="D2255">
            <v>888063</v>
          </cell>
          <cell r="E2255" t="str">
            <v>EUR</v>
          </cell>
          <cell r="F2255">
            <v>21.92</v>
          </cell>
          <cell r="G2255" t="e">
            <v>#N/A</v>
          </cell>
          <cell r="H2255" t="e">
            <v>#N/A</v>
          </cell>
          <cell r="I2255" t="str">
            <v>3205DTONER</v>
          </cell>
        </row>
        <row r="2256">
          <cell r="D2256">
            <v>885251</v>
          </cell>
          <cell r="E2256" t="str">
            <v>EUR</v>
          </cell>
          <cell r="F2256">
            <v>20.74</v>
          </cell>
          <cell r="G2256" t="e">
            <v>#N/A</v>
          </cell>
          <cell r="H2256" t="e">
            <v>#N/A</v>
          </cell>
          <cell r="I2256" t="str">
            <v>3205DTONFRA</v>
          </cell>
        </row>
        <row r="2257">
          <cell r="D2257">
            <v>889415</v>
          </cell>
          <cell r="E2257" t="str">
            <v>EUR</v>
          </cell>
          <cell r="F2257">
            <v>35.96</v>
          </cell>
          <cell r="G2257" t="e">
            <v>#N/A</v>
          </cell>
          <cell r="H2257" t="e">
            <v>#N/A</v>
          </cell>
          <cell r="I2257" t="str">
            <v>3300DEVUSA</v>
          </cell>
        </row>
        <row r="2258">
          <cell r="D2258">
            <v>889411</v>
          </cell>
          <cell r="E2258" t="str">
            <v>EUR</v>
          </cell>
          <cell r="F2258">
            <v>43.24</v>
          </cell>
          <cell r="G2258" t="e">
            <v>#N/A</v>
          </cell>
          <cell r="H2258" t="e">
            <v>#N/A</v>
          </cell>
          <cell r="I2258" t="str">
            <v>3300TONERUK</v>
          </cell>
        </row>
        <row r="2259">
          <cell r="D2259">
            <v>887133</v>
          </cell>
          <cell r="E2259" t="str">
            <v>EUR</v>
          </cell>
          <cell r="F2259">
            <v>51.95</v>
          </cell>
          <cell r="G2259" t="e">
            <v>#N/A</v>
          </cell>
          <cell r="H2259" t="e">
            <v>#N/A</v>
          </cell>
          <cell r="I2259" t="str">
            <v>4000DEVUSA</v>
          </cell>
        </row>
        <row r="2260">
          <cell r="D2260">
            <v>887621</v>
          </cell>
          <cell r="E2260" t="str">
            <v>EUR</v>
          </cell>
          <cell r="F2260">
            <v>36.85</v>
          </cell>
          <cell r="G2260" t="e">
            <v>#N/A</v>
          </cell>
          <cell r="H2260" t="e">
            <v>#N/A</v>
          </cell>
          <cell r="I2260" t="str">
            <v>4000TONERUK</v>
          </cell>
        </row>
        <row r="2261">
          <cell r="D2261">
            <v>887564</v>
          </cell>
          <cell r="E2261" t="str">
            <v>EUR</v>
          </cell>
          <cell r="F2261">
            <v>32.520000000000003</v>
          </cell>
          <cell r="G2261" t="str">
            <v>EUR</v>
          </cell>
          <cell r="H2261" t="e">
            <v>#VALUE!</v>
          </cell>
          <cell r="I2261" t="str">
            <v>4418DEVBLA</v>
          </cell>
        </row>
        <row r="2262">
          <cell r="D2262">
            <v>887610</v>
          </cell>
          <cell r="E2262" t="str">
            <v>EUR</v>
          </cell>
          <cell r="F2262">
            <v>37.83</v>
          </cell>
          <cell r="G2262" t="e">
            <v>#N/A</v>
          </cell>
          <cell r="H2262" t="e">
            <v>#N/A</v>
          </cell>
          <cell r="I2262" t="str">
            <v>4418TONBLAUK</v>
          </cell>
        </row>
        <row r="2263">
          <cell r="D2263">
            <v>887530</v>
          </cell>
          <cell r="E2263" t="str">
            <v>EUR</v>
          </cell>
          <cell r="F2263">
            <v>45.58</v>
          </cell>
          <cell r="G2263" t="str">
            <v>EUR</v>
          </cell>
          <cell r="H2263" t="e">
            <v>#VALUE!</v>
          </cell>
          <cell r="I2263" t="str">
            <v>4418TONERBLU</v>
          </cell>
        </row>
        <row r="2264">
          <cell r="D2264">
            <v>887533</v>
          </cell>
          <cell r="E2264" t="str">
            <v>EUR</v>
          </cell>
          <cell r="F2264">
            <v>45.58</v>
          </cell>
          <cell r="G2264" t="str">
            <v>EUR</v>
          </cell>
          <cell r="H2264" t="e">
            <v>#VALUE!</v>
          </cell>
          <cell r="I2264" t="str">
            <v>4418TONERGRE</v>
          </cell>
        </row>
        <row r="2265">
          <cell r="D2265">
            <v>887527</v>
          </cell>
          <cell r="E2265" t="str">
            <v>EUR</v>
          </cell>
          <cell r="F2265">
            <v>45.58</v>
          </cell>
          <cell r="G2265" t="str">
            <v>EUR</v>
          </cell>
          <cell r="H2265" t="e">
            <v>#VALUE!</v>
          </cell>
          <cell r="I2265" t="str">
            <v>4418TONERRED</v>
          </cell>
        </row>
        <row r="2266">
          <cell r="D2266">
            <v>887459</v>
          </cell>
          <cell r="E2266" t="str">
            <v>EUR</v>
          </cell>
          <cell r="F2266">
            <v>136.13</v>
          </cell>
          <cell r="G2266" t="str">
            <v>EUR</v>
          </cell>
          <cell r="H2266" t="e">
            <v>#VALUE!</v>
          </cell>
          <cell r="I2266" t="str">
            <v>4460TONERBLA</v>
          </cell>
        </row>
        <row r="2267">
          <cell r="D2267">
            <v>885103</v>
          </cell>
          <cell r="E2267" t="str">
            <v>EUR</v>
          </cell>
          <cell r="F2267">
            <v>31.21</v>
          </cell>
          <cell r="G2267" t="e">
            <v>#N/A</v>
          </cell>
          <cell r="H2267" t="e">
            <v>#N/A</v>
          </cell>
          <cell r="I2267" t="str">
            <v>450TONERFRA</v>
          </cell>
        </row>
        <row r="2268">
          <cell r="D2268">
            <v>887622</v>
          </cell>
          <cell r="E2268" t="str">
            <v>EUR</v>
          </cell>
          <cell r="F2268">
            <v>33.9</v>
          </cell>
          <cell r="G2268" t="e">
            <v>#N/A</v>
          </cell>
          <cell r="H2268" t="e">
            <v>#N/A</v>
          </cell>
          <cell r="I2268" t="str">
            <v>5000TONERUK</v>
          </cell>
        </row>
        <row r="2269">
          <cell r="D2269">
            <v>887655</v>
          </cell>
          <cell r="E2269" t="str">
            <v>EUR</v>
          </cell>
          <cell r="F2269">
            <v>56.51</v>
          </cell>
          <cell r="G2269" t="e">
            <v>#N/A</v>
          </cell>
          <cell r="H2269" t="e">
            <v>#N/A</v>
          </cell>
          <cell r="I2269" t="str">
            <v>5010TONBLUK</v>
          </cell>
        </row>
        <row r="2270">
          <cell r="D2270">
            <v>887616</v>
          </cell>
          <cell r="E2270" t="str">
            <v>EUR</v>
          </cell>
          <cell r="F2270">
            <v>37.54</v>
          </cell>
          <cell r="G2270" t="e">
            <v>#N/A</v>
          </cell>
          <cell r="H2270" t="e">
            <v>#N/A</v>
          </cell>
          <cell r="I2270" t="str">
            <v>510TONBLAUK</v>
          </cell>
        </row>
        <row r="2271">
          <cell r="D2271">
            <v>887741</v>
          </cell>
          <cell r="E2271" t="str">
            <v>EUR</v>
          </cell>
          <cell r="F2271">
            <v>121</v>
          </cell>
          <cell r="G2271" t="e">
            <v>#N/A</v>
          </cell>
          <cell r="H2271" t="e">
            <v>#N/A</v>
          </cell>
          <cell r="I2271" t="str">
            <v>5200DTONER</v>
          </cell>
        </row>
        <row r="2272">
          <cell r="D2272">
            <v>885190</v>
          </cell>
          <cell r="E2272" t="str">
            <v>EUR</v>
          </cell>
          <cell r="F2272">
            <v>117.3</v>
          </cell>
          <cell r="G2272" t="e">
            <v>#N/A</v>
          </cell>
          <cell r="H2272" t="e">
            <v>#N/A</v>
          </cell>
          <cell r="I2272" t="str">
            <v>5200DTONFRA</v>
          </cell>
        </row>
        <row r="2273">
          <cell r="D2273">
            <v>887995</v>
          </cell>
          <cell r="E2273" t="str">
            <v>EUR</v>
          </cell>
          <cell r="F2273">
            <v>130.72</v>
          </cell>
          <cell r="G2273" t="e">
            <v>#N/A</v>
          </cell>
          <cell r="H2273" t="e">
            <v>#N/A</v>
          </cell>
          <cell r="I2273" t="str">
            <v>5205DTONER</v>
          </cell>
        </row>
        <row r="2274">
          <cell r="D2274">
            <v>885241</v>
          </cell>
          <cell r="E2274" t="str">
            <v>EUR</v>
          </cell>
          <cell r="F2274">
            <v>123.32</v>
          </cell>
          <cell r="G2274" t="e">
            <v>#N/A</v>
          </cell>
          <cell r="H2274" t="e">
            <v>#N/A</v>
          </cell>
          <cell r="I2274" t="str">
            <v>5205DTONER2</v>
          </cell>
        </row>
        <row r="2275">
          <cell r="D2275">
            <v>885102</v>
          </cell>
          <cell r="E2275" t="str">
            <v>EUR</v>
          </cell>
          <cell r="F2275">
            <v>113.22</v>
          </cell>
          <cell r="G2275" t="e">
            <v>#N/A</v>
          </cell>
          <cell r="H2275" t="e">
            <v>#N/A</v>
          </cell>
          <cell r="I2275" t="str">
            <v>610TONERFRA</v>
          </cell>
        </row>
        <row r="2276">
          <cell r="D2276">
            <v>887642</v>
          </cell>
          <cell r="E2276" t="str">
            <v>EUR</v>
          </cell>
          <cell r="F2276">
            <v>113.22</v>
          </cell>
          <cell r="G2276" t="e">
            <v>#N/A</v>
          </cell>
          <cell r="H2276" t="e">
            <v>#N/A</v>
          </cell>
          <cell r="I2276" t="str">
            <v>610TONERUK</v>
          </cell>
        </row>
        <row r="2277">
          <cell r="D2277">
            <v>885274</v>
          </cell>
          <cell r="E2277" t="str">
            <v>EUR</v>
          </cell>
          <cell r="F2277">
            <v>31.58</v>
          </cell>
          <cell r="G2277" t="e">
            <v>#N/A</v>
          </cell>
          <cell r="H2277" t="e">
            <v>#N/A</v>
          </cell>
          <cell r="I2277" t="str">
            <v>6210DTONER</v>
          </cell>
        </row>
        <row r="2278">
          <cell r="D2278">
            <v>887576</v>
          </cell>
          <cell r="E2278" t="str">
            <v>EUR</v>
          </cell>
          <cell r="F2278">
            <v>67.430000000000007</v>
          </cell>
          <cell r="G2278" t="str">
            <v>EUR</v>
          </cell>
          <cell r="H2278" t="e">
            <v>#VALUE!</v>
          </cell>
          <cell r="I2278" t="str">
            <v>670DEV</v>
          </cell>
        </row>
        <row r="2279">
          <cell r="D2279">
            <v>887571</v>
          </cell>
          <cell r="E2279" t="str">
            <v>EUR</v>
          </cell>
          <cell r="F2279">
            <v>47.81</v>
          </cell>
          <cell r="G2279" t="e">
            <v>#N/A</v>
          </cell>
          <cell r="H2279" t="e">
            <v>#N/A</v>
          </cell>
          <cell r="I2279" t="str">
            <v>670TONERUSA</v>
          </cell>
        </row>
        <row r="2280">
          <cell r="D2280">
            <v>887656</v>
          </cell>
          <cell r="E2280" t="str">
            <v>EUR</v>
          </cell>
          <cell r="F2280">
            <v>69.62</v>
          </cell>
          <cell r="G2280" t="e">
            <v>#N/A</v>
          </cell>
          <cell r="H2280" t="e">
            <v>#N/A</v>
          </cell>
          <cell r="I2280" t="str">
            <v>7770TONERUK</v>
          </cell>
        </row>
        <row r="2281">
          <cell r="D2281">
            <v>887447</v>
          </cell>
          <cell r="E2281" t="str">
            <v>EUR</v>
          </cell>
          <cell r="F2281">
            <v>495.57</v>
          </cell>
          <cell r="G2281" t="str">
            <v>EUR</v>
          </cell>
          <cell r="H2281" t="e">
            <v>#VALUE!</v>
          </cell>
          <cell r="I2281" t="str">
            <v>800TONERBLA</v>
          </cell>
        </row>
        <row r="2282">
          <cell r="D2282">
            <v>887188</v>
          </cell>
          <cell r="E2282" t="str">
            <v>EUR</v>
          </cell>
          <cell r="F2282">
            <v>162.24</v>
          </cell>
          <cell r="G2282" t="str">
            <v>EUR</v>
          </cell>
          <cell r="H2282" t="e">
            <v>#VALUE!</v>
          </cell>
          <cell r="I2282" t="str">
            <v>820DEV</v>
          </cell>
        </row>
        <row r="2283">
          <cell r="D2283">
            <v>888009</v>
          </cell>
          <cell r="E2283" t="str">
            <v>EUR</v>
          </cell>
          <cell r="F2283">
            <v>139.9</v>
          </cell>
          <cell r="G2283" t="str">
            <v>EUR</v>
          </cell>
          <cell r="H2283" t="e">
            <v>#VALUE!</v>
          </cell>
          <cell r="I2283" t="str">
            <v>8200DTONER</v>
          </cell>
        </row>
        <row r="2284">
          <cell r="D2284">
            <v>888157</v>
          </cell>
          <cell r="E2284" t="str">
            <v>EUR</v>
          </cell>
          <cell r="F2284">
            <v>36.28</v>
          </cell>
          <cell r="G2284" t="e">
            <v>#N/A</v>
          </cell>
          <cell r="H2284" t="e">
            <v>#N/A</v>
          </cell>
          <cell r="I2284" t="str">
            <v>8205DTONER</v>
          </cell>
        </row>
        <row r="2285">
          <cell r="D2285">
            <v>889580</v>
          </cell>
          <cell r="E2285" t="str">
            <v>EUR</v>
          </cell>
          <cell r="F2285">
            <v>145.87</v>
          </cell>
          <cell r="G2285" t="str">
            <v>EUR</v>
          </cell>
          <cell r="H2285" t="e">
            <v>#VALUE!</v>
          </cell>
          <cell r="I2285" t="str">
            <v>8800DEVBLA</v>
          </cell>
        </row>
        <row r="2286">
          <cell r="D2286">
            <v>887695</v>
          </cell>
          <cell r="E2286" t="str">
            <v>EUR</v>
          </cell>
          <cell r="F2286">
            <v>238.18</v>
          </cell>
          <cell r="G2286" t="e">
            <v>#N/A</v>
          </cell>
          <cell r="H2286" t="e">
            <v>#N/A</v>
          </cell>
          <cell r="I2286" t="str">
            <v>8800TONERUK</v>
          </cell>
        </row>
        <row r="2287">
          <cell r="D2287">
            <v>209890</v>
          </cell>
          <cell r="E2287" t="str">
            <v>EUR</v>
          </cell>
          <cell r="F2287">
            <v>104.21</v>
          </cell>
          <cell r="G2287" t="str">
            <v>EUR</v>
          </cell>
          <cell r="H2287" t="e">
            <v>#VALUE!</v>
          </cell>
          <cell r="I2287" t="str">
            <v>AF251MAST</v>
          </cell>
        </row>
        <row r="2288">
          <cell r="D2288">
            <v>400398</v>
          </cell>
          <cell r="E2288" t="str">
            <v>EUR</v>
          </cell>
          <cell r="F2288">
            <v>57.15</v>
          </cell>
          <cell r="G2288" t="str">
            <v>EUR</v>
          </cell>
          <cell r="H2288" t="e">
            <v>#VALUE!</v>
          </cell>
          <cell r="I2288" t="str">
            <v>AP1400TONER</v>
          </cell>
        </row>
        <row r="2289">
          <cell r="D2289">
            <v>400679</v>
          </cell>
          <cell r="E2289" t="str">
            <v>EUR</v>
          </cell>
          <cell r="F2289">
            <v>143.82</v>
          </cell>
          <cell r="G2289" t="e">
            <v>#N/A</v>
          </cell>
          <cell r="H2289" t="e">
            <v>#N/A</v>
          </cell>
          <cell r="I2289" t="str">
            <v>AP200TONCHN</v>
          </cell>
        </row>
        <row r="2290">
          <cell r="D2290">
            <v>400618</v>
          </cell>
          <cell r="E2290" t="str">
            <v>EUR</v>
          </cell>
          <cell r="F2290">
            <v>147.27000000000001</v>
          </cell>
          <cell r="G2290" t="e">
            <v>#N/A</v>
          </cell>
          <cell r="H2290" t="e">
            <v>#N/A</v>
          </cell>
          <cell r="I2290" t="str">
            <v>AP200TONER</v>
          </cell>
        </row>
        <row r="2291">
          <cell r="D2291">
            <v>400395</v>
          </cell>
          <cell r="E2291" t="str">
            <v>EUR</v>
          </cell>
          <cell r="F2291">
            <v>95.43</v>
          </cell>
          <cell r="G2291" t="str">
            <v>EUR</v>
          </cell>
          <cell r="H2291" t="e">
            <v>#VALUE!</v>
          </cell>
          <cell r="I2291" t="str">
            <v>AP2000TONER</v>
          </cell>
        </row>
        <row r="2292">
          <cell r="D2292">
            <v>400321</v>
          </cell>
          <cell r="E2292" t="str">
            <v>EUR</v>
          </cell>
          <cell r="F2292">
            <v>25.22</v>
          </cell>
          <cell r="G2292" t="str">
            <v>EUR</v>
          </cell>
          <cell r="H2292" t="e">
            <v>#VALUE!</v>
          </cell>
          <cell r="I2292" t="str">
            <v>AP204OIL</v>
          </cell>
        </row>
        <row r="2293">
          <cell r="D2293">
            <v>400320</v>
          </cell>
          <cell r="E2293" t="str">
            <v>EUR</v>
          </cell>
          <cell r="F2293">
            <v>136.46</v>
          </cell>
          <cell r="G2293" t="str">
            <v>EUR</v>
          </cell>
          <cell r="H2293" t="e">
            <v>#VALUE!</v>
          </cell>
          <cell r="I2293" t="str">
            <v>AP204PCU</v>
          </cell>
        </row>
        <row r="2294">
          <cell r="D2294">
            <v>400316</v>
          </cell>
          <cell r="E2294" t="str">
            <v>EUR</v>
          </cell>
          <cell r="F2294">
            <v>63.16</v>
          </cell>
          <cell r="G2294" t="str">
            <v>EUR</v>
          </cell>
          <cell r="H2294" t="e">
            <v>#VALUE!</v>
          </cell>
          <cell r="I2294" t="str">
            <v>AP204TONBLA</v>
          </cell>
        </row>
        <row r="2295">
          <cell r="D2295">
            <v>400317</v>
          </cell>
          <cell r="E2295" t="str">
            <v>EUR</v>
          </cell>
          <cell r="F2295">
            <v>56.38</v>
          </cell>
          <cell r="G2295" t="str">
            <v>EUR</v>
          </cell>
          <cell r="H2295" t="e">
            <v>#VALUE!</v>
          </cell>
          <cell r="I2295" t="str">
            <v>AP204TONCYN</v>
          </cell>
        </row>
        <row r="2296">
          <cell r="D2296">
            <v>400318</v>
          </cell>
          <cell r="E2296" t="str">
            <v>EUR</v>
          </cell>
          <cell r="F2296">
            <v>56.38</v>
          </cell>
          <cell r="G2296" t="str">
            <v>EUR</v>
          </cell>
          <cell r="H2296" t="e">
            <v>#VALUE!</v>
          </cell>
          <cell r="I2296" t="str">
            <v>AP204TONMAG</v>
          </cell>
        </row>
        <row r="2297">
          <cell r="D2297">
            <v>400319</v>
          </cell>
          <cell r="E2297" t="str">
            <v>EUR</v>
          </cell>
          <cell r="F2297">
            <v>56.38</v>
          </cell>
          <cell r="G2297" t="str">
            <v>EUR</v>
          </cell>
          <cell r="H2297" t="e">
            <v>#VALUE!</v>
          </cell>
          <cell r="I2297" t="str">
            <v>AP204TONYLW</v>
          </cell>
        </row>
        <row r="2298">
          <cell r="D2298">
            <v>400322</v>
          </cell>
          <cell r="E2298" t="str">
            <v>EUR</v>
          </cell>
          <cell r="F2298">
            <v>8.2799999999999994</v>
          </cell>
          <cell r="G2298" t="str">
            <v>EUR</v>
          </cell>
          <cell r="H2298" t="e">
            <v>#VALUE!</v>
          </cell>
          <cell r="I2298" t="str">
            <v>AP204WASTE</v>
          </cell>
        </row>
        <row r="2299">
          <cell r="D2299">
            <v>400514</v>
          </cell>
          <cell r="E2299" t="str">
            <v>EUR</v>
          </cell>
          <cell r="F2299">
            <v>25.32</v>
          </cell>
          <cell r="G2299" t="str">
            <v>EUR</v>
          </cell>
          <cell r="H2299" t="e">
            <v>#VALUE!</v>
          </cell>
          <cell r="I2299" t="str">
            <v>AP206FUSER</v>
          </cell>
        </row>
        <row r="2300">
          <cell r="D2300">
            <v>400511</v>
          </cell>
          <cell r="E2300" t="str">
            <v>EUR</v>
          </cell>
          <cell r="F2300">
            <v>151.63999999999999</v>
          </cell>
          <cell r="G2300" t="e">
            <v>#N/A</v>
          </cell>
          <cell r="H2300" t="e">
            <v>#N/A</v>
          </cell>
          <cell r="I2300" t="str">
            <v>AP206PCU</v>
          </cell>
        </row>
        <row r="2301">
          <cell r="D2301">
            <v>400507</v>
          </cell>
          <cell r="E2301" t="str">
            <v>EUR</v>
          </cell>
          <cell r="F2301">
            <v>73.680000000000007</v>
          </cell>
          <cell r="G2301" t="e">
            <v>#N/A</v>
          </cell>
          <cell r="H2301" t="e">
            <v>#N/A</v>
          </cell>
          <cell r="I2301" t="str">
            <v>AP206TONBLA</v>
          </cell>
        </row>
        <row r="2302">
          <cell r="D2302">
            <v>400508</v>
          </cell>
          <cell r="E2302" t="str">
            <v>EUR</v>
          </cell>
          <cell r="F2302">
            <v>69.739999999999995</v>
          </cell>
          <cell r="G2302" t="str">
            <v>EUR</v>
          </cell>
          <cell r="H2302" t="e">
            <v>#VALUE!</v>
          </cell>
          <cell r="I2302" t="str">
            <v>AP206TONCYN</v>
          </cell>
        </row>
        <row r="2303">
          <cell r="D2303">
            <v>400509</v>
          </cell>
          <cell r="E2303" t="str">
            <v>EUR</v>
          </cell>
          <cell r="F2303">
            <v>69.739999999999995</v>
          </cell>
          <cell r="G2303" t="e">
            <v>#N/A</v>
          </cell>
          <cell r="H2303" t="e">
            <v>#N/A</v>
          </cell>
          <cell r="I2303" t="str">
            <v>AP206TONMAG</v>
          </cell>
        </row>
        <row r="2304">
          <cell r="D2304">
            <v>400510</v>
          </cell>
          <cell r="E2304" t="str">
            <v>EUR</v>
          </cell>
          <cell r="F2304">
            <v>69.739999999999995</v>
          </cell>
          <cell r="G2304" t="e">
            <v>#N/A</v>
          </cell>
          <cell r="H2304" t="e">
            <v>#N/A</v>
          </cell>
          <cell r="I2304" t="str">
            <v>AP206TONYLW</v>
          </cell>
        </row>
        <row r="2305">
          <cell r="D2305">
            <v>400513</v>
          </cell>
          <cell r="E2305" t="str">
            <v>EUR</v>
          </cell>
          <cell r="F2305">
            <v>8.2799999999999994</v>
          </cell>
          <cell r="G2305" t="e">
            <v>#N/A</v>
          </cell>
          <cell r="H2305" t="e">
            <v>#N/A</v>
          </cell>
          <cell r="I2305" t="str">
            <v>AP206WASTE</v>
          </cell>
        </row>
        <row r="2306">
          <cell r="D2306">
            <v>400760</v>
          </cell>
          <cell r="E2306" t="str">
            <v>EUR</v>
          </cell>
          <cell r="F2306">
            <v>147.27000000000001</v>
          </cell>
          <cell r="G2306" t="str">
            <v>EUR</v>
          </cell>
          <cell r="H2306" t="e">
            <v>#VALUE!</v>
          </cell>
          <cell r="I2306" t="str">
            <v>AP215TONCHN</v>
          </cell>
        </row>
        <row r="2307">
          <cell r="D2307">
            <v>400342</v>
          </cell>
          <cell r="E2307" t="str">
            <v>EUR</v>
          </cell>
          <cell r="F2307">
            <v>17.45</v>
          </cell>
          <cell r="G2307" t="e">
            <v>#N/A</v>
          </cell>
          <cell r="H2307" t="e">
            <v>#N/A</v>
          </cell>
          <cell r="I2307" t="str">
            <v>AP305OIL</v>
          </cell>
        </row>
        <row r="2308">
          <cell r="D2308">
            <v>400344</v>
          </cell>
          <cell r="E2308" t="str">
            <v>EUR</v>
          </cell>
          <cell r="F2308">
            <v>231.68</v>
          </cell>
          <cell r="G2308" t="str">
            <v>EUR</v>
          </cell>
          <cell r="H2308" t="e">
            <v>#VALUE!</v>
          </cell>
          <cell r="I2308" t="str">
            <v>AP305PCU</v>
          </cell>
        </row>
        <row r="2309">
          <cell r="D2309">
            <v>400338</v>
          </cell>
          <cell r="E2309" t="str">
            <v>EUR</v>
          </cell>
          <cell r="F2309">
            <v>81</v>
          </cell>
          <cell r="G2309" t="e">
            <v>#N/A</v>
          </cell>
          <cell r="H2309" t="e">
            <v>#N/A</v>
          </cell>
          <cell r="I2309" t="str">
            <v>AP305TONBLA</v>
          </cell>
        </row>
        <row r="2310">
          <cell r="D2310">
            <v>400339</v>
          </cell>
          <cell r="E2310" t="str">
            <v>EUR</v>
          </cell>
          <cell r="F2310">
            <v>100</v>
          </cell>
          <cell r="G2310" t="e">
            <v>#N/A</v>
          </cell>
          <cell r="H2310" t="e">
            <v>#N/A</v>
          </cell>
          <cell r="I2310" t="str">
            <v>AP305TONCYN</v>
          </cell>
        </row>
        <row r="2311">
          <cell r="D2311">
            <v>400340</v>
          </cell>
          <cell r="E2311" t="str">
            <v>EUR</v>
          </cell>
          <cell r="F2311">
            <v>100</v>
          </cell>
          <cell r="G2311" t="e">
            <v>#N/A</v>
          </cell>
          <cell r="H2311" t="e">
            <v>#N/A</v>
          </cell>
          <cell r="I2311" t="str">
            <v>AP305TONMAG</v>
          </cell>
        </row>
        <row r="2312">
          <cell r="D2312">
            <v>400341</v>
          </cell>
          <cell r="E2312" t="str">
            <v>EUR</v>
          </cell>
          <cell r="F2312">
            <v>100</v>
          </cell>
          <cell r="G2312" t="e">
            <v>#N/A</v>
          </cell>
          <cell r="H2312" t="e">
            <v>#N/A</v>
          </cell>
          <cell r="I2312" t="str">
            <v>AP305TONYLW</v>
          </cell>
        </row>
        <row r="2313">
          <cell r="D2313">
            <v>400343</v>
          </cell>
          <cell r="E2313" t="str">
            <v>EUR</v>
          </cell>
          <cell r="F2313">
            <v>10.66</v>
          </cell>
          <cell r="G2313" t="str">
            <v>EUR</v>
          </cell>
          <cell r="H2313" t="e">
            <v>#VALUE!</v>
          </cell>
          <cell r="I2313" t="str">
            <v>AP305WASTE</v>
          </cell>
        </row>
        <row r="2314">
          <cell r="D2314">
            <v>400496</v>
          </cell>
          <cell r="E2314" t="str">
            <v>EUR</v>
          </cell>
          <cell r="F2314">
            <v>14.96</v>
          </cell>
          <cell r="G2314" t="str">
            <v>EUR</v>
          </cell>
          <cell r="H2314" t="e">
            <v>#VALUE!</v>
          </cell>
          <cell r="I2314" t="str">
            <v>AP306CHARGER</v>
          </cell>
        </row>
        <row r="2315">
          <cell r="D2315">
            <v>400497</v>
          </cell>
          <cell r="E2315" t="str">
            <v>EUR</v>
          </cell>
          <cell r="F2315">
            <v>16.7</v>
          </cell>
          <cell r="G2315" t="str">
            <v>EUR</v>
          </cell>
          <cell r="H2315" t="e">
            <v>#VALUE!</v>
          </cell>
          <cell r="I2315" t="str">
            <v>AP306OIL</v>
          </cell>
        </row>
        <row r="2316">
          <cell r="D2316">
            <v>400490</v>
          </cell>
          <cell r="E2316" t="str">
            <v>EUR</v>
          </cell>
          <cell r="F2316">
            <v>272.57</v>
          </cell>
          <cell r="G2316" t="str">
            <v>EUR</v>
          </cell>
          <cell r="H2316" t="e">
            <v>#VALUE!</v>
          </cell>
          <cell r="I2316" t="str">
            <v>AP306PCU</v>
          </cell>
        </row>
        <row r="2317">
          <cell r="D2317">
            <v>400491</v>
          </cell>
          <cell r="E2317" t="str">
            <v>EUR</v>
          </cell>
          <cell r="F2317">
            <v>89.65</v>
          </cell>
          <cell r="G2317" t="str">
            <v>EUR</v>
          </cell>
          <cell r="H2317" t="e">
            <v>#VALUE!</v>
          </cell>
          <cell r="I2317" t="str">
            <v>AP306TONBLA</v>
          </cell>
        </row>
        <row r="2318">
          <cell r="D2318">
            <v>400492</v>
          </cell>
          <cell r="E2318" t="str">
            <v>EUR</v>
          </cell>
          <cell r="F2318">
            <v>110.67</v>
          </cell>
          <cell r="G2318" t="str">
            <v>EUR</v>
          </cell>
          <cell r="H2318" t="e">
            <v>#VALUE!</v>
          </cell>
          <cell r="I2318" t="str">
            <v>AP306TONCYN</v>
          </cell>
        </row>
        <row r="2319">
          <cell r="D2319">
            <v>400493</v>
          </cell>
          <cell r="E2319" t="str">
            <v>EUR</v>
          </cell>
          <cell r="F2319">
            <v>110.67</v>
          </cell>
          <cell r="G2319" t="str">
            <v>EUR</v>
          </cell>
          <cell r="H2319" t="e">
            <v>#VALUE!</v>
          </cell>
          <cell r="I2319" t="str">
            <v>AP306TONMAG</v>
          </cell>
        </row>
        <row r="2320">
          <cell r="D2320">
            <v>400494</v>
          </cell>
          <cell r="E2320" t="str">
            <v>EUR</v>
          </cell>
          <cell r="F2320">
            <v>110.67</v>
          </cell>
          <cell r="G2320" t="str">
            <v>EUR</v>
          </cell>
          <cell r="H2320" t="e">
            <v>#VALUE!</v>
          </cell>
          <cell r="I2320" t="str">
            <v>AP306TONYLW</v>
          </cell>
        </row>
        <row r="2321">
          <cell r="D2321">
            <v>400495</v>
          </cell>
          <cell r="E2321" t="str">
            <v>EUR</v>
          </cell>
          <cell r="F2321">
            <v>10.45</v>
          </cell>
          <cell r="G2321" t="str">
            <v>EUR</v>
          </cell>
          <cell r="H2321" t="e">
            <v>#VALUE!</v>
          </cell>
          <cell r="I2321" t="str">
            <v>AP306WASTE</v>
          </cell>
        </row>
        <row r="2322">
          <cell r="D2322">
            <v>352900</v>
          </cell>
          <cell r="E2322" t="str">
            <v>EUR</v>
          </cell>
          <cell r="F2322">
            <v>39.5</v>
          </cell>
          <cell r="G2322" t="str">
            <v>EUR</v>
          </cell>
          <cell r="H2322" t="e">
            <v>#VALUE!</v>
          </cell>
          <cell r="I2322" t="str">
            <v>CHARGERKITM</v>
          </cell>
        </row>
        <row r="2323">
          <cell r="D2323">
            <v>889409</v>
          </cell>
          <cell r="E2323" t="str">
            <v>EUR</v>
          </cell>
          <cell r="F2323">
            <v>28.91</v>
          </cell>
          <cell r="G2323" t="str">
            <v>EUR</v>
          </cell>
          <cell r="H2323" t="e">
            <v>#VALUE!</v>
          </cell>
          <cell r="I2323" t="str">
            <v>CLEANCARRIER</v>
          </cell>
        </row>
        <row r="2324">
          <cell r="D2324">
            <v>352822</v>
          </cell>
          <cell r="E2324" t="str">
            <v>EUR</v>
          </cell>
          <cell r="F2324">
            <v>70.11</v>
          </cell>
          <cell r="G2324" t="str">
            <v>EUR</v>
          </cell>
          <cell r="H2324" t="e">
            <v>#VALUE!</v>
          </cell>
          <cell r="I2324" t="str">
            <v>CLEANM2</v>
          </cell>
        </row>
        <row r="2325">
          <cell r="D2325">
            <v>358810</v>
          </cell>
          <cell r="E2325" t="str">
            <v>EUR</v>
          </cell>
          <cell r="F2325">
            <v>32.729999999999997</v>
          </cell>
          <cell r="G2325" t="e">
            <v>#N/A</v>
          </cell>
          <cell r="H2325" t="e">
            <v>#N/A</v>
          </cell>
          <cell r="I2325" t="str">
            <v>CLEAN6000</v>
          </cell>
        </row>
        <row r="2326">
          <cell r="D2326">
            <v>392000</v>
          </cell>
          <cell r="E2326" t="str">
            <v>EUR</v>
          </cell>
          <cell r="F2326">
            <v>64.36</v>
          </cell>
          <cell r="G2326" t="str">
            <v>EUR</v>
          </cell>
          <cell r="H2326" t="e">
            <v>#VALUE!</v>
          </cell>
          <cell r="I2326" t="str">
            <v>DEVCART12PLS</v>
          </cell>
        </row>
        <row r="2327">
          <cell r="D2327">
            <v>886907</v>
          </cell>
          <cell r="E2327" t="str">
            <v>EUR</v>
          </cell>
          <cell r="F2327">
            <v>30.79</v>
          </cell>
          <cell r="G2327" t="e">
            <v>#N/A</v>
          </cell>
          <cell r="H2327" t="e">
            <v>#N/A</v>
          </cell>
          <cell r="I2327" t="str">
            <v>DEVTYPEDMAG</v>
          </cell>
        </row>
        <row r="2328">
          <cell r="D2328">
            <v>889759</v>
          </cell>
          <cell r="E2328" t="str">
            <v>EUR</v>
          </cell>
          <cell r="F2328">
            <v>27.9</v>
          </cell>
          <cell r="G2328" t="str">
            <v>EUR</v>
          </cell>
          <cell r="H2328" t="e">
            <v>#VALUE!</v>
          </cell>
          <cell r="I2328" t="str">
            <v>DEVTYPEFBLA</v>
          </cell>
        </row>
        <row r="2329">
          <cell r="D2329">
            <v>889762</v>
          </cell>
          <cell r="E2329" t="str">
            <v>EUR</v>
          </cell>
          <cell r="F2329">
            <v>27.9</v>
          </cell>
          <cell r="G2329" t="str">
            <v>EUR</v>
          </cell>
          <cell r="H2329" t="e">
            <v>#VALUE!</v>
          </cell>
          <cell r="I2329" t="str">
            <v>DEVTYPEFCYN</v>
          </cell>
        </row>
        <row r="2330">
          <cell r="D2330">
            <v>889761</v>
          </cell>
          <cell r="E2330" t="str">
            <v>EUR</v>
          </cell>
          <cell r="F2330">
            <v>27.9</v>
          </cell>
          <cell r="G2330" t="str">
            <v>EUR</v>
          </cell>
          <cell r="H2330" t="e">
            <v>#VALUE!</v>
          </cell>
          <cell r="I2330" t="str">
            <v>DEVTYPEFMAG</v>
          </cell>
        </row>
        <row r="2331">
          <cell r="D2331">
            <v>889760</v>
          </cell>
          <cell r="E2331" t="str">
            <v>EUR</v>
          </cell>
          <cell r="F2331">
            <v>27.9</v>
          </cell>
          <cell r="G2331" t="str">
            <v>EUR</v>
          </cell>
          <cell r="H2331" t="e">
            <v>#VALUE!</v>
          </cell>
          <cell r="I2331" t="str">
            <v>DEVTYPEFYLW</v>
          </cell>
        </row>
        <row r="2332">
          <cell r="D2332">
            <v>889882</v>
          </cell>
          <cell r="E2332" t="str">
            <v>EUR</v>
          </cell>
          <cell r="F2332">
            <v>27.9</v>
          </cell>
          <cell r="G2332" t="str">
            <v>EUR</v>
          </cell>
          <cell r="H2332" t="e">
            <v>#VALUE!</v>
          </cell>
          <cell r="I2332" t="str">
            <v>DEVTYPEGCYN</v>
          </cell>
        </row>
        <row r="2333">
          <cell r="D2333">
            <v>889881</v>
          </cell>
          <cell r="E2333" t="str">
            <v>EUR</v>
          </cell>
          <cell r="F2333">
            <v>27.9</v>
          </cell>
          <cell r="G2333" t="str">
            <v>EUR</v>
          </cell>
          <cell r="H2333" t="e">
            <v>#VALUE!</v>
          </cell>
          <cell r="I2333" t="str">
            <v>DEVTYPEGMAG</v>
          </cell>
        </row>
        <row r="2334">
          <cell r="D2334">
            <v>889880</v>
          </cell>
          <cell r="E2334" t="str">
            <v>EUR</v>
          </cell>
          <cell r="F2334">
            <v>27.9</v>
          </cell>
          <cell r="G2334" t="str">
            <v>EUR</v>
          </cell>
          <cell r="H2334" t="e">
            <v>#VALUE!</v>
          </cell>
          <cell r="I2334" t="str">
            <v>DEVTYPEGYLW</v>
          </cell>
        </row>
        <row r="2335">
          <cell r="D2335">
            <v>887880</v>
          </cell>
          <cell r="E2335" t="str">
            <v>EUR</v>
          </cell>
          <cell r="F2335">
            <v>22.82</v>
          </cell>
          <cell r="G2335" t="str">
            <v>EUR</v>
          </cell>
          <cell r="H2335" t="e">
            <v>#VALUE!</v>
          </cell>
          <cell r="I2335" t="str">
            <v>DEVTYPEKBLA</v>
          </cell>
        </row>
        <row r="2336">
          <cell r="D2336">
            <v>887883</v>
          </cell>
          <cell r="E2336" t="str">
            <v>EUR</v>
          </cell>
          <cell r="F2336">
            <v>57.22</v>
          </cell>
          <cell r="G2336" t="str">
            <v>EUR</v>
          </cell>
          <cell r="H2336" t="e">
            <v>#VALUE!</v>
          </cell>
          <cell r="I2336" t="str">
            <v>DEVTYPEKCYN</v>
          </cell>
        </row>
        <row r="2337">
          <cell r="D2337">
            <v>887882</v>
          </cell>
          <cell r="E2337" t="str">
            <v>EUR</v>
          </cell>
          <cell r="F2337">
            <v>57.22</v>
          </cell>
          <cell r="G2337" t="str">
            <v>EUR</v>
          </cell>
          <cell r="H2337" t="e">
            <v>#VALUE!</v>
          </cell>
          <cell r="I2337" t="str">
            <v>DEVTYPEKMAG</v>
          </cell>
        </row>
        <row r="2338">
          <cell r="D2338">
            <v>887881</v>
          </cell>
          <cell r="E2338" t="str">
            <v>EUR</v>
          </cell>
          <cell r="F2338">
            <v>57.22</v>
          </cell>
          <cell r="G2338" t="str">
            <v>EUR</v>
          </cell>
          <cell r="H2338" t="e">
            <v>#VALUE!</v>
          </cell>
          <cell r="I2338" t="str">
            <v>DEVTYPEKYLW</v>
          </cell>
        </row>
        <row r="2339">
          <cell r="D2339">
            <v>887951</v>
          </cell>
          <cell r="E2339" t="str">
            <v>EUR</v>
          </cell>
          <cell r="F2339">
            <v>78.94</v>
          </cell>
          <cell r="G2339" t="str">
            <v>EUR</v>
          </cell>
          <cell r="H2339" t="e">
            <v>#VALUE!</v>
          </cell>
          <cell r="I2339" t="str">
            <v>DEVTYPELBLA</v>
          </cell>
        </row>
        <row r="2340">
          <cell r="D2340">
            <v>887954</v>
          </cell>
          <cell r="E2340" t="str">
            <v>EUR</v>
          </cell>
          <cell r="F2340">
            <v>63.14</v>
          </cell>
          <cell r="G2340" t="str">
            <v>EUR</v>
          </cell>
          <cell r="H2340" t="e">
            <v>#VALUE!</v>
          </cell>
          <cell r="I2340" t="str">
            <v>DEVTYPELCYN</v>
          </cell>
        </row>
        <row r="2341">
          <cell r="D2341">
            <v>887953</v>
          </cell>
          <cell r="E2341" t="str">
            <v>EUR</v>
          </cell>
          <cell r="F2341">
            <v>63.14</v>
          </cell>
          <cell r="G2341" t="str">
            <v>EUR</v>
          </cell>
          <cell r="H2341" t="e">
            <v>#VALUE!</v>
          </cell>
          <cell r="I2341" t="str">
            <v>DEVTYPELMAG</v>
          </cell>
        </row>
        <row r="2342">
          <cell r="D2342">
            <v>887952</v>
          </cell>
          <cell r="E2342" t="str">
            <v>EUR</v>
          </cell>
          <cell r="F2342">
            <v>63.14</v>
          </cell>
          <cell r="G2342" t="str">
            <v>EUR</v>
          </cell>
          <cell r="H2342" t="e">
            <v>#VALUE!</v>
          </cell>
          <cell r="I2342" t="str">
            <v>DEVTYPELYLW</v>
          </cell>
        </row>
        <row r="2343">
          <cell r="D2343">
            <v>889455</v>
          </cell>
          <cell r="E2343" t="str">
            <v>EUR</v>
          </cell>
          <cell r="F2343">
            <v>78.260000000000005</v>
          </cell>
          <cell r="G2343" t="e">
            <v>#N/A</v>
          </cell>
          <cell r="H2343" t="e">
            <v>#N/A</v>
          </cell>
          <cell r="I2343" t="str">
            <v>DEVTYPE1</v>
          </cell>
        </row>
        <row r="2344">
          <cell r="D2344">
            <v>885176</v>
          </cell>
          <cell r="E2344" t="str">
            <v>EUR</v>
          </cell>
          <cell r="F2344">
            <v>77.14</v>
          </cell>
          <cell r="G2344" t="e">
            <v>#N/A</v>
          </cell>
          <cell r="H2344" t="e">
            <v>#N/A</v>
          </cell>
          <cell r="I2344" t="str">
            <v>DEVTYPE1USA</v>
          </cell>
        </row>
        <row r="2345">
          <cell r="D2345">
            <v>888010</v>
          </cell>
          <cell r="E2345" t="str">
            <v>EUR</v>
          </cell>
          <cell r="F2345">
            <v>81.510000000000005</v>
          </cell>
          <cell r="G2345" t="str">
            <v>EUR</v>
          </cell>
          <cell r="H2345" t="e">
            <v>#VALUE!</v>
          </cell>
          <cell r="I2345" t="str">
            <v>DEVTYPE14</v>
          </cell>
        </row>
        <row r="2346">
          <cell r="D2346">
            <v>888002</v>
          </cell>
          <cell r="E2346" t="str">
            <v>EUR</v>
          </cell>
          <cell r="F2346">
            <v>197.91</v>
          </cell>
          <cell r="G2346" t="str">
            <v>EUR</v>
          </cell>
          <cell r="H2346" t="e">
            <v>#VALUE!</v>
          </cell>
          <cell r="I2346" t="str">
            <v>DEVTYPE15</v>
          </cell>
        </row>
        <row r="2347">
          <cell r="D2347">
            <v>888114</v>
          </cell>
          <cell r="E2347" t="str">
            <v>EUR</v>
          </cell>
          <cell r="F2347">
            <v>37.68</v>
          </cell>
          <cell r="G2347" t="str">
            <v>EUR</v>
          </cell>
          <cell r="H2347" t="e">
            <v>#VALUE!</v>
          </cell>
          <cell r="I2347" t="str">
            <v>DEVTYPE16W</v>
          </cell>
        </row>
        <row r="2348">
          <cell r="D2348">
            <v>888073</v>
          </cell>
          <cell r="E2348" t="str">
            <v>EUR</v>
          </cell>
          <cell r="F2348">
            <v>52.01</v>
          </cell>
          <cell r="G2348" t="str">
            <v>EUR</v>
          </cell>
          <cell r="H2348" t="e">
            <v>#VALUE!</v>
          </cell>
          <cell r="I2348" t="str">
            <v>DEVTYPE18</v>
          </cell>
        </row>
        <row r="2349">
          <cell r="D2349">
            <v>888095</v>
          </cell>
          <cell r="E2349" t="str">
            <v>EUR</v>
          </cell>
          <cell r="F2349">
            <v>20.89</v>
          </cell>
          <cell r="G2349" t="str">
            <v>EUR</v>
          </cell>
          <cell r="H2349" t="e">
            <v>#VALUE!</v>
          </cell>
          <cell r="I2349" t="str">
            <v>DEVTYPE19</v>
          </cell>
        </row>
        <row r="2350">
          <cell r="D2350">
            <v>887637</v>
          </cell>
          <cell r="E2350" t="str">
            <v>EUR</v>
          </cell>
          <cell r="F2350">
            <v>247.17</v>
          </cell>
          <cell r="G2350" t="str">
            <v>EUR</v>
          </cell>
          <cell r="H2350" t="e">
            <v>#VALUE!</v>
          </cell>
          <cell r="I2350" t="str">
            <v>DEVTYPE2</v>
          </cell>
        </row>
        <row r="2351">
          <cell r="D2351">
            <v>888164</v>
          </cell>
          <cell r="E2351" t="str">
            <v>EUR</v>
          </cell>
          <cell r="F2351">
            <v>15.67</v>
          </cell>
          <cell r="G2351" t="str">
            <v>EUR</v>
          </cell>
          <cell r="H2351" t="e">
            <v>#VALUE!</v>
          </cell>
          <cell r="I2351" t="str">
            <v>DEVTYPE21</v>
          </cell>
        </row>
        <row r="2352">
          <cell r="D2352">
            <v>885281</v>
          </cell>
          <cell r="E2352" t="str">
            <v>EUR</v>
          </cell>
          <cell r="F2352">
            <v>62.07</v>
          </cell>
          <cell r="G2352" t="e">
            <v>#N/A</v>
          </cell>
          <cell r="H2352" t="e">
            <v>#N/A</v>
          </cell>
          <cell r="I2352" t="str">
            <v>DEVTYPE24</v>
          </cell>
        </row>
        <row r="2353">
          <cell r="D2353">
            <v>889855</v>
          </cell>
          <cell r="E2353" t="str">
            <v>EUR</v>
          </cell>
          <cell r="F2353">
            <v>51.12</v>
          </cell>
          <cell r="G2353" t="str">
            <v>EUR</v>
          </cell>
          <cell r="H2353" t="e">
            <v>#VALUE!</v>
          </cell>
          <cell r="I2353" t="str">
            <v>DEVTYPE3</v>
          </cell>
        </row>
        <row r="2354">
          <cell r="D2354">
            <v>887733</v>
          </cell>
          <cell r="E2354" t="str">
            <v>EUR</v>
          </cell>
          <cell r="F2354">
            <v>200.15</v>
          </cell>
          <cell r="G2354" t="str">
            <v>EUR</v>
          </cell>
          <cell r="H2354" t="e">
            <v>#VALUE!</v>
          </cell>
          <cell r="I2354" t="str">
            <v>DEVTYPE5</v>
          </cell>
        </row>
        <row r="2355">
          <cell r="D2355">
            <v>887748</v>
          </cell>
          <cell r="E2355" t="str">
            <v>EUR</v>
          </cell>
          <cell r="F2355">
            <v>201.42</v>
          </cell>
          <cell r="G2355" t="str">
            <v>EUR</v>
          </cell>
          <cell r="H2355" t="e">
            <v>#VALUE!</v>
          </cell>
          <cell r="I2355" t="str">
            <v>DEVTYPE7</v>
          </cell>
        </row>
        <row r="2356">
          <cell r="D2356">
            <v>885164</v>
          </cell>
          <cell r="E2356" t="str">
            <v>EUR</v>
          </cell>
          <cell r="F2356">
            <v>337.93</v>
          </cell>
          <cell r="G2356" t="e">
            <v>#N/A</v>
          </cell>
          <cell r="H2356" t="e">
            <v>#N/A</v>
          </cell>
          <cell r="I2356" t="str">
            <v>DEVTYPE8</v>
          </cell>
        </row>
        <row r="2357">
          <cell r="D2357">
            <v>887797</v>
          </cell>
          <cell r="E2357" t="str">
            <v>EUR</v>
          </cell>
          <cell r="F2357">
            <v>209.48</v>
          </cell>
          <cell r="G2357" t="str">
            <v>EUR</v>
          </cell>
          <cell r="H2357" t="e">
            <v>#VALUE!</v>
          </cell>
          <cell r="I2357" t="str">
            <v>DEVTYPE9</v>
          </cell>
        </row>
        <row r="2358">
          <cell r="D2358">
            <v>339032</v>
          </cell>
          <cell r="E2358" t="str">
            <v>EUR</v>
          </cell>
          <cell r="F2358">
            <v>49.69</v>
          </cell>
          <cell r="G2358" t="e">
            <v>#N/A</v>
          </cell>
          <cell r="H2358" t="e">
            <v>#N/A</v>
          </cell>
          <cell r="I2358" t="str">
            <v>FAXCART1200</v>
          </cell>
        </row>
        <row r="2359">
          <cell r="D2359">
            <v>923180</v>
          </cell>
          <cell r="E2359" t="str">
            <v>EUR</v>
          </cell>
          <cell r="F2359">
            <v>86.59</v>
          </cell>
          <cell r="G2359" t="e">
            <v>#N/A</v>
          </cell>
          <cell r="H2359" t="e">
            <v>#N/A</v>
          </cell>
          <cell r="I2359" t="str">
            <v>FAXCART61BLA</v>
          </cell>
        </row>
        <row r="2360">
          <cell r="D2360">
            <v>923181</v>
          </cell>
          <cell r="E2360" t="str">
            <v>EUR</v>
          </cell>
          <cell r="F2360">
            <v>86.59</v>
          </cell>
          <cell r="G2360" t="e">
            <v>#N/A</v>
          </cell>
          <cell r="H2360" t="e">
            <v>#N/A</v>
          </cell>
          <cell r="I2360" t="str">
            <v>FAXCART61CLR</v>
          </cell>
        </row>
        <row r="2361">
          <cell r="D2361">
            <v>430013</v>
          </cell>
          <cell r="E2361" t="str">
            <v>EUR</v>
          </cell>
          <cell r="F2361">
            <v>17.38</v>
          </cell>
          <cell r="G2361" t="str">
            <v>EUR</v>
          </cell>
          <cell r="H2361" t="e">
            <v>#VALUE!</v>
          </cell>
          <cell r="I2361" t="str">
            <v>FAXCART68BLA</v>
          </cell>
        </row>
        <row r="2362">
          <cell r="D2362">
            <v>430014</v>
          </cell>
          <cell r="E2362" t="str">
            <v>EUR</v>
          </cell>
          <cell r="F2362">
            <v>24.84</v>
          </cell>
          <cell r="G2362" t="str">
            <v>EUR</v>
          </cell>
          <cell r="H2362" t="e">
            <v>#VALUE!</v>
          </cell>
          <cell r="I2362" t="str">
            <v>FAXCART68CLR</v>
          </cell>
        </row>
        <row r="2363">
          <cell r="D2363">
            <v>334238</v>
          </cell>
          <cell r="E2363" t="str">
            <v>EUR</v>
          </cell>
          <cell r="F2363">
            <v>670.99</v>
          </cell>
          <cell r="G2363" t="e">
            <v>#N/A</v>
          </cell>
          <cell r="H2363" t="e">
            <v>#N/A</v>
          </cell>
          <cell r="I2363" t="str">
            <v>FAXCART800</v>
          </cell>
        </row>
        <row r="2364">
          <cell r="D2364">
            <v>339353</v>
          </cell>
          <cell r="E2364" t="str">
            <v>EUR</v>
          </cell>
          <cell r="F2364">
            <v>857.58</v>
          </cell>
          <cell r="G2364" t="e">
            <v>#N/A</v>
          </cell>
          <cell r="H2364" t="e">
            <v>#N/A</v>
          </cell>
          <cell r="I2364" t="str">
            <v>FAXCART88BLA</v>
          </cell>
        </row>
        <row r="2365">
          <cell r="D2365">
            <v>339342</v>
          </cell>
          <cell r="E2365" t="str">
            <v>EUR</v>
          </cell>
          <cell r="F2365">
            <v>1106.52</v>
          </cell>
          <cell r="G2365" t="e">
            <v>#N/A</v>
          </cell>
          <cell r="H2365" t="e">
            <v>#N/A</v>
          </cell>
          <cell r="I2365" t="str">
            <v>FAXCART88CLR</v>
          </cell>
        </row>
        <row r="2366">
          <cell r="D2366">
            <v>894716</v>
          </cell>
          <cell r="E2366" t="str">
            <v>EUR</v>
          </cell>
          <cell r="F2366">
            <v>239.38</v>
          </cell>
          <cell r="G2366" t="str">
            <v>EUR</v>
          </cell>
          <cell r="H2366" t="e">
            <v>#VALUE!</v>
          </cell>
          <cell r="I2366" t="str">
            <v>FAXMASTER100</v>
          </cell>
        </row>
        <row r="2367">
          <cell r="D2367">
            <v>889347</v>
          </cell>
          <cell r="E2367" t="str">
            <v>EUR</v>
          </cell>
          <cell r="F2367">
            <v>238.47</v>
          </cell>
          <cell r="G2367" t="str">
            <v>EUR</v>
          </cell>
          <cell r="H2367" t="e">
            <v>#VALUE!</v>
          </cell>
          <cell r="I2367" t="str">
            <v>FAXMASTER30</v>
          </cell>
        </row>
        <row r="2368">
          <cell r="D2368">
            <v>593928</v>
          </cell>
          <cell r="E2368" t="str">
            <v>EUR</v>
          </cell>
          <cell r="F2368">
            <v>450.76</v>
          </cell>
          <cell r="G2368" t="str">
            <v>EUR</v>
          </cell>
          <cell r="H2368" t="e">
            <v>#VALUE!</v>
          </cell>
          <cell r="I2368" t="str">
            <v>FAXMAST1000L</v>
          </cell>
        </row>
        <row r="2369">
          <cell r="D2369">
            <v>339472</v>
          </cell>
          <cell r="E2369" t="str">
            <v>EUR</v>
          </cell>
          <cell r="F2369">
            <v>177.42</v>
          </cell>
          <cell r="G2369" t="str">
            <v>EUR</v>
          </cell>
          <cell r="H2369" t="e">
            <v>#VALUE!</v>
          </cell>
          <cell r="I2369" t="str">
            <v>FAXMAST70</v>
          </cell>
        </row>
        <row r="2370">
          <cell r="D2370">
            <v>339343</v>
          </cell>
          <cell r="E2370" t="str">
            <v>EUR</v>
          </cell>
          <cell r="F2370">
            <v>310.79000000000002</v>
          </cell>
          <cell r="G2370" t="e">
            <v>#N/A</v>
          </cell>
          <cell r="H2370" t="e">
            <v>#N/A</v>
          </cell>
          <cell r="I2370" t="str">
            <v>FAXREF88BLA</v>
          </cell>
        </row>
        <row r="2371">
          <cell r="D2371">
            <v>339344</v>
          </cell>
          <cell r="E2371" t="str">
            <v>EUR</v>
          </cell>
          <cell r="F2371">
            <v>730.83</v>
          </cell>
          <cell r="G2371" t="e">
            <v>#N/A</v>
          </cell>
          <cell r="H2371" t="e">
            <v>#N/A</v>
          </cell>
          <cell r="I2371" t="str">
            <v>FAXREF88CLR</v>
          </cell>
        </row>
        <row r="2372">
          <cell r="D2372">
            <v>920616</v>
          </cell>
          <cell r="E2372" t="str">
            <v>EUR</v>
          </cell>
          <cell r="F2372">
            <v>140.30000000000001</v>
          </cell>
          <cell r="G2372" t="e">
            <v>#N/A</v>
          </cell>
          <cell r="H2372" t="e">
            <v>#N/A</v>
          </cell>
          <cell r="I2372" t="str">
            <v>FAXRIBBON500</v>
          </cell>
        </row>
        <row r="2373">
          <cell r="D2373">
            <v>430244</v>
          </cell>
          <cell r="E2373" t="str">
            <v>EUR</v>
          </cell>
          <cell r="F2373">
            <v>41.02</v>
          </cell>
          <cell r="G2373" t="str">
            <v>EUR</v>
          </cell>
          <cell r="H2373" t="e">
            <v>#VALUE!</v>
          </cell>
          <cell r="I2373" t="str">
            <v>FAXTNR1435CN</v>
          </cell>
        </row>
        <row r="2374">
          <cell r="D2374">
            <v>430400</v>
          </cell>
          <cell r="E2374" t="str">
            <v>EUR</v>
          </cell>
          <cell r="F2374">
            <v>54.83</v>
          </cell>
          <cell r="G2374" t="e">
            <v>#N/A</v>
          </cell>
          <cell r="H2374" t="e">
            <v>#N/A</v>
          </cell>
          <cell r="I2374" t="str">
            <v>FAXTN1265KOR</v>
          </cell>
        </row>
        <row r="2375">
          <cell r="D2375">
            <v>430159</v>
          </cell>
          <cell r="E2375" t="str">
            <v>EUR</v>
          </cell>
          <cell r="F2375">
            <v>39.01</v>
          </cell>
          <cell r="G2375" t="e">
            <v>#N/A</v>
          </cell>
          <cell r="H2375" t="e">
            <v>#N/A</v>
          </cell>
          <cell r="I2375" t="str">
            <v>FAXTONER1430</v>
          </cell>
        </row>
        <row r="2376">
          <cell r="D2376">
            <v>430245</v>
          </cell>
          <cell r="E2376" t="str">
            <v>EUR</v>
          </cell>
          <cell r="F2376">
            <v>74.95</v>
          </cell>
          <cell r="G2376" t="str">
            <v>EUR</v>
          </cell>
          <cell r="H2376" t="e">
            <v>#VALUE!</v>
          </cell>
          <cell r="I2376" t="str">
            <v>FAXTONER5210</v>
          </cell>
        </row>
        <row r="2377">
          <cell r="D2377">
            <v>339474</v>
          </cell>
          <cell r="E2377" t="str">
            <v>EUR</v>
          </cell>
          <cell r="F2377">
            <v>202.85</v>
          </cell>
          <cell r="G2377" t="str">
            <v>EUR</v>
          </cell>
          <cell r="H2377" t="e">
            <v>#VALUE!</v>
          </cell>
          <cell r="I2377" t="str">
            <v>FAXTONER70</v>
          </cell>
        </row>
        <row r="2378">
          <cell r="D2378">
            <v>593901</v>
          </cell>
          <cell r="E2378" t="str">
            <v>EUR</v>
          </cell>
          <cell r="F2378">
            <v>39.82</v>
          </cell>
          <cell r="G2378" t="e">
            <v>#N/A</v>
          </cell>
          <cell r="H2378" t="e">
            <v>#N/A</v>
          </cell>
          <cell r="I2378" t="str">
            <v>FAXTON1000L</v>
          </cell>
        </row>
        <row r="2379">
          <cell r="D2379">
            <v>430278</v>
          </cell>
          <cell r="E2379" t="str">
            <v>EUR</v>
          </cell>
          <cell r="F2379">
            <v>43.76</v>
          </cell>
          <cell r="G2379" t="str">
            <v>EUR</v>
          </cell>
          <cell r="H2379" t="e">
            <v>#VALUE!</v>
          </cell>
          <cell r="I2379" t="str">
            <v>FAXTON1240CN</v>
          </cell>
        </row>
        <row r="2380">
          <cell r="D2380">
            <v>430382</v>
          </cell>
          <cell r="E2380" t="str">
            <v>EUR</v>
          </cell>
          <cell r="F2380">
            <v>43.77</v>
          </cell>
          <cell r="G2380" t="e">
            <v>#N/A</v>
          </cell>
          <cell r="H2380" t="e">
            <v>#N/A</v>
          </cell>
          <cell r="I2380" t="str">
            <v>FAXTON1240UK</v>
          </cell>
        </row>
        <row r="2381">
          <cell r="D2381">
            <v>430351</v>
          </cell>
          <cell r="E2381" t="str">
            <v>EUR</v>
          </cell>
          <cell r="F2381">
            <v>36.21</v>
          </cell>
          <cell r="G2381" t="str">
            <v>EUR</v>
          </cell>
          <cell r="H2381" t="e">
            <v>#VALUE!</v>
          </cell>
          <cell r="I2381" t="str">
            <v>FAXTON1260CN</v>
          </cell>
        </row>
        <row r="2382">
          <cell r="D2382">
            <v>430225</v>
          </cell>
          <cell r="E2382" t="str">
            <v>EUR</v>
          </cell>
          <cell r="F2382">
            <v>39.85</v>
          </cell>
          <cell r="G2382" t="str">
            <v>EUR</v>
          </cell>
          <cell r="H2382" t="e">
            <v>#VALUE!</v>
          </cell>
          <cell r="I2382" t="str">
            <v>FAXTON1435CN</v>
          </cell>
        </row>
        <row r="2383">
          <cell r="D2383">
            <v>339481</v>
          </cell>
          <cell r="E2383" t="str">
            <v>EUR</v>
          </cell>
          <cell r="F2383">
            <v>177.61</v>
          </cell>
          <cell r="G2383" t="e">
            <v>#N/A</v>
          </cell>
          <cell r="H2383" t="e">
            <v>#N/A</v>
          </cell>
          <cell r="I2383" t="str">
            <v>FAXTON150FRA</v>
          </cell>
        </row>
        <row r="2384">
          <cell r="D2384">
            <v>889878</v>
          </cell>
          <cell r="E2384" t="str">
            <v>EUR</v>
          </cell>
          <cell r="F2384">
            <v>148.43</v>
          </cell>
          <cell r="G2384" t="str">
            <v>EUR</v>
          </cell>
          <cell r="H2384" t="e">
            <v>#VALUE!</v>
          </cell>
          <cell r="I2384" t="str">
            <v>FAXTON30TWN</v>
          </cell>
        </row>
        <row r="2385">
          <cell r="D2385">
            <v>400323</v>
          </cell>
          <cell r="E2385" t="str">
            <v>EUR</v>
          </cell>
          <cell r="F2385">
            <v>25.32</v>
          </cell>
          <cell r="G2385" t="str">
            <v>EUR</v>
          </cell>
          <cell r="H2385" t="e">
            <v>#VALUE!</v>
          </cell>
          <cell r="I2385" t="str">
            <v>FUSER204</v>
          </cell>
        </row>
        <row r="2386">
          <cell r="D2386">
            <v>889782</v>
          </cell>
          <cell r="E2386" t="str">
            <v>EUR</v>
          </cell>
          <cell r="F2386">
            <v>111.27</v>
          </cell>
          <cell r="G2386" t="str">
            <v>EUR</v>
          </cell>
          <cell r="H2386" t="e">
            <v>#VALUE!</v>
          </cell>
          <cell r="I2386" t="str">
            <v>IMAGEUNIT1</v>
          </cell>
        </row>
        <row r="2387">
          <cell r="D2387">
            <v>208050</v>
          </cell>
          <cell r="E2387" t="str">
            <v>EUR</v>
          </cell>
          <cell r="F2387">
            <v>343</v>
          </cell>
          <cell r="G2387" t="e">
            <v>#N/A</v>
          </cell>
          <cell r="H2387" t="e">
            <v>#N/A</v>
          </cell>
          <cell r="I2387" t="str">
            <v>LR1TONERBLA</v>
          </cell>
        </row>
        <row r="2388">
          <cell r="D2388">
            <v>208047</v>
          </cell>
          <cell r="E2388" t="str">
            <v>EUR</v>
          </cell>
          <cell r="F2388">
            <v>211.28</v>
          </cell>
          <cell r="G2388" t="e">
            <v>#N/A</v>
          </cell>
          <cell r="H2388" t="e">
            <v>#N/A</v>
          </cell>
          <cell r="I2388" t="str">
            <v>LR1TONERBLU</v>
          </cell>
        </row>
        <row r="2389">
          <cell r="D2389">
            <v>208048</v>
          </cell>
          <cell r="E2389" t="str">
            <v>EUR</v>
          </cell>
          <cell r="F2389">
            <v>211.28</v>
          </cell>
          <cell r="G2389" t="e">
            <v>#N/A</v>
          </cell>
          <cell r="H2389" t="e">
            <v>#N/A</v>
          </cell>
          <cell r="I2389" t="str">
            <v>LR1TONERGRE</v>
          </cell>
        </row>
        <row r="2390">
          <cell r="D2390">
            <v>208046</v>
          </cell>
          <cell r="E2390" t="str">
            <v>EUR</v>
          </cell>
          <cell r="F2390">
            <v>211.28</v>
          </cell>
          <cell r="G2390" t="e">
            <v>#N/A</v>
          </cell>
          <cell r="H2390" t="e">
            <v>#N/A</v>
          </cell>
          <cell r="I2390" t="str">
            <v>LR1TONERRED</v>
          </cell>
        </row>
        <row r="2391">
          <cell r="D2391">
            <v>208049</v>
          </cell>
          <cell r="E2391" t="str">
            <v>EUR</v>
          </cell>
          <cell r="F2391">
            <v>211.28</v>
          </cell>
          <cell r="G2391" t="e">
            <v>#N/A</v>
          </cell>
          <cell r="H2391" t="e">
            <v>#N/A</v>
          </cell>
          <cell r="I2391" t="str">
            <v>LR1TONERSEP</v>
          </cell>
        </row>
        <row r="2392">
          <cell r="D2392">
            <v>400404</v>
          </cell>
          <cell r="E2392" t="str">
            <v>EUR</v>
          </cell>
          <cell r="F2392">
            <v>83.61</v>
          </cell>
          <cell r="G2392" t="str">
            <v>EUR</v>
          </cell>
          <cell r="H2392" t="e">
            <v>#VALUE!</v>
          </cell>
          <cell r="I2392" t="str">
            <v>MAINTEN1400</v>
          </cell>
        </row>
        <row r="2393">
          <cell r="D2393">
            <v>400401</v>
          </cell>
          <cell r="E2393" t="str">
            <v>EUR</v>
          </cell>
          <cell r="F2393">
            <v>96.4</v>
          </cell>
          <cell r="G2393" t="str">
            <v>EUR</v>
          </cell>
          <cell r="H2393" t="e">
            <v>#VALUE!</v>
          </cell>
          <cell r="I2393" t="str">
            <v>MAINTEN2000</v>
          </cell>
        </row>
        <row r="2394">
          <cell r="D2394">
            <v>400620</v>
          </cell>
          <cell r="E2394" t="str">
            <v>EUR</v>
          </cell>
          <cell r="F2394">
            <v>106.22</v>
          </cell>
          <cell r="G2394" t="str">
            <v>EUR</v>
          </cell>
          <cell r="H2394" t="e">
            <v>#VALUE!</v>
          </cell>
          <cell r="I2394" t="str">
            <v>MAINT2600CHN</v>
          </cell>
        </row>
        <row r="2395">
          <cell r="D2395">
            <v>400594</v>
          </cell>
          <cell r="E2395" t="str">
            <v>EUR</v>
          </cell>
          <cell r="F2395">
            <v>93.2</v>
          </cell>
          <cell r="G2395" t="str">
            <v>EUR</v>
          </cell>
          <cell r="H2395" t="e">
            <v>#VALUE!</v>
          </cell>
          <cell r="I2395" t="str">
            <v>MAINT3800A</v>
          </cell>
        </row>
        <row r="2396">
          <cell r="D2396">
            <v>400595</v>
          </cell>
          <cell r="E2396" t="str">
            <v>EUR</v>
          </cell>
          <cell r="F2396">
            <v>177.55</v>
          </cell>
          <cell r="G2396" t="str">
            <v>EUR</v>
          </cell>
          <cell r="H2396" t="e">
            <v>#VALUE!</v>
          </cell>
          <cell r="I2396" t="str">
            <v>MAINT3800B</v>
          </cell>
        </row>
        <row r="2397">
          <cell r="D2397">
            <v>400569</v>
          </cell>
          <cell r="E2397" t="str">
            <v>EUR</v>
          </cell>
          <cell r="F2397">
            <v>195.76</v>
          </cell>
          <cell r="G2397" t="str">
            <v>EUR</v>
          </cell>
          <cell r="H2397" t="e">
            <v>#VALUE!</v>
          </cell>
          <cell r="I2397" t="str">
            <v>MAINT3800C</v>
          </cell>
        </row>
        <row r="2398">
          <cell r="D2398">
            <v>400661</v>
          </cell>
          <cell r="E2398" t="str">
            <v>EUR</v>
          </cell>
          <cell r="F2398">
            <v>54.36</v>
          </cell>
          <cell r="G2398" t="str">
            <v>EUR</v>
          </cell>
          <cell r="H2398" t="e">
            <v>#VALUE!</v>
          </cell>
          <cell r="I2398" t="str">
            <v>MAINT3800D</v>
          </cell>
        </row>
        <row r="2399">
          <cell r="D2399">
            <v>400662</v>
          </cell>
          <cell r="E2399" t="str">
            <v>EUR</v>
          </cell>
          <cell r="F2399">
            <v>5.19</v>
          </cell>
          <cell r="G2399" t="str">
            <v>EUR</v>
          </cell>
          <cell r="H2399" t="e">
            <v>#VALUE!</v>
          </cell>
          <cell r="I2399" t="str">
            <v>MAINT3800E</v>
          </cell>
        </row>
        <row r="2400">
          <cell r="D2400">
            <v>400548</v>
          </cell>
          <cell r="E2400" t="str">
            <v>EUR</v>
          </cell>
          <cell r="F2400">
            <v>29.44</v>
          </cell>
          <cell r="G2400" t="str">
            <v>EUR</v>
          </cell>
          <cell r="H2400" t="e">
            <v>#VALUE!</v>
          </cell>
          <cell r="I2400" t="str">
            <v>MAINT3800F</v>
          </cell>
        </row>
        <row r="2401">
          <cell r="D2401">
            <v>400549</v>
          </cell>
          <cell r="E2401" t="str">
            <v>EUR</v>
          </cell>
          <cell r="F2401">
            <v>27.51</v>
          </cell>
          <cell r="G2401" t="str">
            <v>EUR</v>
          </cell>
          <cell r="H2401" t="e">
            <v>#VALUE!</v>
          </cell>
          <cell r="I2401" t="str">
            <v>MAINT3800G</v>
          </cell>
        </row>
        <row r="2402">
          <cell r="D2402">
            <v>400576</v>
          </cell>
          <cell r="E2402" t="str">
            <v>EUR</v>
          </cell>
          <cell r="F2402">
            <v>2.68</v>
          </cell>
          <cell r="G2402" t="str">
            <v>EUR</v>
          </cell>
          <cell r="H2402" t="e">
            <v>#VALUE!</v>
          </cell>
          <cell r="I2402" t="str">
            <v>MAINT3800H</v>
          </cell>
        </row>
        <row r="2403">
          <cell r="D2403">
            <v>209911</v>
          </cell>
          <cell r="E2403" t="str">
            <v>EUR</v>
          </cell>
          <cell r="F2403">
            <v>104.21</v>
          </cell>
          <cell r="G2403" t="str">
            <v>EUR</v>
          </cell>
          <cell r="H2403" t="e">
            <v>#VALUE!</v>
          </cell>
          <cell r="I2403" t="str">
            <v>MV250MAST</v>
          </cell>
        </row>
        <row r="2404">
          <cell r="D2404">
            <v>894718</v>
          </cell>
          <cell r="E2404" t="str">
            <v>EUR</v>
          </cell>
          <cell r="F2404">
            <v>239.38</v>
          </cell>
          <cell r="G2404" t="str">
            <v>EUR</v>
          </cell>
          <cell r="H2404" t="e">
            <v>#VALUE!</v>
          </cell>
          <cell r="I2404" t="str">
            <v>MV300MAST</v>
          </cell>
        </row>
        <row r="2405">
          <cell r="D2405">
            <v>887675</v>
          </cell>
          <cell r="E2405" t="str">
            <v>EUR</v>
          </cell>
          <cell r="F2405">
            <v>222.79</v>
          </cell>
          <cell r="G2405" t="str">
            <v>EUR</v>
          </cell>
          <cell r="H2405" t="e">
            <v>#VALUE!</v>
          </cell>
          <cell r="I2405" t="str">
            <v>MV300TONER</v>
          </cell>
        </row>
        <row r="2406">
          <cell r="D2406">
            <v>889606</v>
          </cell>
          <cell r="E2406" t="str">
            <v>EUR</v>
          </cell>
          <cell r="F2406">
            <v>104.03</v>
          </cell>
          <cell r="G2406" t="str">
            <v>EUR</v>
          </cell>
          <cell r="H2406" t="e">
            <v>#VALUE!</v>
          </cell>
          <cell r="I2406" t="str">
            <v>MV80MAST</v>
          </cell>
        </row>
        <row r="2407">
          <cell r="D2407">
            <v>889744</v>
          </cell>
          <cell r="E2407" t="str">
            <v>EUR</v>
          </cell>
          <cell r="F2407">
            <v>55.01</v>
          </cell>
          <cell r="G2407" t="str">
            <v>EUR</v>
          </cell>
          <cell r="H2407" t="e">
            <v>#VALUE!</v>
          </cell>
          <cell r="I2407" t="str">
            <v>MV80TONER</v>
          </cell>
        </row>
        <row r="2408">
          <cell r="D2408">
            <v>889015</v>
          </cell>
          <cell r="E2408" t="str">
            <v>EUR</v>
          </cell>
          <cell r="F2408">
            <v>126.4</v>
          </cell>
          <cell r="G2408" t="e">
            <v>#N/A</v>
          </cell>
          <cell r="H2408" t="e">
            <v>#N/A</v>
          </cell>
          <cell r="I2408" t="str">
            <v>M10MASTUNT2</v>
          </cell>
        </row>
        <row r="2409">
          <cell r="D2409">
            <v>887660</v>
          </cell>
          <cell r="E2409" t="str">
            <v>EUR</v>
          </cell>
          <cell r="F2409">
            <v>23.58</v>
          </cell>
          <cell r="G2409" t="e">
            <v>#N/A</v>
          </cell>
          <cell r="H2409" t="e">
            <v>#N/A</v>
          </cell>
          <cell r="I2409" t="str">
            <v>M10TONBLAUK</v>
          </cell>
        </row>
        <row r="2410">
          <cell r="D2410">
            <v>889351</v>
          </cell>
          <cell r="E2410" t="str">
            <v>EUR</v>
          </cell>
          <cell r="F2410">
            <v>128.18</v>
          </cell>
          <cell r="G2410" t="str">
            <v>EUR</v>
          </cell>
          <cell r="H2410" t="e">
            <v>#VALUE!</v>
          </cell>
          <cell r="I2410" t="str">
            <v>M100MASTUNT2</v>
          </cell>
        </row>
        <row r="2411">
          <cell r="D2411">
            <v>889260</v>
          </cell>
          <cell r="E2411" t="str">
            <v>EUR</v>
          </cell>
          <cell r="F2411">
            <v>118.13</v>
          </cell>
          <cell r="G2411" t="str">
            <v>EUR</v>
          </cell>
          <cell r="H2411" t="e">
            <v>#VALUE!</v>
          </cell>
          <cell r="I2411" t="str">
            <v>M5MASTUNT2</v>
          </cell>
        </row>
        <row r="2412">
          <cell r="D2412">
            <v>887659</v>
          </cell>
          <cell r="E2412" t="str">
            <v>EUR</v>
          </cell>
          <cell r="F2412">
            <v>23.58</v>
          </cell>
          <cell r="G2412" t="e">
            <v>#N/A</v>
          </cell>
          <cell r="H2412" t="e">
            <v>#N/A</v>
          </cell>
          <cell r="I2412" t="str">
            <v>M5TONERBLAUK</v>
          </cell>
        </row>
        <row r="2413">
          <cell r="D2413">
            <v>882019</v>
          </cell>
          <cell r="E2413" t="str">
            <v>EUR</v>
          </cell>
          <cell r="F2413">
            <v>43.8</v>
          </cell>
          <cell r="G2413" t="e">
            <v>#N/A</v>
          </cell>
          <cell r="H2413" t="e">
            <v>#N/A</v>
          </cell>
          <cell r="I2413" t="str">
            <v>M5TONERGRE</v>
          </cell>
        </row>
        <row r="2414">
          <cell r="D2414">
            <v>889207</v>
          </cell>
          <cell r="E2414" t="str">
            <v>EUR</v>
          </cell>
          <cell r="F2414">
            <v>40.51</v>
          </cell>
          <cell r="G2414" t="str">
            <v>EUR</v>
          </cell>
          <cell r="H2414" t="e">
            <v>#VALUE!</v>
          </cell>
          <cell r="I2414" t="str">
            <v>M5TONERRED</v>
          </cell>
        </row>
        <row r="2415">
          <cell r="D2415">
            <v>887664</v>
          </cell>
          <cell r="E2415" t="str">
            <v>EUR</v>
          </cell>
          <cell r="F2415">
            <v>26.21</v>
          </cell>
          <cell r="G2415" t="e">
            <v>#N/A</v>
          </cell>
          <cell r="H2415" t="e">
            <v>#N/A</v>
          </cell>
          <cell r="I2415" t="str">
            <v>M6TONERGER</v>
          </cell>
        </row>
        <row r="2416">
          <cell r="D2416">
            <v>889405</v>
          </cell>
          <cell r="E2416" t="str">
            <v>EUR</v>
          </cell>
          <cell r="F2416">
            <v>113.23</v>
          </cell>
          <cell r="G2416" t="str">
            <v>EUR</v>
          </cell>
          <cell r="H2416" t="e">
            <v>#VALUE!</v>
          </cell>
          <cell r="I2416" t="str">
            <v>NC11DEVBLA</v>
          </cell>
        </row>
        <row r="2417">
          <cell r="D2417">
            <v>889408</v>
          </cell>
          <cell r="E2417" t="str">
            <v>EUR</v>
          </cell>
          <cell r="F2417">
            <v>48.52</v>
          </cell>
          <cell r="G2417" t="str">
            <v>EUR</v>
          </cell>
          <cell r="H2417" t="e">
            <v>#VALUE!</v>
          </cell>
          <cell r="I2417" t="str">
            <v>NC11DEVCYN</v>
          </cell>
        </row>
        <row r="2418">
          <cell r="D2418">
            <v>889407</v>
          </cell>
          <cell r="E2418" t="str">
            <v>EUR</v>
          </cell>
          <cell r="F2418">
            <v>48.52</v>
          </cell>
          <cell r="G2418" t="str">
            <v>EUR</v>
          </cell>
          <cell r="H2418" t="e">
            <v>#VALUE!</v>
          </cell>
          <cell r="I2418" t="str">
            <v>NC11DEVMAG</v>
          </cell>
        </row>
        <row r="2419">
          <cell r="D2419">
            <v>889406</v>
          </cell>
          <cell r="E2419" t="str">
            <v>EUR</v>
          </cell>
          <cell r="F2419">
            <v>48.52</v>
          </cell>
          <cell r="G2419" t="str">
            <v>EUR</v>
          </cell>
          <cell r="H2419" t="e">
            <v>#VALUE!</v>
          </cell>
          <cell r="I2419" t="str">
            <v>NC11DEVYLW</v>
          </cell>
        </row>
        <row r="2420">
          <cell r="D2420">
            <v>887481</v>
          </cell>
          <cell r="E2420" t="str">
            <v>EUR</v>
          </cell>
          <cell r="F2420">
            <v>134.29</v>
          </cell>
          <cell r="G2420" t="e">
            <v>#N/A</v>
          </cell>
          <cell r="H2420" t="e">
            <v>#N/A</v>
          </cell>
          <cell r="I2420" t="str">
            <v>NC11TONERBLA</v>
          </cell>
        </row>
        <row r="2421">
          <cell r="D2421">
            <v>887487</v>
          </cell>
          <cell r="E2421" t="str">
            <v>EUR</v>
          </cell>
          <cell r="F2421">
            <v>75.459999999999994</v>
          </cell>
          <cell r="G2421" t="str">
            <v>EUR</v>
          </cell>
          <cell r="H2421" t="e">
            <v>#VALUE!</v>
          </cell>
          <cell r="I2421" t="str">
            <v>NC11TONERCYN</v>
          </cell>
        </row>
        <row r="2422">
          <cell r="D2422">
            <v>887485</v>
          </cell>
          <cell r="E2422" t="str">
            <v>EUR</v>
          </cell>
          <cell r="F2422">
            <v>75.459999999999994</v>
          </cell>
          <cell r="G2422" t="str">
            <v>EUR</v>
          </cell>
          <cell r="H2422" t="e">
            <v>#VALUE!</v>
          </cell>
          <cell r="I2422" t="str">
            <v>NC11TONERMAG</v>
          </cell>
        </row>
        <row r="2423">
          <cell r="D2423">
            <v>887483</v>
          </cell>
          <cell r="E2423" t="str">
            <v>EUR</v>
          </cell>
          <cell r="F2423">
            <v>75.459999999999994</v>
          </cell>
          <cell r="G2423" t="str">
            <v>EUR</v>
          </cell>
          <cell r="H2423" t="e">
            <v>#VALUE!</v>
          </cell>
          <cell r="I2423" t="str">
            <v>NC11TONERYLW</v>
          </cell>
        </row>
        <row r="2424">
          <cell r="D2424">
            <v>889526</v>
          </cell>
          <cell r="E2424" t="str">
            <v>EUR</v>
          </cell>
          <cell r="F2424">
            <v>98.77</v>
          </cell>
          <cell r="G2424" t="str">
            <v>EUR</v>
          </cell>
          <cell r="H2424" t="e">
            <v>#VALUE!</v>
          </cell>
          <cell r="I2424" t="str">
            <v>NC305DEVBLA</v>
          </cell>
        </row>
        <row r="2425">
          <cell r="D2425">
            <v>394800</v>
          </cell>
          <cell r="E2425" t="str">
            <v>EUR</v>
          </cell>
          <cell r="F2425">
            <v>94.42</v>
          </cell>
          <cell r="G2425" t="str">
            <v>EUR</v>
          </cell>
          <cell r="H2425" t="e">
            <v>#VALUE!</v>
          </cell>
          <cell r="I2425" t="str">
            <v>OPCCARTTYP12</v>
          </cell>
        </row>
        <row r="2426">
          <cell r="D2426">
            <v>394600</v>
          </cell>
          <cell r="E2426" t="str">
            <v>EUR</v>
          </cell>
          <cell r="F2426">
            <v>103.26</v>
          </cell>
          <cell r="G2426" t="str">
            <v>EUR</v>
          </cell>
          <cell r="H2426" t="e">
            <v>#VALUE!</v>
          </cell>
          <cell r="I2426" t="str">
            <v>OPCKITM</v>
          </cell>
        </row>
        <row r="2427">
          <cell r="D2427">
            <v>357270</v>
          </cell>
          <cell r="E2427" t="str">
            <v>EUR</v>
          </cell>
          <cell r="F2427">
            <v>88.36</v>
          </cell>
          <cell r="G2427" t="e">
            <v>#N/A</v>
          </cell>
          <cell r="H2427" t="e">
            <v>#N/A</v>
          </cell>
          <cell r="I2427" t="str">
            <v>OPCKIT150RB</v>
          </cell>
        </row>
        <row r="2428">
          <cell r="D2428">
            <v>358800</v>
          </cell>
          <cell r="E2428" t="str">
            <v>EUR</v>
          </cell>
          <cell r="F2428">
            <v>72.67</v>
          </cell>
          <cell r="G2428" t="e">
            <v>#N/A</v>
          </cell>
          <cell r="H2428" t="e">
            <v>#N/A</v>
          </cell>
          <cell r="I2428" t="str">
            <v>OPC6000</v>
          </cell>
        </row>
        <row r="2429">
          <cell r="D2429">
            <v>411113</v>
          </cell>
          <cell r="E2429" t="str">
            <v>EUR</v>
          </cell>
          <cell r="F2429">
            <v>62.01</v>
          </cell>
          <cell r="G2429" t="str">
            <v>EUR</v>
          </cell>
          <cell r="H2429" t="e">
            <v>#VALUE!</v>
          </cell>
          <cell r="I2429" t="str">
            <v>PCU1013CHN</v>
          </cell>
        </row>
        <row r="2430">
          <cell r="D2430">
            <v>411018</v>
          </cell>
          <cell r="E2430" t="str">
            <v>EUR</v>
          </cell>
          <cell r="F2430">
            <v>117.67</v>
          </cell>
          <cell r="G2430" t="str">
            <v>EUR</v>
          </cell>
          <cell r="H2430" t="e">
            <v>#VALUE!</v>
          </cell>
          <cell r="I2430" t="str">
            <v>PCU1027</v>
          </cell>
        </row>
        <row r="2431">
          <cell r="D2431">
            <v>410423</v>
          </cell>
          <cell r="E2431" t="str">
            <v>EUR</v>
          </cell>
          <cell r="F2431">
            <v>125.26</v>
          </cell>
          <cell r="G2431" t="str">
            <v>EUR</v>
          </cell>
          <cell r="H2431" t="e">
            <v>#VALUE!</v>
          </cell>
          <cell r="I2431" t="str">
            <v>PCU270</v>
          </cell>
        </row>
        <row r="2432">
          <cell r="D2432">
            <v>400633</v>
          </cell>
          <cell r="E2432" t="str">
            <v>EUR</v>
          </cell>
          <cell r="F2432">
            <v>117.67</v>
          </cell>
          <cell r="G2432" t="str">
            <v>EUR</v>
          </cell>
          <cell r="H2432" t="e">
            <v>#VALUE!</v>
          </cell>
          <cell r="I2432" t="str">
            <v>PCU320</v>
          </cell>
        </row>
        <row r="2433">
          <cell r="D2433">
            <v>410509</v>
          </cell>
          <cell r="E2433" t="str">
            <v>EUR</v>
          </cell>
          <cell r="F2433">
            <v>57.77</v>
          </cell>
          <cell r="G2433" t="str">
            <v>EUR</v>
          </cell>
          <cell r="H2433" t="e">
            <v>#VALUE!</v>
          </cell>
          <cell r="I2433" t="str">
            <v>STAPLEREFH</v>
          </cell>
        </row>
        <row r="2434">
          <cell r="D2434">
            <v>410509</v>
          </cell>
          <cell r="E2434" t="str">
            <v>EUR</v>
          </cell>
          <cell r="F2434">
            <v>57.52</v>
          </cell>
          <cell r="G2434" t="str">
            <v>EUR</v>
          </cell>
          <cell r="H2434" t="e">
            <v>#VALUE!</v>
          </cell>
          <cell r="I2434" t="str">
            <v>STAPLEREFH</v>
          </cell>
        </row>
        <row r="2435">
          <cell r="D2435">
            <v>410802</v>
          </cell>
          <cell r="E2435" t="str">
            <v>EUR</v>
          </cell>
          <cell r="F2435">
            <v>27.48</v>
          </cell>
          <cell r="G2435" t="str">
            <v>EUR</v>
          </cell>
          <cell r="H2435" t="e">
            <v>#VALUE!</v>
          </cell>
          <cell r="I2435" t="str">
            <v>STAPLEREFK</v>
          </cell>
        </row>
        <row r="2436">
          <cell r="D2436">
            <v>411241</v>
          </cell>
          <cell r="E2436" t="str">
            <v>EUR</v>
          </cell>
          <cell r="F2436">
            <v>19.75</v>
          </cell>
          <cell r="G2436" t="str">
            <v>EUR</v>
          </cell>
          <cell r="H2436" t="e">
            <v>#VALUE!</v>
          </cell>
          <cell r="I2436" t="str">
            <v>STAPLEREFL</v>
          </cell>
        </row>
        <row r="2437">
          <cell r="D2437">
            <v>207686</v>
          </cell>
          <cell r="E2437" t="str">
            <v>EUR</v>
          </cell>
          <cell r="F2437">
            <v>26</v>
          </cell>
          <cell r="G2437" t="e">
            <v>#N/A</v>
          </cell>
          <cell r="H2437" t="e">
            <v>#N/A</v>
          </cell>
          <cell r="I2437" t="str">
            <v>STAPLETYPEA</v>
          </cell>
        </row>
        <row r="2438">
          <cell r="D2438">
            <v>207866</v>
          </cell>
          <cell r="E2438" t="str">
            <v>EUR</v>
          </cell>
          <cell r="F2438">
            <v>29.36</v>
          </cell>
          <cell r="G2438" t="e">
            <v>#N/A</v>
          </cell>
          <cell r="H2438" t="e">
            <v>#N/A</v>
          </cell>
          <cell r="I2438" t="str">
            <v>STAPLETYPEB</v>
          </cell>
        </row>
        <row r="2439">
          <cell r="D2439">
            <v>208171</v>
          </cell>
          <cell r="E2439" t="str">
            <v>EUR</v>
          </cell>
          <cell r="F2439">
            <v>22.06</v>
          </cell>
          <cell r="G2439" t="str">
            <v>EUR</v>
          </cell>
          <cell r="H2439" t="e">
            <v>#VALUE!</v>
          </cell>
          <cell r="I2439" t="str">
            <v>STAPLETYPEC</v>
          </cell>
        </row>
        <row r="2440">
          <cell r="D2440">
            <v>208532</v>
          </cell>
          <cell r="E2440" t="str">
            <v>EUR</v>
          </cell>
          <cell r="F2440">
            <v>17.64</v>
          </cell>
          <cell r="G2440" t="str">
            <v>EUR</v>
          </cell>
          <cell r="H2440" t="e">
            <v>#VALUE!</v>
          </cell>
          <cell r="I2440" t="str">
            <v>STAPLETYPED</v>
          </cell>
        </row>
        <row r="2441">
          <cell r="D2441">
            <v>317927</v>
          </cell>
          <cell r="E2441" t="str">
            <v>EUR</v>
          </cell>
          <cell r="F2441">
            <v>16.03</v>
          </cell>
          <cell r="G2441" t="str">
            <v>EUR</v>
          </cell>
          <cell r="H2441" t="e">
            <v>#VALUE!</v>
          </cell>
          <cell r="I2441" t="str">
            <v>STAPLETYPEE</v>
          </cell>
        </row>
        <row r="2442">
          <cell r="D2442">
            <v>209307</v>
          </cell>
          <cell r="E2442" t="str">
            <v>EUR</v>
          </cell>
          <cell r="F2442">
            <v>24.08</v>
          </cell>
          <cell r="G2442" t="str">
            <v>EUR</v>
          </cell>
          <cell r="H2442" t="e">
            <v>#VALUE!</v>
          </cell>
          <cell r="I2442" t="str">
            <v>STAPLETYPEF</v>
          </cell>
        </row>
        <row r="2443">
          <cell r="D2443">
            <v>410133</v>
          </cell>
          <cell r="E2443" t="str">
            <v>EUR</v>
          </cell>
          <cell r="F2443">
            <v>24.08</v>
          </cell>
          <cell r="G2443" t="str">
            <v>EUR</v>
          </cell>
          <cell r="H2443" t="e">
            <v>#VALUE!</v>
          </cell>
          <cell r="I2443" t="str">
            <v>STAPLETYPEG</v>
          </cell>
        </row>
        <row r="2444">
          <cell r="D2444">
            <v>410508</v>
          </cell>
          <cell r="E2444" t="str">
            <v>EUR</v>
          </cell>
          <cell r="F2444">
            <v>25.55</v>
          </cell>
          <cell r="G2444" t="str">
            <v>EUR</v>
          </cell>
          <cell r="H2444" t="e">
            <v>#VALUE!</v>
          </cell>
          <cell r="I2444" t="str">
            <v>STAPLETYPEH</v>
          </cell>
        </row>
        <row r="2445">
          <cell r="D2445">
            <v>410597</v>
          </cell>
          <cell r="E2445" t="str">
            <v>EUR</v>
          </cell>
          <cell r="F2445">
            <v>29.56</v>
          </cell>
          <cell r="G2445" t="str">
            <v>EUR</v>
          </cell>
          <cell r="H2445" t="e">
            <v>#VALUE!</v>
          </cell>
          <cell r="I2445" t="str">
            <v>STAPLETYPEJ</v>
          </cell>
        </row>
        <row r="2446">
          <cell r="D2446">
            <v>410801</v>
          </cell>
          <cell r="E2446" t="str">
            <v>EUR</v>
          </cell>
          <cell r="F2446">
            <v>15.7</v>
          </cell>
          <cell r="G2446" t="str">
            <v>EUR</v>
          </cell>
          <cell r="H2446" t="e">
            <v>#VALUE!</v>
          </cell>
          <cell r="I2446" t="str">
            <v>STAPLETYPEK</v>
          </cell>
        </row>
        <row r="2447">
          <cell r="D2447">
            <v>411240</v>
          </cell>
          <cell r="E2447" t="str">
            <v>EUR</v>
          </cell>
          <cell r="F2447">
            <v>11.82</v>
          </cell>
          <cell r="G2447" t="str">
            <v>EUR</v>
          </cell>
          <cell r="H2447" t="e">
            <v>#VALUE!</v>
          </cell>
          <cell r="I2447" t="str">
            <v>STAPLETYPEL</v>
          </cell>
        </row>
        <row r="2448">
          <cell r="D2448">
            <v>922479</v>
          </cell>
          <cell r="E2448" t="str">
            <v>EUR</v>
          </cell>
          <cell r="F2448">
            <v>37</v>
          </cell>
          <cell r="G2448" t="e">
            <v>#N/A</v>
          </cell>
          <cell r="H2448" t="e">
            <v>#N/A</v>
          </cell>
          <cell r="I2448" t="str">
            <v>STAPLE85SWE</v>
          </cell>
        </row>
        <row r="2449">
          <cell r="D2449">
            <v>923978</v>
          </cell>
          <cell r="E2449" t="str">
            <v>EUR</v>
          </cell>
          <cell r="F2449">
            <v>107.99</v>
          </cell>
          <cell r="G2449" t="e">
            <v>#N/A</v>
          </cell>
          <cell r="H2449" t="e">
            <v>#N/A</v>
          </cell>
          <cell r="I2449" t="str">
            <v>TONAP1610USA</v>
          </cell>
        </row>
        <row r="2450">
          <cell r="D2450">
            <v>889341</v>
          </cell>
          <cell r="E2450" t="str">
            <v>EUR</v>
          </cell>
          <cell r="F2450">
            <v>70.180000000000007</v>
          </cell>
          <cell r="G2450" t="str">
            <v>EUR</v>
          </cell>
          <cell r="H2450" t="e">
            <v>#VALUE!</v>
          </cell>
          <cell r="I2450" t="str">
            <v>TONCOLLUN</v>
          </cell>
        </row>
        <row r="2451">
          <cell r="D2451">
            <v>887669</v>
          </cell>
          <cell r="E2451" t="str">
            <v>EUR</v>
          </cell>
          <cell r="F2451">
            <v>54.47</v>
          </cell>
          <cell r="G2451" t="e">
            <v>#N/A</v>
          </cell>
          <cell r="H2451" t="e">
            <v>#N/A</v>
          </cell>
          <cell r="I2451" t="str">
            <v>TONERKITM</v>
          </cell>
        </row>
        <row r="2452">
          <cell r="D2452">
            <v>357126</v>
          </cell>
          <cell r="E2452" t="str">
            <v>EUR</v>
          </cell>
          <cell r="F2452">
            <v>25.82</v>
          </cell>
          <cell r="G2452" t="e">
            <v>#N/A</v>
          </cell>
          <cell r="H2452" t="e">
            <v>#N/A</v>
          </cell>
          <cell r="I2452" t="str">
            <v>TONERKIT80RB</v>
          </cell>
        </row>
        <row r="2453">
          <cell r="D2453">
            <v>885104</v>
          </cell>
          <cell r="E2453" t="str">
            <v>EUR</v>
          </cell>
          <cell r="F2453">
            <v>65.459999999999994</v>
          </cell>
          <cell r="G2453" t="e">
            <v>#N/A</v>
          </cell>
          <cell r="H2453" t="e">
            <v>#N/A</v>
          </cell>
          <cell r="I2453" t="str">
            <v>TONER10DFRA</v>
          </cell>
        </row>
        <row r="2454">
          <cell r="D2454">
            <v>888037</v>
          </cell>
          <cell r="E2454" t="str">
            <v>EUR</v>
          </cell>
          <cell r="F2454">
            <v>104.94</v>
          </cell>
          <cell r="G2454" t="str">
            <v>EUR</v>
          </cell>
          <cell r="H2454" t="e">
            <v>#VALUE!</v>
          </cell>
          <cell r="I2454" t="str">
            <v>TONER105CYN</v>
          </cell>
        </row>
        <row r="2455">
          <cell r="D2455">
            <v>888036</v>
          </cell>
          <cell r="E2455" t="str">
            <v>EUR</v>
          </cell>
          <cell r="F2455">
            <v>104.94</v>
          </cell>
          <cell r="G2455" t="str">
            <v>EUR</v>
          </cell>
          <cell r="H2455" t="e">
            <v>#VALUE!</v>
          </cell>
          <cell r="I2455" t="str">
            <v>TONER105MAG</v>
          </cell>
        </row>
        <row r="2456">
          <cell r="D2456">
            <v>888035</v>
          </cell>
          <cell r="E2456" t="str">
            <v>EUR</v>
          </cell>
          <cell r="F2456">
            <v>104.94</v>
          </cell>
          <cell r="G2456" t="str">
            <v>EUR</v>
          </cell>
          <cell r="H2456" t="e">
            <v>#VALUE!</v>
          </cell>
          <cell r="I2456" t="str">
            <v>TONER105YLW</v>
          </cell>
        </row>
        <row r="2457">
          <cell r="D2457">
            <v>885109</v>
          </cell>
          <cell r="E2457" t="str">
            <v>EUR</v>
          </cell>
          <cell r="F2457">
            <v>47.4</v>
          </cell>
          <cell r="G2457" t="e">
            <v>#N/A</v>
          </cell>
          <cell r="H2457" t="e">
            <v>#N/A</v>
          </cell>
          <cell r="I2457" t="str">
            <v>TONER20DEFRA</v>
          </cell>
        </row>
        <row r="2458">
          <cell r="D2458">
            <v>888032</v>
          </cell>
          <cell r="E2458" t="str">
            <v>EUR</v>
          </cell>
          <cell r="F2458">
            <v>41.79</v>
          </cell>
          <cell r="G2458" t="str">
            <v>EUR</v>
          </cell>
          <cell r="H2458" t="e">
            <v>#VALUE!</v>
          </cell>
          <cell r="I2458" t="str">
            <v>TONER205BLA</v>
          </cell>
        </row>
        <row r="2459">
          <cell r="D2459">
            <v>887849</v>
          </cell>
          <cell r="E2459" t="str">
            <v>EUR</v>
          </cell>
          <cell r="F2459">
            <v>75.05</v>
          </cell>
          <cell r="G2459" t="str">
            <v>EUR</v>
          </cell>
          <cell r="H2459" t="e">
            <v>#VALUE!</v>
          </cell>
          <cell r="I2459" t="str">
            <v>TONTYPEHCYN</v>
          </cell>
        </row>
        <row r="2460">
          <cell r="D2460">
            <v>887848</v>
          </cell>
          <cell r="E2460" t="str">
            <v>EUR</v>
          </cell>
          <cell r="F2460">
            <v>75.05</v>
          </cell>
          <cell r="G2460" t="str">
            <v>EUR</v>
          </cell>
          <cell r="H2460" t="e">
            <v>#VALUE!</v>
          </cell>
          <cell r="I2460" t="str">
            <v>TONTYPEHMAG</v>
          </cell>
        </row>
        <row r="2461">
          <cell r="D2461">
            <v>887845</v>
          </cell>
          <cell r="E2461" t="str">
            <v>EUR</v>
          </cell>
          <cell r="F2461">
            <v>79.05</v>
          </cell>
          <cell r="G2461" t="str">
            <v>EUR</v>
          </cell>
          <cell r="H2461" t="e">
            <v>#VALUE!</v>
          </cell>
          <cell r="I2461" t="str">
            <v>TONTYPEHXBLA</v>
          </cell>
        </row>
        <row r="2462">
          <cell r="D2462">
            <v>887847</v>
          </cell>
          <cell r="E2462" t="str">
            <v>EUR</v>
          </cell>
          <cell r="F2462">
            <v>75.05</v>
          </cell>
          <cell r="G2462" t="str">
            <v>EUR</v>
          </cell>
          <cell r="H2462" t="e">
            <v>#VALUE!</v>
          </cell>
          <cell r="I2462" t="str">
            <v>TONTYPEHYLW</v>
          </cell>
        </row>
        <row r="2463">
          <cell r="D2463">
            <v>887813</v>
          </cell>
          <cell r="E2463" t="str">
            <v>EUR</v>
          </cell>
          <cell r="F2463">
            <v>86.89</v>
          </cell>
          <cell r="G2463" t="str">
            <v>EUR</v>
          </cell>
          <cell r="H2463" t="e">
            <v>#VALUE!</v>
          </cell>
          <cell r="I2463" t="str">
            <v>TONTYPEJBLA</v>
          </cell>
        </row>
        <row r="2464">
          <cell r="D2464">
            <v>887816</v>
          </cell>
          <cell r="E2464" t="str">
            <v>EUR</v>
          </cell>
          <cell r="F2464">
            <v>96.57</v>
          </cell>
          <cell r="G2464" t="str">
            <v>EUR</v>
          </cell>
          <cell r="H2464" t="e">
            <v>#VALUE!</v>
          </cell>
          <cell r="I2464" t="str">
            <v>TONTYPEJCYN</v>
          </cell>
        </row>
        <row r="2465">
          <cell r="D2465">
            <v>887815</v>
          </cell>
          <cell r="E2465" t="str">
            <v>EUR</v>
          </cell>
          <cell r="F2465">
            <v>96.57</v>
          </cell>
          <cell r="G2465" t="str">
            <v>EUR</v>
          </cell>
          <cell r="H2465" t="e">
            <v>#VALUE!</v>
          </cell>
          <cell r="I2465" t="str">
            <v>TONTYPEJMAG</v>
          </cell>
        </row>
        <row r="2466">
          <cell r="D2466">
            <v>887814</v>
          </cell>
          <cell r="E2466" t="str">
            <v>EUR</v>
          </cell>
          <cell r="F2466">
            <v>96.57</v>
          </cell>
          <cell r="G2466" t="str">
            <v>EUR</v>
          </cell>
          <cell r="H2466" t="e">
            <v>#VALUE!</v>
          </cell>
          <cell r="I2466" t="str">
            <v>TONTYPEJYLW</v>
          </cell>
        </row>
        <row r="2467">
          <cell r="D2467">
            <v>887914</v>
          </cell>
          <cell r="E2467" t="str">
            <v>EUR</v>
          </cell>
          <cell r="F2467">
            <v>49.16</v>
          </cell>
          <cell r="G2467" t="str">
            <v>EUR</v>
          </cell>
          <cell r="H2467" t="e">
            <v>#VALUE!</v>
          </cell>
          <cell r="I2467" t="str">
            <v>TONTYPEK1BLA</v>
          </cell>
        </row>
        <row r="2468">
          <cell r="D2468">
            <v>887933</v>
          </cell>
          <cell r="E2468" t="str">
            <v>EUR</v>
          </cell>
          <cell r="F2468">
            <v>125.61</v>
          </cell>
          <cell r="G2468" t="str">
            <v>EUR</v>
          </cell>
          <cell r="H2468" t="e">
            <v>#VALUE!</v>
          </cell>
          <cell r="I2468" t="str">
            <v>TONTYPEK1CYN</v>
          </cell>
        </row>
        <row r="2469">
          <cell r="D2469">
            <v>887927</v>
          </cell>
          <cell r="E2469" t="str">
            <v>EUR</v>
          </cell>
          <cell r="F2469">
            <v>125.61</v>
          </cell>
          <cell r="G2469" t="str">
            <v>EUR</v>
          </cell>
          <cell r="H2469" t="e">
            <v>#VALUE!</v>
          </cell>
          <cell r="I2469" t="str">
            <v>TONTYPEK1MAG</v>
          </cell>
        </row>
        <row r="2470">
          <cell r="D2470">
            <v>887921</v>
          </cell>
          <cell r="E2470" t="str">
            <v>EUR</v>
          </cell>
          <cell r="F2470">
            <v>125.61</v>
          </cell>
          <cell r="G2470" t="str">
            <v>EUR</v>
          </cell>
          <cell r="H2470" t="e">
            <v>#VALUE!</v>
          </cell>
          <cell r="I2470" t="str">
            <v>TONTYPEK1YLW</v>
          </cell>
        </row>
        <row r="2471">
          <cell r="D2471">
            <v>887890</v>
          </cell>
          <cell r="E2471" t="str">
            <v>EUR</v>
          </cell>
          <cell r="F2471">
            <v>131.54</v>
          </cell>
          <cell r="G2471" t="str">
            <v>EUR</v>
          </cell>
          <cell r="H2471" t="e">
            <v>#VALUE!</v>
          </cell>
          <cell r="I2471" t="str">
            <v>TONTYPEL1BLA</v>
          </cell>
        </row>
        <row r="2472">
          <cell r="D2472">
            <v>887908</v>
          </cell>
          <cell r="E2472" t="str">
            <v>EUR</v>
          </cell>
          <cell r="F2472">
            <v>149.5</v>
          </cell>
          <cell r="G2472" t="str">
            <v>EUR</v>
          </cell>
          <cell r="H2472" t="e">
            <v>#VALUE!</v>
          </cell>
          <cell r="I2472" t="str">
            <v>TONTYPEL1CYN</v>
          </cell>
        </row>
        <row r="2473">
          <cell r="D2473">
            <v>887902</v>
          </cell>
          <cell r="E2473" t="str">
            <v>EUR</v>
          </cell>
          <cell r="F2473">
            <v>149.5</v>
          </cell>
          <cell r="G2473" t="str">
            <v>EUR</v>
          </cell>
          <cell r="H2473" t="e">
            <v>#VALUE!</v>
          </cell>
          <cell r="I2473" t="str">
            <v>TONTYPEL1MAG</v>
          </cell>
        </row>
        <row r="2474">
          <cell r="D2474">
            <v>887896</v>
          </cell>
          <cell r="E2474" t="str">
            <v>EUR</v>
          </cell>
          <cell r="F2474">
            <v>149.5</v>
          </cell>
          <cell r="G2474" t="str">
            <v>EUR</v>
          </cell>
          <cell r="H2474" t="e">
            <v>#VALUE!</v>
          </cell>
          <cell r="I2474" t="str">
            <v>TONTYPEL1YLW</v>
          </cell>
        </row>
        <row r="2475">
          <cell r="D2475">
            <v>885165</v>
          </cell>
          <cell r="E2475" t="str">
            <v>EUR</v>
          </cell>
          <cell r="F2475">
            <v>53.65</v>
          </cell>
          <cell r="G2475" t="e">
            <v>#N/A</v>
          </cell>
          <cell r="H2475" t="e">
            <v>#N/A</v>
          </cell>
          <cell r="I2475" t="str">
            <v>TONTYPE1100W</v>
          </cell>
        </row>
        <row r="2476">
          <cell r="D2476">
            <v>410303</v>
          </cell>
          <cell r="E2476" t="str">
            <v>EUR</v>
          </cell>
          <cell r="F2476">
            <v>73.39</v>
          </cell>
          <cell r="G2476" t="str">
            <v>EUR</v>
          </cell>
          <cell r="H2476" t="e">
            <v>#VALUE!</v>
          </cell>
          <cell r="I2476" t="str">
            <v>TONTYPE185</v>
          </cell>
        </row>
        <row r="2477">
          <cell r="D2477">
            <v>394002</v>
          </cell>
          <cell r="E2477" t="str">
            <v>EUR</v>
          </cell>
          <cell r="F2477">
            <v>9.3800000000000008</v>
          </cell>
          <cell r="G2477" t="e">
            <v>#N/A</v>
          </cell>
          <cell r="H2477" t="e">
            <v>#N/A</v>
          </cell>
          <cell r="I2477" t="str">
            <v>TON6000P02CH</v>
          </cell>
        </row>
        <row r="2478">
          <cell r="D2478">
            <v>885195</v>
          </cell>
          <cell r="E2478" t="str">
            <v>EUR</v>
          </cell>
          <cell r="F2478">
            <v>141.65</v>
          </cell>
          <cell r="G2478" t="e">
            <v>#N/A</v>
          </cell>
          <cell r="H2478" t="e">
            <v>#N/A</v>
          </cell>
          <cell r="I2478" t="str">
            <v>TON6205FRA</v>
          </cell>
        </row>
        <row r="2479">
          <cell r="D2479">
            <v>401092</v>
          </cell>
          <cell r="E2479" t="str">
            <v>EUR</v>
          </cell>
          <cell r="F2479">
            <v>43.4</v>
          </cell>
          <cell r="G2479" t="e">
            <v>#N/A</v>
          </cell>
          <cell r="H2479" t="e">
            <v>#N/A</v>
          </cell>
          <cell r="I2479" t="str">
            <v>1120DTONER</v>
          </cell>
        </row>
        <row r="2480">
          <cell r="D2480">
            <v>401129</v>
          </cell>
          <cell r="E2480" t="str">
            <v>EUR</v>
          </cell>
          <cell r="F2480">
            <v>56.73</v>
          </cell>
          <cell r="G2480" t="e">
            <v>#N/A</v>
          </cell>
          <cell r="H2480" t="e">
            <v>#N/A</v>
          </cell>
          <cell r="I2480" t="str">
            <v>1125DTONUK</v>
          </cell>
        </row>
        <row r="2481">
          <cell r="D2481">
            <v>888029</v>
          </cell>
          <cell r="E2481" t="str">
            <v>EUR</v>
          </cell>
          <cell r="F2481">
            <v>65.010000000000005</v>
          </cell>
          <cell r="G2481" t="str">
            <v>EUR</v>
          </cell>
          <cell r="H2481" t="e">
            <v>#VALUE!</v>
          </cell>
          <cell r="I2481" t="str">
            <v>1160WTONER</v>
          </cell>
        </row>
        <row r="2482">
          <cell r="D2482">
            <v>885122</v>
          </cell>
          <cell r="E2482" t="str">
            <v>EUR</v>
          </cell>
          <cell r="F2482">
            <v>45.24</v>
          </cell>
          <cell r="G2482" t="e">
            <v>#N/A</v>
          </cell>
          <cell r="H2482" t="e">
            <v>#N/A</v>
          </cell>
          <cell r="I2482" t="str">
            <v>1205TONERUK</v>
          </cell>
        </row>
        <row r="2483">
          <cell r="D2483">
            <v>339588</v>
          </cell>
          <cell r="E2483" t="str">
            <v>EUR</v>
          </cell>
          <cell r="F2483">
            <v>150.02000000000001</v>
          </cell>
          <cell r="G2483" t="str">
            <v>EUR</v>
          </cell>
          <cell r="H2483" t="e">
            <v>#VALUE!</v>
          </cell>
          <cell r="I2483" t="str">
            <v>1210DTONER</v>
          </cell>
        </row>
        <row r="2484">
          <cell r="D2484">
            <v>887754</v>
          </cell>
          <cell r="E2484" t="str">
            <v>EUR</v>
          </cell>
          <cell r="F2484">
            <v>39.21</v>
          </cell>
          <cell r="G2484" t="e">
            <v>#N/A</v>
          </cell>
          <cell r="H2484" t="e">
            <v>#N/A</v>
          </cell>
          <cell r="I2484" t="str">
            <v>1215TONER</v>
          </cell>
        </row>
        <row r="2485">
          <cell r="D2485">
            <v>888078</v>
          </cell>
          <cell r="E2485" t="str">
            <v>EUR</v>
          </cell>
          <cell r="F2485">
            <v>39.22</v>
          </cell>
          <cell r="G2485" t="str">
            <v>EUR</v>
          </cell>
          <cell r="H2485" t="e">
            <v>#VALUE!</v>
          </cell>
          <cell r="I2485" t="str">
            <v>1215TONERKOR</v>
          </cell>
        </row>
        <row r="2486">
          <cell r="D2486">
            <v>888087</v>
          </cell>
          <cell r="E2486" t="str">
            <v>EUR</v>
          </cell>
          <cell r="F2486">
            <v>13.03</v>
          </cell>
          <cell r="G2486" t="str">
            <v>EUR</v>
          </cell>
          <cell r="H2486" t="e">
            <v>#VALUE!</v>
          </cell>
          <cell r="I2486" t="str">
            <v>1220DTONER</v>
          </cell>
        </row>
        <row r="2487">
          <cell r="D2487">
            <v>885258</v>
          </cell>
          <cell r="E2487" t="str">
            <v>EUR</v>
          </cell>
          <cell r="F2487">
            <v>9.33</v>
          </cell>
          <cell r="G2487" t="e">
            <v>#N/A</v>
          </cell>
          <cell r="H2487" t="e">
            <v>#N/A</v>
          </cell>
          <cell r="I2487" t="str">
            <v>1250DTONER</v>
          </cell>
        </row>
        <row r="2488">
          <cell r="D2488">
            <v>411073</v>
          </cell>
          <cell r="E2488" t="str">
            <v>EUR</v>
          </cell>
          <cell r="F2488">
            <v>45.56</v>
          </cell>
          <cell r="G2488" t="str">
            <v>EUR</v>
          </cell>
          <cell r="H2488" t="e">
            <v>#VALUE!</v>
          </cell>
          <cell r="I2488" t="str">
            <v>1255DTONCHN</v>
          </cell>
        </row>
        <row r="2489">
          <cell r="D2489">
            <v>887661</v>
          </cell>
          <cell r="E2489" t="str">
            <v>EUR</v>
          </cell>
          <cell r="F2489">
            <v>25.3</v>
          </cell>
          <cell r="G2489" t="e">
            <v>#N/A</v>
          </cell>
          <cell r="H2489" t="e">
            <v>#N/A</v>
          </cell>
          <cell r="I2489" t="str">
            <v>2050TONBLAUK</v>
          </cell>
        </row>
        <row r="2490">
          <cell r="D2490">
            <v>889309</v>
          </cell>
          <cell r="E2490" t="str">
            <v>EUR</v>
          </cell>
          <cell r="F2490">
            <v>51.87</v>
          </cell>
          <cell r="G2490" t="e">
            <v>#N/A</v>
          </cell>
          <cell r="H2490" t="e">
            <v>#N/A</v>
          </cell>
          <cell r="I2490" t="str">
            <v>2050TONERBLU</v>
          </cell>
        </row>
        <row r="2491">
          <cell r="D2491">
            <v>889313</v>
          </cell>
          <cell r="E2491" t="str">
            <v>EUR</v>
          </cell>
          <cell r="F2491">
            <v>51.87</v>
          </cell>
          <cell r="G2491" t="e">
            <v>#N/A</v>
          </cell>
          <cell r="H2491" t="e">
            <v>#N/A</v>
          </cell>
          <cell r="I2491" t="str">
            <v>2050TONERGRE</v>
          </cell>
        </row>
        <row r="2492">
          <cell r="D2492">
            <v>889873</v>
          </cell>
          <cell r="E2492" t="str">
            <v>EUR</v>
          </cell>
          <cell r="F2492">
            <v>166.78</v>
          </cell>
          <cell r="G2492" t="str">
            <v>EUR</v>
          </cell>
          <cell r="H2492" t="e">
            <v>#VALUE!</v>
          </cell>
          <cell r="I2492" t="str">
            <v>2100DTONER</v>
          </cell>
        </row>
        <row r="2493">
          <cell r="D2493">
            <v>889776</v>
          </cell>
          <cell r="E2493" t="str">
            <v>EUR</v>
          </cell>
          <cell r="F2493">
            <v>195.44</v>
          </cell>
          <cell r="G2493" t="str">
            <v>EUR</v>
          </cell>
          <cell r="H2493" t="e">
            <v>#VALUE!</v>
          </cell>
          <cell r="I2493" t="str">
            <v>2200EXTONER</v>
          </cell>
        </row>
        <row r="2494">
          <cell r="D2494">
            <v>889614</v>
          </cell>
          <cell r="E2494" t="str">
            <v>EUR</v>
          </cell>
          <cell r="F2494">
            <v>50.52</v>
          </cell>
          <cell r="G2494" t="str">
            <v>EUR</v>
          </cell>
          <cell r="H2494" t="e">
            <v>#VALUE!</v>
          </cell>
          <cell r="I2494" t="str">
            <v>2205DTONER</v>
          </cell>
        </row>
        <row r="2495">
          <cell r="D2495">
            <v>887977</v>
          </cell>
          <cell r="E2495" t="str">
            <v>EUR</v>
          </cell>
          <cell r="F2495">
            <v>75.930000000000007</v>
          </cell>
          <cell r="G2495" t="e">
            <v>#N/A</v>
          </cell>
          <cell r="H2495" t="e">
            <v>#N/A</v>
          </cell>
          <cell r="I2495" t="str">
            <v>2210DTONER</v>
          </cell>
        </row>
        <row r="2496">
          <cell r="D2496">
            <v>885229</v>
          </cell>
          <cell r="E2496" t="str">
            <v>EUR</v>
          </cell>
          <cell r="F2496">
            <v>73.7</v>
          </cell>
          <cell r="G2496" t="e">
            <v>#N/A</v>
          </cell>
          <cell r="H2496" t="e">
            <v>#N/A</v>
          </cell>
          <cell r="I2496" t="str">
            <v>2210DTONER2</v>
          </cell>
        </row>
        <row r="2497">
          <cell r="D2497">
            <v>885266</v>
          </cell>
          <cell r="E2497" t="str">
            <v>EUR</v>
          </cell>
          <cell r="F2497">
            <v>12.21</v>
          </cell>
          <cell r="G2497" t="e">
            <v>#N/A</v>
          </cell>
          <cell r="H2497" t="e">
            <v>#N/A</v>
          </cell>
          <cell r="I2497" t="str">
            <v>2220DTONFRA</v>
          </cell>
        </row>
        <row r="2498">
          <cell r="D2498">
            <v>887620</v>
          </cell>
          <cell r="E2498" t="str">
            <v>EUR</v>
          </cell>
          <cell r="F2498">
            <v>28.01</v>
          </cell>
          <cell r="G2498" t="e">
            <v>#N/A</v>
          </cell>
          <cell r="H2498" t="e">
            <v>#N/A</v>
          </cell>
          <cell r="I2498" t="str">
            <v>3000TONERUK</v>
          </cell>
        </row>
        <row r="2499">
          <cell r="D2499">
            <v>889268</v>
          </cell>
          <cell r="E2499" t="str">
            <v>EUR</v>
          </cell>
          <cell r="F2499">
            <v>34.42</v>
          </cell>
          <cell r="G2499" t="str">
            <v>EUR</v>
          </cell>
          <cell r="H2499" t="e">
            <v>#VALUE!</v>
          </cell>
          <cell r="I2499" t="str">
            <v>310DEV</v>
          </cell>
        </row>
        <row r="2500">
          <cell r="D2500">
            <v>887612</v>
          </cell>
          <cell r="E2500" t="str">
            <v>EUR</v>
          </cell>
          <cell r="F2500">
            <v>18.059999999999999</v>
          </cell>
          <cell r="G2500" t="e">
            <v>#N/A</v>
          </cell>
          <cell r="H2500" t="e">
            <v>#N/A</v>
          </cell>
          <cell r="I2500" t="str">
            <v>310TONERUK</v>
          </cell>
        </row>
        <row r="2501">
          <cell r="D2501">
            <v>887681</v>
          </cell>
          <cell r="E2501" t="str">
            <v>EUR</v>
          </cell>
          <cell r="F2501">
            <v>18.059999999999999</v>
          </cell>
          <cell r="G2501" t="e">
            <v>#N/A</v>
          </cell>
          <cell r="H2501" t="e">
            <v>#N/A</v>
          </cell>
          <cell r="I2501" t="str">
            <v>320TONERUK</v>
          </cell>
        </row>
        <row r="2502">
          <cell r="D2502">
            <v>885137</v>
          </cell>
          <cell r="E2502" t="str">
            <v>EUR</v>
          </cell>
          <cell r="F2502">
            <v>97.05</v>
          </cell>
          <cell r="G2502" t="e">
            <v>#N/A</v>
          </cell>
          <cell r="H2502" t="e">
            <v>#N/A</v>
          </cell>
          <cell r="I2502" t="str">
            <v>3200DTONFRA</v>
          </cell>
        </row>
        <row r="2503">
          <cell r="D2503">
            <v>885180</v>
          </cell>
          <cell r="E2503" t="str">
            <v>EUR</v>
          </cell>
          <cell r="F2503">
            <v>97.05</v>
          </cell>
          <cell r="G2503" t="e">
            <v>#N/A</v>
          </cell>
          <cell r="H2503" t="e">
            <v>#N/A</v>
          </cell>
          <cell r="I2503" t="str">
            <v>3200DTONUK</v>
          </cell>
        </row>
        <row r="2504">
          <cell r="D2504">
            <v>885251</v>
          </cell>
          <cell r="E2504" t="str">
            <v>EUR</v>
          </cell>
          <cell r="F2504">
            <v>20.74</v>
          </cell>
          <cell r="G2504" t="e">
            <v>#N/A</v>
          </cell>
          <cell r="H2504" t="e">
            <v>#N/A</v>
          </cell>
          <cell r="I2504" t="str">
            <v>3205DTONFRA</v>
          </cell>
        </row>
        <row r="2505">
          <cell r="D2505">
            <v>889415</v>
          </cell>
          <cell r="E2505" t="str">
            <v>EUR</v>
          </cell>
          <cell r="F2505">
            <v>35.96</v>
          </cell>
          <cell r="G2505" t="e">
            <v>#N/A</v>
          </cell>
          <cell r="H2505" t="e">
            <v>#N/A</v>
          </cell>
          <cell r="I2505" t="str">
            <v>3300DEVUSA</v>
          </cell>
        </row>
        <row r="2506">
          <cell r="D2506">
            <v>889411</v>
          </cell>
          <cell r="E2506" t="str">
            <v>EUR</v>
          </cell>
          <cell r="F2506">
            <v>43.24</v>
          </cell>
          <cell r="G2506" t="e">
            <v>#N/A</v>
          </cell>
          <cell r="H2506" t="e">
            <v>#N/A</v>
          </cell>
          <cell r="I2506" t="str">
            <v>3300TONERUK</v>
          </cell>
        </row>
        <row r="2507">
          <cell r="D2507">
            <v>887133</v>
          </cell>
          <cell r="E2507" t="str">
            <v>EUR</v>
          </cell>
          <cell r="F2507">
            <v>51.95</v>
          </cell>
          <cell r="G2507" t="e">
            <v>#N/A</v>
          </cell>
          <cell r="H2507" t="e">
            <v>#N/A</v>
          </cell>
          <cell r="I2507" t="str">
            <v>4000DEVUSA</v>
          </cell>
        </row>
        <row r="2508">
          <cell r="D2508">
            <v>887621</v>
          </cell>
          <cell r="E2508" t="str">
            <v>EUR</v>
          </cell>
          <cell r="F2508">
            <v>36.85</v>
          </cell>
          <cell r="G2508" t="e">
            <v>#N/A</v>
          </cell>
          <cell r="H2508" t="e">
            <v>#N/A</v>
          </cell>
          <cell r="I2508" t="str">
            <v>4000TONERUK</v>
          </cell>
        </row>
        <row r="2509">
          <cell r="D2509">
            <v>887564</v>
          </cell>
          <cell r="E2509" t="str">
            <v>EUR</v>
          </cell>
          <cell r="F2509">
            <v>32.520000000000003</v>
          </cell>
          <cell r="G2509" t="str">
            <v>EUR</v>
          </cell>
          <cell r="H2509" t="e">
            <v>#VALUE!</v>
          </cell>
          <cell r="I2509" t="str">
            <v>4418DEVBLA</v>
          </cell>
        </row>
        <row r="2510">
          <cell r="D2510">
            <v>887566</v>
          </cell>
          <cell r="E2510" t="str">
            <v>EUR</v>
          </cell>
          <cell r="F2510">
            <v>67.459999999999994</v>
          </cell>
          <cell r="G2510" t="str">
            <v>EUR</v>
          </cell>
          <cell r="H2510" t="e">
            <v>#VALUE!</v>
          </cell>
          <cell r="I2510" t="str">
            <v>4418DEVBLU</v>
          </cell>
        </row>
        <row r="2511">
          <cell r="D2511">
            <v>887567</v>
          </cell>
          <cell r="E2511" t="str">
            <v>EUR</v>
          </cell>
          <cell r="F2511">
            <v>67.459999999999994</v>
          </cell>
          <cell r="G2511" t="str">
            <v>EUR</v>
          </cell>
          <cell r="H2511" t="e">
            <v>#VALUE!</v>
          </cell>
          <cell r="I2511" t="str">
            <v>4418DEVGRE</v>
          </cell>
        </row>
        <row r="2512">
          <cell r="D2512">
            <v>887565</v>
          </cell>
          <cell r="E2512" t="str">
            <v>EUR</v>
          </cell>
          <cell r="F2512">
            <v>64.11</v>
          </cell>
          <cell r="G2512" t="str">
            <v>EUR</v>
          </cell>
          <cell r="H2512" t="e">
            <v>#VALUE!</v>
          </cell>
          <cell r="I2512" t="str">
            <v>4418DEVRED</v>
          </cell>
        </row>
        <row r="2513">
          <cell r="D2513">
            <v>887610</v>
          </cell>
          <cell r="E2513" t="str">
            <v>EUR</v>
          </cell>
          <cell r="F2513">
            <v>37.840000000000003</v>
          </cell>
          <cell r="G2513" t="e">
            <v>#N/A</v>
          </cell>
          <cell r="H2513" t="e">
            <v>#N/A</v>
          </cell>
          <cell r="I2513" t="str">
            <v>4418TONBLAUK</v>
          </cell>
        </row>
        <row r="2514">
          <cell r="D2514">
            <v>887530</v>
          </cell>
          <cell r="E2514" t="str">
            <v>EUR</v>
          </cell>
          <cell r="F2514">
            <v>45.58</v>
          </cell>
          <cell r="G2514" t="str">
            <v>EUR</v>
          </cell>
          <cell r="H2514" t="e">
            <v>#VALUE!</v>
          </cell>
          <cell r="I2514" t="str">
            <v>4418TONERBLU</v>
          </cell>
        </row>
        <row r="2515">
          <cell r="D2515">
            <v>887533</v>
          </cell>
          <cell r="E2515" t="str">
            <v>EUR</v>
          </cell>
          <cell r="F2515">
            <v>45.58</v>
          </cell>
          <cell r="G2515" t="str">
            <v>EUR</v>
          </cell>
          <cell r="H2515" t="e">
            <v>#VALUE!</v>
          </cell>
          <cell r="I2515" t="str">
            <v>4418TONERGRE</v>
          </cell>
        </row>
        <row r="2516">
          <cell r="D2516">
            <v>887527</v>
          </cell>
          <cell r="E2516" t="str">
            <v>EUR</v>
          </cell>
          <cell r="F2516">
            <v>45.58</v>
          </cell>
          <cell r="G2516" t="str">
            <v>EUR</v>
          </cell>
          <cell r="H2516" t="e">
            <v>#VALUE!</v>
          </cell>
          <cell r="I2516" t="str">
            <v>4418TONERRED</v>
          </cell>
        </row>
        <row r="2517">
          <cell r="D2517">
            <v>887459</v>
          </cell>
          <cell r="E2517" t="str">
            <v>EUR</v>
          </cell>
          <cell r="F2517">
            <v>136.13</v>
          </cell>
          <cell r="G2517" t="str">
            <v>EUR</v>
          </cell>
          <cell r="H2517" t="e">
            <v>#VALUE!</v>
          </cell>
          <cell r="I2517" t="str">
            <v>4460TONERBLA</v>
          </cell>
        </row>
        <row r="2518">
          <cell r="D2518">
            <v>887453</v>
          </cell>
          <cell r="E2518" t="str">
            <v>EUR</v>
          </cell>
          <cell r="F2518">
            <v>39.21</v>
          </cell>
          <cell r="G2518" t="str">
            <v>EUR</v>
          </cell>
          <cell r="H2518" t="e">
            <v>#VALUE!</v>
          </cell>
          <cell r="I2518" t="str">
            <v>4460TONERBLU</v>
          </cell>
        </row>
        <row r="2519">
          <cell r="D2519">
            <v>887454</v>
          </cell>
          <cell r="E2519" t="str">
            <v>EUR</v>
          </cell>
          <cell r="F2519">
            <v>39.21</v>
          </cell>
          <cell r="G2519" t="str">
            <v>EUR</v>
          </cell>
          <cell r="H2519" t="e">
            <v>#VALUE!</v>
          </cell>
          <cell r="I2519" t="str">
            <v>4460TONERGRE</v>
          </cell>
        </row>
        <row r="2520">
          <cell r="D2520">
            <v>887452</v>
          </cell>
          <cell r="E2520" t="str">
            <v>EUR</v>
          </cell>
          <cell r="F2520">
            <v>39.21</v>
          </cell>
          <cell r="G2520" t="str">
            <v>EUR</v>
          </cell>
          <cell r="H2520" t="e">
            <v>#VALUE!</v>
          </cell>
          <cell r="I2520" t="str">
            <v>4460TONERRED</v>
          </cell>
        </row>
        <row r="2521">
          <cell r="D2521">
            <v>889490</v>
          </cell>
          <cell r="E2521" t="str">
            <v>EUR</v>
          </cell>
          <cell r="F2521">
            <v>31.21</v>
          </cell>
          <cell r="G2521" t="e">
            <v>#N/A</v>
          </cell>
          <cell r="H2521" t="e">
            <v>#N/A</v>
          </cell>
          <cell r="I2521" t="str">
            <v>450TONERUK</v>
          </cell>
        </row>
        <row r="2522">
          <cell r="D2522">
            <v>887622</v>
          </cell>
          <cell r="E2522" t="str">
            <v>EUR</v>
          </cell>
          <cell r="F2522">
            <v>33.9</v>
          </cell>
          <cell r="G2522" t="e">
            <v>#N/A</v>
          </cell>
          <cell r="H2522" t="e">
            <v>#N/A</v>
          </cell>
          <cell r="I2522" t="str">
            <v>5000TONERUK</v>
          </cell>
        </row>
        <row r="2523">
          <cell r="D2523">
            <v>887655</v>
          </cell>
          <cell r="E2523" t="str">
            <v>EUR</v>
          </cell>
          <cell r="F2523">
            <v>56.5</v>
          </cell>
          <cell r="G2523" t="e">
            <v>#N/A</v>
          </cell>
          <cell r="H2523" t="e">
            <v>#N/A</v>
          </cell>
          <cell r="I2523" t="str">
            <v>5010TONBLUK</v>
          </cell>
        </row>
        <row r="2524">
          <cell r="D2524">
            <v>889292</v>
          </cell>
          <cell r="E2524" t="str">
            <v>EUR</v>
          </cell>
          <cell r="F2524">
            <v>24.9</v>
          </cell>
          <cell r="G2524" t="str">
            <v>EUR</v>
          </cell>
          <cell r="H2524" t="e">
            <v>#VALUE!</v>
          </cell>
          <cell r="I2524" t="str">
            <v>510DEVBLU</v>
          </cell>
        </row>
        <row r="2525">
          <cell r="D2525">
            <v>889289</v>
          </cell>
          <cell r="E2525" t="str">
            <v>EUR</v>
          </cell>
          <cell r="F2525">
            <v>24.9</v>
          </cell>
          <cell r="G2525" t="str">
            <v>EUR</v>
          </cell>
          <cell r="H2525" t="e">
            <v>#VALUE!</v>
          </cell>
          <cell r="I2525" t="str">
            <v>510DEVRED</v>
          </cell>
        </row>
        <row r="2526">
          <cell r="D2526">
            <v>887616</v>
          </cell>
          <cell r="E2526" t="str">
            <v>EUR</v>
          </cell>
          <cell r="F2526">
            <v>37.54</v>
          </cell>
          <cell r="G2526" t="e">
            <v>#N/A</v>
          </cell>
          <cell r="H2526" t="e">
            <v>#N/A</v>
          </cell>
          <cell r="I2526" t="str">
            <v>510TONBLAUK</v>
          </cell>
        </row>
        <row r="2527">
          <cell r="D2527">
            <v>889283</v>
          </cell>
          <cell r="E2527" t="str">
            <v>EUR</v>
          </cell>
          <cell r="F2527">
            <v>44.42</v>
          </cell>
          <cell r="G2527" t="str">
            <v>EUR</v>
          </cell>
          <cell r="H2527" t="e">
            <v>#VALUE!</v>
          </cell>
          <cell r="I2527" t="str">
            <v>510TONERBLU</v>
          </cell>
        </row>
        <row r="2528">
          <cell r="D2528">
            <v>889286</v>
          </cell>
          <cell r="E2528" t="str">
            <v>EUR</v>
          </cell>
          <cell r="F2528">
            <v>44.42</v>
          </cell>
          <cell r="G2528" t="str">
            <v>EUR</v>
          </cell>
          <cell r="H2528" t="e">
            <v>#VALUE!</v>
          </cell>
          <cell r="I2528" t="str">
            <v>510TONERGRE</v>
          </cell>
        </row>
        <row r="2529">
          <cell r="D2529">
            <v>889280</v>
          </cell>
          <cell r="E2529" t="str">
            <v>EUR</v>
          </cell>
          <cell r="F2529">
            <v>44.42</v>
          </cell>
          <cell r="G2529" t="str">
            <v>EUR</v>
          </cell>
          <cell r="H2529" t="e">
            <v>#VALUE!</v>
          </cell>
          <cell r="I2529" t="str">
            <v>510TONERRED</v>
          </cell>
        </row>
        <row r="2530">
          <cell r="D2530">
            <v>887741</v>
          </cell>
          <cell r="E2530" t="str">
            <v>EUR</v>
          </cell>
          <cell r="F2530">
            <v>121</v>
          </cell>
          <cell r="G2530" t="e">
            <v>#N/A</v>
          </cell>
          <cell r="H2530" t="e">
            <v>#N/A</v>
          </cell>
          <cell r="I2530" t="str">
            <v>5200DTONER</v>
          </cell>
        </row>
        <row r="2531">
          <cell r="D2531">
            <v>885190</v>
          </cell>
          <cell r="E2531" t="str">
            <v>EUR</v>
          </cell>
          <cell r="F2531">
            <v>117.3</v>
          </cell>
          <cell r="G2531" t="e">
            <v>#N/A</v>
          </cell>
          <cell r="H2531" t="e">
            <v>#N/A</v>
          </cell>
          <cell r="I2531" t="str">
            <v>5200DTONFRA</v>
          </cell>
        </row>
        <row r="2532">
          <cell r="D2532">
            <v>887995</v>
          </cell>
          <cell r="E2532" t="str">
            <v>EUR</v>
          </cell>
          <cell r="F2532">
            <v>130.72</v>
          </cell>
          <cell r="G2532" t="e">
            <v>#N/A</v>
          </cell>
          <cell r="H2532" t="e">
            <v>#N/A</v>
          </cell>
          <cell r="I2532" t="str">
            <v>5205DTONER</v>
          </cell>
        </row>
        <row r="2533">
          <cell r="D2533">
            <v>885241</v>
          </cell>
          <cell r="E2533" t="str">
            <v>EUR</v>
          </cell>
          <cell r="F2533">
            <v>123.32</v>
          </cell>
          <cell r="G2533" t="e">
            <v>#N/A</v>
          </cell>
          <cell r="H2533" t="e">
            <v>#N/A</v>
          </cell>
          <cell r="I2533" t="str">
            <v>5205DTONER2</v>
          </cell>
        </row>
        <row r="2534">
          <cell r="D2534">
            <v>887642</v>
          </cell>
          <cell r="E2534" t="str">
            <v>EUR</v>
          </cell>
          <cell r="F2534">
            <v>113.22</v>
          </cell>
          <cell r="G2534" t="e">
            <v>#N/A</v>
          </cell>
          <cell r="H2534" t="e">
            <v>#N/A</v>
          </cell>
          <cell r="I2534" t="str">
            <v>610TONERUK</v>
          </cell>
        </row>
        <row r="2535">
          <cell r="D2535">
            <v>885274</v>
          </cell>
          <cell r="E2535" t="str">
            <v>EUR</v>
          </cell>
          <cell r="F2535">
            <v>31.58</v>
          </cell>
          <cell r="G2535" t="e">
            <v>#N/A</v>
          </cell>
          <cell r="H2535" t="e">
            <v>#N/A</v>
          </cell>
          <cell r="I2535" t="str">
            <v>6210DTONER</v>
          </cell>
        </row>
        <row r="2536">
          <cell r="D2536">
            <v>887576</v>
          </cell>
          <cell r="E2536" t="str">
            <v>EUR</v>
          </cell>
          <cell r="F2536">
            <v>67.430000000000007</v>
          </cell>
          <cell r="G2536" t="str">
            <v>EUR</v>
          </cell>
          <cell r="H2536" t="e">
            <v>#VALUE!</v>
          </cell>
          <cell r="I2536" t="str">
            <v>670DEV</v>
          </cell>
        </row>
        <row r="2537">
          <cell r="D2537">
            <v>887571</v>
          </cell>
          <cell r="E2537" t="str">
            <v>EUR</v>
          </cell>
          <cell r="F2537">
            <v>47.81</v>
          </cell>
          <cell r="G2537" t="e">
            <v>#N/A</v>
          </cell>
          <cell r="H2537" t="e">
            <v>#N/A</v>
          </cell>
          <cell r="I2537" t="str">
            <v>670TONERUSA</v>
          </cell>
        </row>
        <row r="2538">
          <cell r="D2538">
            <v>887656</v>
          </cell>
          <cell r="E2538" t="str">
            <v>EUR</v>
          </cell>
          <cell r="F2538">
            <v>69.62</v>
          </cell>
          <cell r="G2538" t="e">
            <v>#N/A</v>
          </cell>
          <cell r="H2538" t="e">
            <v>#N/A</v>
          </cell>
          <cell r="I2538" t="str">
            <v>7770TONERUK</v>
          </cell>
        </row>
        <row r="2539">
          <cell r="D2539">
            <v>887447</v>
          </cell>
          <cell r="E2539" t="str">
            <v>EUR</v>
          </cell>
          <cell r="F2539">
            <v>495.57</v>
          </cell>
          <cell r="G2539" t="str">
            <v>EUR</v>
          </cell>
          <cell r="H2539" t="e">
            <v>#VALUE!</v>
          </cell>
          <cell r="I2539" t="str">
            <v>800TONERBLA</v>
          </cell>
        </row>
        <row r="2540">
          <cell r="D2540">
            <v>889553</v>
          </cell>
          <cell r="E2540" t="str">
            <v>EUR</v>
          </cell>
          <cell r="F2540">
            <v>32.01</v>
          </cell>
          <cell r="G2540" t="str">
            <v>EUR</v>
          </cell>
          <cell r="H2540" t="e">
            <v>#VALUE!</v>
          </cell>
          <cell r="I2540" t="str">
            <v>8015DEVBLA</v>
          </cell>
        </row>
        <row r="2541">
          <cell r="D2541">
            <v>889562</v>
          </cell>
          <cell r="E2541" t="str">
            <v>EUR</v>
          </cell>
          <cell r="F2541">
            <v>32.01</v>
          </cell>
          <cell r="G2541" t="str">
            <v>EUR</v>
          </cell>
          <cell r="H2541" t="e">
            <v>#VALUE!</v>
          </cell>
          <cell r="I2541" t="str">
            <v>8015DEVCYN</v>
          </cell>
        </row>
        <row r="2542">
          <cell r="D2542">
            <v>889556</v>
          </cell>
          <cell r="E2542" t="str">
            <v>EUR</v>
          </cell>
          <cell r="F2542">
            <v>32.01</v>
          </cell>
          <cell r="G2542" t="str">
            <v>EUR</v>
          </cell>
          <cell r="H2542" t="e">
            <v>#VALUE!</v>
          </cell>
          <cell r="I2542" t="str">
            <v>8015DEVYLW</v>
          </cell>
        </row>
        <row r="2543">
          <cell r="D2543">
            <v>889541</v>
          </cell>
          <cell r="E2543" t="str">
            <v>EUR</v>
          </cell>
          <cell r="F2543">
            <v>182.98</v>
          </cell>
          <cell r="G2543" t="str">
            <v>EUR</v>
          </cell>
          <cell r="H2543" t="e">
            <v>#VALUE!</v>
          </cell>
          <cell r="I2543" t="str">
            <v>8015TONBLA</v>
          </cell>
        </row>
        <row r="2544">
          <cell r="D2544">
            <v>889550</v>
          </cell>
          <cell r="E2544" t="str">
            <v>EUR</v>
          </cell>
          <cell r="F2544">
            <v>182.98</v>
          </cell>
          <cell r="G2544" t="str">
            <v>EUR</v>
          </cell>
          <cell r="H2544" t="e">
            <v>#VALUE!</v>
          </cell>
          <cell r="I2544" t="str">
            <v>8015TONCYN</v>
          </cell>
        </row>
        <row r="2545">
          <cell r="D2545">
            <v>889547</v>
          </cell>
          <cell r="E2545" t="str">
            <v>EUR</v>
          </cell>
          <cell r="F2545">
            <v>182.98</v>
          </cell>
          <cell r="G2545" t="str">
            <v>EUR</v>
          </cell>
          <cell r="H2545" t="e">
            <v>#VALUE!</v>
          </cell>
          <cell r="I2545" t="str">
            <v>8015TONMAG</v>
          </cell>
        </row>
        <row r="2546">
          <cell r="D2546">
            <v>889544</v>
          </cell>
          <cell r="E2546" t="str">
            <v>EUR</v>
          </cell>
          <cell r="F2546">
            <v>182.98</v>
          </cell>
          <cell r="G2546" t="str">
            <v>EUR</v>
          </cell>
          <cell r="H2546" t="e">
            <v>#VALUE!</v>
          </cell>
          <cell r="I2546" t="str">
            <v>8015TONYLW</v>
          </cell>
        </row>
        <row r="2547">
          <cell r="D2547">
            <v>887188</v>
          </cell>
          <cell r="E2547" t="str">
            <v>EUR</v>
          </cell>
          <cell r="F2547">
            <v>162.24</v>
          </cell>
          <cell r="G2547" t="str">
            <v>EUR</v>
          </cell>
          <cell r="H2547" t="e">
            <v>#VALUE!</v>
          </cell>
          <cell r="I2547" t="str">
            <v>820DEV</v>
          </cell>
        </row>
        <row r="2548">
          <cell r="D2548">
            <v>888009</v>
          </cell>
          <cell r="E2548" t="str">
            <v>EUR</v>
          </cell>
          <cell r="F2548">
            <v>139.9</v>
          </cell>
          <cell r="G2548" t="str">
            <v>EUR</v>
          </cell>
          <cell r="H2548" t="e">
            <v>#VALUE!</v>
          </cell>
          <cell r="I2548" t="str">
            <v>8200DTONER</v>
          </cell>
        </row>
        <row r="2549">
          <cell r="D2549">
            <v>888157</v>
          </cell>
          <cell r="E2549" t="str">
            <v>EUR</v>
          </cell>
          <cell r="F2549">
            <v>36.28</v>
          </cell>
          <cell r="G2549" t="e">
            <v>#N/A</v>
          </cell>
          <cell r="H2549" t="e">
            <v>#N/A</v>
          </cell>
          <cell r="I2549" t="str">
            <v>8205DTONER</v>
          </cell>
        </row>
        <row r="2550">
          <cell r="D2550">
            <v>885344</v>
          </cell>
          <cell r="E2550" t="str">
            <v>EUR</v>
          </cell>
          <cell r="F2550">
            <v>34.229999999999997</v>
          </cell>
          <cell r="G2550" t="e">
            <v>#N/A</v>
          </cell>
          <cell r="H2550" t="e">
            <v>#N/A</v>
          </cell>
          <cell r="I2550" t="str">
            <v>8205DTONFRA</v>
          </cell>
        </row>
        <row r="2551">
          <cell r="D2551">
            <v>889580</v>
          </cell>
          <cell r="E2551" t="str">
            <v>EUR</v>
          </cell>
          <cell r="F2551">
            <v>145.87</v>
          </cell>
          <cell r="G2551" t="str">
            <v>EUR</v>
          </cell>
          <cell r="H2551" t="e">
            <v>#VALUE!</v>
          </cell>
          <cell r="I2551" t="str">
            <v>8800DEVBLA</v>
          </cell>
        </row>
        <row r="2552">
          <cell r="D2552">
            <v>887695</v>
          </cell>
          <cell r="E2552" t="str">
            <v>EUR</v>
          </cell>
          <cell r="F2552">
            <v>238.18</v>
          </cell>
          <cell r="G2552" t="e">
            <v>#N/A</v>
          </cell>
          <cell r="H2552" t="e">
            <v>#N/A</v>
          </cell>
          <cell r="I2552" t="str">
            <v>8800TONERUK</v>
          </cell>
        </row>
        <row r="2553">
          <cell r="D2553">
            <v>889737</v>
          </cell>
          <cell r="E2553" t="str">
            <v>EUR</v>
          </cell>
          <cell r="F2553">
            <v>81.09</v>
          </cell>
          <cell r="G2553" t="str">
            <v>EUR</v>
          </cell>
          <cell r="H2553" t="e">
            <v>#VALUE!</v>
          </cell>
          <cell r="I2553" t="str">
            <v>9100CLDEV</v>
          </cell>
        </row>
        <row r="2554">
          <cell r="D2554">
            <v>889735</v>
          </cell>
          <cell r="E2554" t="str">
            <v>EUR</v>
          </cell>
          <cell r="F2554">
            <v>232.54</v>
          </cell>
          <cell r="G2554" t="str">
            <v>EUR</v>
          </cell>
          <cell r="H2554" t="e">
            <v>#VALUE!</v>
          </cell>
          <cell r="I2554" t="str">
            <v>9100TONER</v>
          </cell>
        </row>
        <row r="2555">
          <cell r="D2555">
            <v>209890</v>
          </cell>
          <cell r="E2555" t="str">
            <v>EUR</v>
          </cell>
          <cell r="F2555">
            <v>104.21</v>
          </cell>
          <cell r="G2555" t="str">
            <v>EUR</v>
          </cell>
          <cell r="H2555" t="e">
            <v>#VALUE!</v>
          </cell>
          <cell r="I2555" t="str">
            <v>AF251MAST</v>
          </cell>
        </row>
        <row r="2556">
          <cell r="D2556">
            <v>400398</v>
          </cell>
          <cell r="E2556" t="str">
            <v>EUR</v>
          </cell>
          <cell r="F2556">
            <v>57.15</v>
          </cell>
          <cell r="G2556" t="str">
            <v>EUR</v>
          </cell>
          <cell r="H2556" t="e">
            <v>#VALUE!</v>
          </cell>
          <cell r="I2556" t="str">
            <v>AP1400TONER</v>
          </cell>
        </row>
        <row r="2557">
          <cell r="D2557">
            <v>923961</v>
          </cell>
          <cell r="E2557" t="str">
            <v>EUR</v>
          </cell>
          <cell r="F2557">
            <v>107.99</v>
          </cell>
          <cell r="G2557" t="e">
            <v>#N/A</v>
          </cell>
          <cell r="H2557" t="e">
            <v>#N/A</v>
          </cell>
          <cell r="I2557" t="str">
            <v>AP1610TONER</v>
          </cell>
        </row>
        <row r="2558">
          <cell r="D2558">
            <v>400679</v>
          </cell>
          <cell r="E2558" t="str">
            <v>EUR</v>
          </cell>
          <cell r="F2558">
            <v>147.27000000000001</v>
          </cell>
          <cell r="G2558" t="e">
            <v>#N/A</v>
          </cell>
          <cell r="H2558" t="e">
            <v>#N/A</v>
          </cell>
          <cell r="I2558" t="str">
            <v>AP200TONCHN</v>
          </cell>
        </row>
        <row r="2559">
          <cell r="D2559">
            <v>400618</v>
          </cell>
          <cell r="E2559" t="str">
            <v>EUR</v>
          </cell>
          <cell r="F2559">
            <v>147.27000000000001</v>
          </cell>
          <cell r="G2559" t="e">
            <v>#N/A</v>
          </cell>
          <cell r="H2559" t="e">
            <v>#N/A</v>
          </cell>
          <cell r="I2559" t="str">
            <v>AP200TONER</v>
          </cell>
        </row>
        <row r="2560">
          <cell r="D2560">
            <v>400395</v>
          </cell>
          <cell r="E2560" t="str">
            <v>EUR</v>
          </cell>
          <cell r="F2560">
            <v>95.43</v>
          </cell>
          <cell r="G2560" t="str">
            <v>EUR</v>
          </cell>
          <cell r="H2560" t="e">
            <v>#VALUE!</v>
          </cell>
          <cell r="I2560" t="str">
            <v>AP2000TONER</v>
          </cell>
        </row>
        <row r="2561">
          <cell r="D2561">
            <v>400321</v>
          </cell>
          <cell r="E2561" t="str">
            <v>EUR</v>
          </cell>
          <cell r="F2561">
            <v>25.22</v>
          </cell>
          <cell r="G2561" t="str">
            <v>EUR</v>
          </cell>
          <cell r="H2561" t="e">
            <v>#VALUE!</v>
          </cell>
          <cell r="I2561" t="str">
            <v>AP204OIL</v>
          </cell>
        </row>
        <row r="2562">
          <cell r="D2562">
            <v>400320</v>
          </cell>
          <cell r="E2562" t="str">
            <v>EUR</v>
          </cell>
          <cell r="F2562">
            <v>136.46</v>
          </cell>
          <cell r="G2562" t="str">
            <v>EUR</v>
          </cell>
          <cell r="H2562" t="e">
            <v>#VALUE!</v>
          </cell>
          <cell r="I2562" t="str">
            <v>AP204PCU</v>
          </cell>
        </row>
        <row r="2563">
          <cell r="D2563">
            <v>400316</v>
          </cell>
          <cell r="E2563" t="str">
            <v>EUR</v>
          </cell>
          <cell r="F2563">
            <v>63.16</v>
          </cell>
          <cell r="G2563" t="str">
            <v>EUR</v>
          </cell>
          <cell r="H2563" t="e">
            <v>#VALUE!</v>
          </cell>
          <cell r="I2563" t="str">
            <v>AP204TONBLA</v>
          </cell>
        </row>
        <row r="2564">
          <cell r="D2564">
            <v>400317</v>
          </cell>
          <cell r="E2564" t="str">
            <v>EUR</v>
          </cell>
          <cell r="F2564">
            <v>56.38</v>
          </cell>
          <cell r="G2564" t="str">
            <v>EUR</v>
          </cell>
          <cell r="H2564" t="e">
            <v>#VALUE!</v>
          </cell>
          <cell r="I2564" t="str">
            <v>AP204TONCYN</v>
          </cell>
        </row>
        <row r="2565">
          <cell r="D2565">
            <v>400318</v>
          </cell>
          <cell r="E2565" t="str">
            <v>EUR</v>
          </cell>
          <cell r="F2565">
            <v>56.38</v>
          </cell>
          <cell r="G2565" t="str">
            <v>EUR</v>
          </cell>
          <cell r="H2565" t="e">
            <v>#VALUE!</v>
          </cell>
          <cell r="I2565" t="str">
            <v>AP204TONMAG</v>
          </cell>
        </row>
        <row r="2566">
          <cell r="D2566">
            <v>400319</v>
          </cell>
          <cell r="E2566" t="str">
            <v>EUR</v>
          </cell>
          <cell r="F2566">
            <v>56.38</v>
          </cell>
          <cell r="G2566" t="str">
            <v>EUR</v>
          </cell>
          <cell r="H2566" t="e">
            <v>#VALUE!</v>
          </cell>
          <cell r="I2566" t="str">
            <v>AP204TONYLW</v>
          </cell>
        </row>
        <row r="2567">
          <cell r="D2567">
            <v>400322</v>
          </cell>
          <cell r="E2567" t="str">
            <v>EUR</v>
          </cell>
          <cell r="F2567">
            <v>8.2799999999999994</v>
          </cell>
          <cell r="G2567" t="str">
            <v>EUR</v>
          </cell>
          <cell r="H2567" t="e">
            <v>#VALUE!</v>
          </cell>
          <cell r="I2567" t="str">
            <v>AP204WASTE</v>
          </cell>
        </row>
        <row r="2568">
          <cell r="D2568">
            <v>400514</v>
          </cell>
          <cell r="E2568" t="str">
            <v>EUR</v>
          </cell>
          <cell r="F2568">
            <v>25.32</v>
          </cell>
          <cell r="G2568" t="str">
            <v>EUR</v>
          </cell>
          <cell r="H2568" t="e">
            <v>#VALUE!</v>
          </cell>
          <cell r="I2568" t="str">
            <v>AP206FUSER</v>
          </cell>
        </row>
        <row r="2569">
          <cell r="D2569">
            <v>400511</v>
          </cell>
          <cell r="E2569" t="str">
            <v>EUR</v>
          </cell>
          <cell r="F2569">
            <v>151.63</v>
          </cell>
          <cell r="G2569" t="e">
            <v>#N/A</v>
          </cell>
          <cell r="H2569" t="e">
            <v>#N/A</v>
          </cell>
          <cell r="I2569" t="str">
            <v>AP206PCU</v>
          </cell>
        </row>
        <row r="2570">
          <cell r="D2570">
            <v>400507</v>
          </cell>
          <cell r="E2570" t="str">
            <v>EUR</v>
          </cell>
          <cell r="F2570">
            <v>73.680000000000007</v>
          </cell>
          <cell r="G2570" t="str">
            <v>EUR</v>
          </cell>
          <cell r="H2570" t="e">
            <v>#VALUE!</v>
          </cell>
          <cell r="I2570" t="str">
            <v>AP206TONBLA</v>
          </cell>
        </row>
        <row r="2571">
          <cell r="D2571">
            <v>400508</v>
          </cell>
          <cell r="E2571" t="str">
            <v>EUR</v>
          </cell>
          <cell r="F2571">
            <v>69.739999999999995</v>
          </cell>
          <cell r="G2571" t="str">
            <v>EUR</v>
          </cell>
          <cell r="H2571" t="e">
            <v>#VALUE!</v>
          </cell>
          <cell r="I2571" t="str">
            <v>AP206TONCYN</v>
          </cell>
        </row>
        <row r="2572">
          <cell r="D2572">
            <v>400509</v>
          </cell>
          <cell r="E2572" t="str">
            <v>EUR</v>
          </cell>
          <cell r="F2572">
            <v>69.739999999999995</v>
          </cell>
          <cell r="G2572" t="str">
            <v>EUR</v>
          </cell>
          <cell r="H2572" t="e">
            <v>#VALUE!</v>
          </cell>
          <cell r="I2572" t="str">
            <v>AP206TONMAG</v>
          </cell>
        </row>
        <row r="2573">
          <cell r="D2573">
            <v>400510</v>
          </cell>
          <cell r="E2573" t="str">
            <v>EUR</v>
          </cell>
          <cell r="F2573">
            <v>69.739999999999995</v>
          </cell>
          <cell r="G2573" t="str">
            <v>EUR</v>
          </cell>
          <cell r="H2573" t="e">
            <v>#VALUE!</v>
          </cell>
          <cell r="I2573" t="str">
            <v>AP206TONYLW</v>
          </cell>
        </row>
        <row r="2574">
          <cell r="D2574">
            <v>400513</v>
          </cell>
          <cell r="E2574" t="str">
            <v>EUR</v>
          </cell>
          <cell r="F2574">
            <v>8.2799999999999994</v>
          </cell>
          <cell r="G2574" t="e">
            <v>#N/A</v>
          </cell>
          <cell r="H2574" t="e">
            <v>#N/A</v>
          </cell>
          <cell r="I2574" t="str">
            <v>AP206WASTE</v>
          </cell>
        </row>
        <row r="2575">
          <cell r="D2575">
            <v>400760</v>
          </cell>
          <cell r="E2575" t="str">
            <v>EUR</v>
          </cell>
          <cell r="F2575">
            <v>147.27000000000001</v>
          </cell>
          <cell r="G2575" t="str">
            <v>EUR</v>
          </cell>
          <cell r="H2575" t="e">
            <v>#VALUE!</v>
          </cell>
          <cell r="I2575" t="str">
            <v>AP215TONCHN</v>
          </cell>
        </row>
        <row r="2576">
          <cell r="D2576">
            <v>400342</v>
          </cell>
          <cell r="E2576" t="str">
            <v>EUR</v>
          </cell>
          <cell r="F2576">
            <v>17.45</v>
          </cell>
          <cell r="G2576" t="e">
            <v>#N/A</v>
          </cell>
          <cell r="H2576" t="e">
            <v>#N/A</v>
          </cell>
          <cell r="I2576" t="str">
            <v>AP305OIL</v>
          </cell>
        </row>
        <row r="2577">
          <cell r="D2577">
            <v>400344</v>
          </cell>
          <cell r="E2577" t="str">
            <v>EUR</v>
          </cell>
          <cell r="F2577">
            <v>231.68</v>
          </cell>
          <cell r="G2577" t="str">
            <v>EUR</v>
          </cell>
          <cell r="H2577" t="e">
            <v>#VALUE!</v>
          </cell>
          <cell r="I2577" t="str">
            <v>AP305PCU</v>
          </cell>
        </row>
        <row r="2578">
          <cell r="D2578">
            <v>400338</v>
          </cell>
          <cell r="E2578" t="str">
            <v>EUR</v>
          </cell>
          <cell r="F2578">
            <v>81</v>
          </cell>
          <cell r="G2578" t="e">
            <v>#N/A</v>
          </cell>
          <cell r="H2578" t="e">
            <v>#N/A</v>
          </cell>
          <cell r="I2578" t="str">
            <v>AP305TONBLA</v>
          </cell>
        </row>
        <row r="2579">
          <cell r="D2579">
            <v>400339</v>
          </cell>
          <cell r="E2579" t="str">
            <v>EUR</v>
          </cell>
          <cell r="F2579">
            <v>100</v>
          </cell>
          <cell r="G2579" t="e">
            <v>#N/A</v>
          </cell>
          <cell r="H2579" t="e">
            <v>#N/A</v>
          </cell>
          <cell r="I2579" t="str">
            <v>AP305TONCYN</v>
          </cell>
        </row>
        <row r="2580">
          <cell r="D2580">
            <v>400340</v>
          </cell>
          <cell r="E2580" t="str">
            <v>EUR</v>
          </cell>
          <cell r="F2580">
            <v>100</v>
          </cell>
          <cell r="G2580" t="e">
            <v>#N/A</v>
          </cell>
          <cell r="H2580" t="e">
            <v>#N/A</v>
          </cell>
          <cell r="I2580" t="str">
            <v>AP305TONMAG</v>
          </cell>
        </row>
        <row r="2581">
          <cell r="D2581">
            <v>400341</v>
          </cell>
          <cell r="E2581" t="str">
            <v>EUR</v>
          </cell>
          <cell r="F2581">
            <v>100</v>
          </cell>
          <cell r="G2581" t="e">
            <v>#N/A</v>
          </cell>
          <cell r="H2581" t="e">
            <v>#N/A</v>
          </cell>
          <cell r="I2581" t="str">
            <v>AP305TONYLW</v>
          </cell>
        </row>
        <row r="2582">
          <cell r="D2582">
            <v>400343</v>
          </cell>
          <cell r="E2582" t="str">
            <v>EUR</v>
          </cell>
          <cell r="F2582">
            <v>10.66</v>
          </cell>
          <cell r="G2582" t="str">
            <v>EUR</v>
          </cell>
          <cell r="H2582" t="e">
            <v>#VALUE!</v>
          </cell>
          <cell r="I2582" t="str">
            <v>AP305WASTE</v>
          </cell>
        </row>
        <row r="2583">
          <cell r="D2583">
            <v>400496</v>
          </cell>
          <cell r="E2583" t="str">
            <v>EUR</v>
          </cell>
          <cell r="F2583">
            <v>14.96</v>
          </cell>
          <cell r="G2583" t="str">
            <v>EUR</v>
          </cell>
          <cell r="H2583" t="e">
            <v>#VALUE!</v>
          </cell>
          <cell r="I2583" t="str">
            <v>AP306CHARGER</v>
          </cell>
        </row>
        <row r="2584">
          <cell r="D2584">
            <v>400497</v>
          </cell>
          <cell r="E2584" t="str">
            <v>EUR</v>
          </cell>
          <cell r="F2584">
            <v>16.7</v>
          </cell>
          <cell r="G2584" t="str">
            <v>EUR</v>
          </cell>
          <cell r="H2584" t="e">
            <v>#VALUE!</v>
          </cell>
          <cell r="I2584" t="str">
            <v>AP306OIL</v>
          </cell>
        </row>
        <row r="2585">
          <cell r="D2585">
            <v>400490</v>
          </cell>
          <cell r="E2585" t="str">
            <v>EUR</v>
          </cell>
          <cell r="F2585">
            <v>272.57</v>
          </cell>
          <cell r="G2585" t="str">
            <v>EUR</v>
          </cell>
          <cell r="H2585" t="e">
            <v>#VALUE!</v>
          </cell>
          <cell r="I2585" t="str">
            <v>AP306PCU</v>
          </cell>
        </row>
        <row r="2586">
          <cell r="D2586">
            <v>400491</v>
          </cell>
          <cell r="E2586" t="str">
            <v>EUR</v>
          </cell>
          <cell r="F2586">
            <v>89.65</v>
          </cell>
          <cell r="G2586" t="str">
            <v>EUR</v>
          </cell>
          <cell r="H2586" t="e">
            <v>#VALUE!</v>
          </cell>
          <cell r="I2586" t="str">
            <v>AP306TONBLA</v>
          </cell>
        </row>
        <row r="2587">
          <cell r="D2587">
            <v>400492</v>
          </cell>
          <cell r="E2587" t="str">
            <v>EUR</v>
          </cell>
          <cell r="F2587">
            <v>110.67</v>
          </cell>
          <cell r="G2587" t="str">
            <v>EUR</v>
          </cell>
          <cell r="H2587" t="e">
            <v>#VALUE!</v>
          </cell>
          <cell r="I2587" t="str">
            <v>AP306TONCYN</v>
          </cell>
        </row>
        <row r="2588">
          <cell r="D2588">
            <v>400493</v>
          </cell>
          <cell r="E2588" t="str">
            <v>EUR</v>
          </cell>
          <cell r="F2588">
            <v>110.67</v>
          </cell>
          <cell r="G2588" t="str">
            <v>EUR</v>
          </cell>
          <cell r="H2588" t="e">
            <v>#VALUE!</v>
          </cell>
          <cell r="I2588" t="str">
            <v>AP306TONMAG</v>
          </cell>
        </row>
        <row r="2589">
          <cell r="D2589">
            <v>400494</v>
          </cell>
          <cell r="E2589" t="str">
            <v>EUR</v>
          </cell>
          <cell r="F2589">
            <v>110.67</v>
          </cell>
          <cell r="G2589" t="str">
            <v>EUR</v>
          </cell>
          <cell r="H2589" t="e">
            <v>#VALUE!</v>
          </cell>
          <cell r="I2589" t="str">
            <v>AP306TONYLW</v>
          </cell>
        </row>
        <row r="2590">
          <cell r="D2590">
            <v>400495</v>
          </cell>
          <cell r="E2590" t="str">
            <v>EUR</v>
          </cell>
          <cell r="F2590">
            <v>10.45</v>
          </cell>
          <cell r="G2590" t="str">
            <v>EUR</v>
          </cell>
          <cell r="H2590" t="e">
            <v>#VALUE!</v>
          </cell>
          <cell r="I2590" t="str">
            <v>AP306WASTE</v>
          </cell>
        </row>
        <row r="2591">
          <cell r="D2591">
            <v>889409</v>
          </cell>
          <cell r="E2591" t="str">
            <v>EUR</v>
          </cell>
          <cell r="F2591">
            <v>28.91</v>
          </cell>
          <cell r="G2591" t="str">
            <v>EUR</v>
          </cell>
          <cell r="H2591" t="e">
            <v>#VALUE!</v>
          </cell>
          <cell r="I2591" t="str">
            <v>CLEANCARRIER</v>
          </cell>
        </row>
        <row r="2592">
          <cell r="D2592">
            <v>392000</v>
          </cell>
          <cell r="E2592" t="str">
            <v>EUR</v>
          </cell>
          <cell r="F2592">
            <v>64.36</v>
          </cell>
          <cell r="G2592" t="str">
            <v>EUR</v>
          </cell>
          <cell r="H2592" t="e">
            <v>#VALUE!</v>
          </cell>
          <cell r="I2592" t="str">
            <v>DEVCART12PLS</v>
          </cell>
        </row>
        <row r="2593">
          <cell r="D2593">
            <v>886907</v>
          </cell>
          <cell r="E2593" t="str">
            <v>EUR</v>
          </cell>
          <cell r="F2593">
            <v>30.79</v>
          </cell>
          <cell r="G2593" t="e">
            <v>#N/A</v>
          </cell>
          <cell r="H2593" t="e">
            <v>#N/A</v>
          </cell>
          <cell r="I2593" t="str">
            <v>DEVTYPEDMAG</v>
          </cell>
        </row>
        <row r="2594">
          <cell r="D2594">
            <v>889759</v>
          </cell>
          <cell r="E2594" t="str">
            <v>EUR</v>
          </cell>
          <cell r="F2594">
            <v>27.9</v>
          </cell>
          <cell r="G2594" t="str">
            <v>EUR</v>
          </cell>
          <cell r="H2594" t="e">
            <v>#VALUE!</v>
          </cell>
          <cell r="I2594" t="str">
            <v>DEVTYPEFBLA</v>
          </cell>
        </row>
        <row r="2595">
          <cell r="D2595">
            <v>889762</v>
          </cell>
          <cell r="E2595" t="str">
            <v>EUR</v>
          </cell>
          <cell r="F2595">
            <v>27.9</v>
          </cell>
          <cell r="G2595" t="str">
            <v>EUR</v>
          </cell>
          <cell r="H2595" t="e">
            <v>#VALUE!</v>
          </cell>
          <cell r="I2595" t="str">
            <v>DEVTYPEFCYN</v>
          </cell>
        </row>
        <row r="2596">
          <cell r="D2596">
            <v>889761</v>
          </cell>
          <cell r="E2596" t="str">
            <v>EUR</v>
          </cell>
          <cell r="F2596">
            <v>27.9</v>
          </cell>
          <cell r="G2596" t="str">
            <v>EUR</v>
          </cell>
          <cell r="H2596" t="e">
            <v>#VALUE!</v>
          </cell>
          <cell r="I2596" t="str">
            <v>DEVTYPEFMAG</v>
          </cell>
        </row>
        <row r="2597">
          <cell r="D2597">
            <v>889760</v>
          </cell>
          <cell r="E2597" t="str">
            <v>EUR</v>
          </cell>
          <cell r="F2597">
            <v>27.9</v>
          </cell>
          <cell r="G2597" t="str">
            <v>EUR</v>
          </cell>
          <cell r="H2597" t="e">
            <v>#VALUE!</v>
          </cell>
          <cell r="I2597" t="str">
            <v>DEVTYPEFYLW</v>
          </cell>
        </row>
        <row r="2598">
          <cell r="D2598">
            <v>889882</v>
          </cell>
          <cell r="E2598" t="str">
            <v>EUR</v>
          </cell>
          <cell r="F2598">
            <v>27.9</v>
          </cell>
          <cell r="G2598" t="str">
            <v>EUR</v>
          </cell>
          <cell r="H2598" t="e">
            <v>#VALUE!</v>
          </cell>
          <cell r="I2598" t="str">
            <v>DEVTYPEGCYN</v>
          </cell>
        </row>
        <row r="2599">
          <cell r="D2599">
            <v>889881</v>
          </cell>
          <cell r="E2599" t="str">
            <v>EUR</v>
          </cell>
          <cell r="F2599">
            <v>27.9</v>
          </cell>
          <cell r="G2599" t="str">
            <v>EUR</v>
          </cell>
          <cell r="H2599" t="e">
            <v>#VALUE!</v>
          </cell>
          <cell r="I2599" t="str">
            <v>DEVTYPEGMAG</v>
          </cell>
        </row>
        <row r="2600">
          <cell r="D2600">
            <v>889880</v>
          </cell>
          <cell r="E2600" t="str">
            <v>EUR</v>
          </cell>
          <cell r="F2600">
            <v>27.9</v>
          </cell>
          <cell r="G2600" t="str">
            <v>EUR</v>
          </cell>
          <cell r="H2600" t="e">
            <v>#VALUE!</v>
          </cell>
          <cell r="I2600" t="str">
            <v>DEVTYPEGYLW</v>
          </cell>
        </row>
        <row r="2601">
          <cell r="D2601">
            <v>887880</v>
          </cell>
          <cell r="E2601" t="str">
            <v>EUR</v>
          </cell>
          <cell r="F2601">
            <v>22.82</v>
          </cell>
          <cell r="G2601" t="str">
            <v>EUR</v>
          </cell>
          <cell r="H2601" t="e">
            <v>#VALUE!</v>
          </cell>
          <cell r="I2601" t="str">
            <v>DEVTYPEKBLA</v>
          </cell>
        </row>
        <row r="2602">
          <cell r="D2602">
            <v>887883</v>
          </cell>
          <cell r="E2602" t="str">
            <v>EUR</v>
          </cell>
          <cell r="F2602">
            <v>57.22</v>
          </cell>
          <cell r="G2602" t="str">
            <v>EUR</v>
          </cell>
          <cell r="H2602" t="e">
            <v>#VALUE!</v>
          </cell>
          <cell r="I2602" t="str">
            <v>DEVTYPEKCYN</v>
          </cell>
        </row>
        <row r="2603">
          <cell r="D2603">
            <v>887882</v>
          </cell>
          <cell r="E2603" t="str">
            <v>EUR</v>
          </cell>
          <cell r="F2603">
            <v>57.22</v>
          </cell>
          <cell r="G2603" t="str">
            <v>EUR</v>
          </cell>
          <cell r="H2603" t="e">
            <v>#VALUE!</v>
          </cell>
          <cell r="I2603" t="str">
            <v>DEVTYPEKMAG</v>
          </cell>
        </row>
        <row r="2604">
          <cell r="D2604">
            <v>887881</v>
          </cell>
          <cell r="E2604" t="str">
            <v>EUR</v>
          </cell>
          <cell r="F2604">
            <v>57.22</v>
          </cell>
          <cell r="G2604" t="str">
            <v>EUR</v>
          </cell>
          <cell r="H2604" t="e">
            <v>#VALUE!</v>
          </cell>
          <cell r="I2604" t="str">
            <v>DEVTYPEKYLW</v>
          </cell>
        </row>
        <row r="2605">
          <cell r="D2605">
            <v>887951</v>
          </cell>
          <cell r="E2605" t="str">
            <v>EUR</v>
          </cell>
          <cell r="F2605">
            <v>78.94</v>
          </cell>
          <cell r="G2605" t="str">
            <v>EUR</v>
          </cell>
          <cell r="H2605" t="e">
            <v>#VALUE!</v>
          </cell>
          <cell r="I2605" t="str">
            <v>DEVTYPELBLA</v>
          </cell>
        </row>
        <row r="2606">
          <cell r="D2606">
            <v>887954</v>
          </cell>
          <cell r="E2606" t="str">
            <v>EUR</v>
          </cell>
          <cell r="F2606">
            <v>63.14</v>
          </cell>
          <cell r="G2606" t="str">
            <v>EUR</v>
          </cell>
          <cell r="H2606" t="e">
            <v>#VALUE!</v>
          </cell>
          <cell r="I2606" t="str">
            <v>DEVTYPELCYN</v>
          </cell>
        </row>
        <row r="2607">
          <cell r="D2607">
            <v>887953</v>
          </cell>
          <cell r="E2607" t="str">
            <v>EUR</v>
          </cell>
          <cell r="F2607">
            <v>63.14</v>
          </cell>
          <cell r="G2607" t="str">
            <v>EUR</v>
          </cell>
          <cell r="H2607" t="e">
            <v>#VALUE!</v>
          </cell>
          <cell r="I2607" t="str">
            <v>DEVTYPELMAG</v>
          </cell>
        </row>
        <row r="2608">
          <cell r="D2608">
            <v>887952</v>
          </cell>
          <cell r="E2608" t="str">
            <v>EUR</v>
          </cell>
          <cell r="F2608">
            <v>63.14</v>
          </cell>
          <cell r="G2608" t="str">
            <v>EUR</v>
          </cell>
          <cell r="H2608" t="e">
            <v>#VALUE!</v>
          </cell>
          <cell r="I2608" t="str">
            <v>DEVTYPELYLW</v>
          </cell>
        </row>
        <row r="2609">
          <cell r="D2609">
            <v>889455</v>
          </cell>
          <cell r="E2609" t="str">
            <v>EUR</v>
          </cell>
          <cell r="F2609">
            <v>80.05</v>
          </cell>
          <cell r="G2609" t="e">
            <v>#N/A</v>
          </cell>
          <cell r="H2609" t="e">
            <v>#N/A</v>
          </cell>
          <cell r="I2609" t="str">
            <v>DEVTYPE1</v>
          </cell>
        </row>
        <row r="2610">
          <cell r="D2610">
            <v>885176</v>
          </cell>
          <cell r="E2610" t="str">
            <v>EUR</v>
          </cell>
          <cell r="F2610">
            <v>77.14</v>
          </cell>
          <cell r="G2610" t="e">
            <v>#N/A</v>
          </cell>
          <cell r="H2610" t="e">
            <v>#N/A</v>
          </cell>
          <cell r="I2610" t="str">
            <v>DEVTYPE1USA</v>
          </cell>
        </row>
        <row r="2611">
          <cell r="D2611">
            <v>888010</v>
          </cell>
          <cell r="E2611" t="str">
            <v>EUR</v>
          </cell>
          <cell r="F2611">
            <v>81.510000000000005</v>
          </cell>
          <cell r="G2611" t="str">
            <v>EUR</v>
          </cell>
          <cell r="H2611" t="e">
            <v>#VALUE!</v>
          </cell>
          <cell r="I2611" t="str">
            <v>DEVTYPE14</v>
          </cell>
        </row>
        <row r="2612">
          <cell r="D2612">
            <v>888002</v>
          </cell>
          <cell r="E2612" t="str">
            <v>EUR</v>
          </cell>
          <cell r="F2612">
            <v>197.91</v>
          </cell>
          <cell r="G2612" t="str">
            <v>EUR</v>
          </cell>
          <cell r="H2612" t="e">
            <v>#VALUE!</v>
          </cell>
          <cell r="I2612" t="str">
            <v>DEVTYPE15</v>
          </cell>
        </row>
        <row r="2613">
          <cell r="D2613">
            <v>888114</v>
          </cell>
          <cell r="E2613" t="str">
            <v>EUR</v>
          </cell>
          <cell r="F2613">
            <v>37.68</v>
          </cell>
          <cell r="G2613" t="str">
            <v>EUR</v>
          </cell>
          <cell r="H2613" t="e">
            <v>#VALUE!</v>
          </cell>
          <cell r="I2613" t="str">
            <v>DEVTYPE16W</v>
          </cell>
        </row>
        <row r="2614">
          <cell r="D2614">
            <v>888073</v>
          </cell>
          <cell r="E2614" t="str">
            <v>EUR</v>
          </cell>
          <cell r="F2614">
            <v>52</v>
          </cell>
          <cell r="G2614" t="str">
            <v>EUR</v>
          </cell>
          <cell r="H2614" t="e">
            <v>#VALUE!</v>
          </cell>
          <cell r="I2614" t="str">
            <v>DEVTYPE18</v>
          </cell>
        </row>
        <row r="2615">
          <cell r="D2615">
            <v>888095</v>
          </cell>
          <cell r="E2615" t="str">
            <v>EUR</v>
          </cell>
          <cell r="F2615">
            <v>20.88</v>
          </cell>
          <cell r="G2615" t="str">
            <v>EUR</v>
          </cell>
          <cell r="H2615" t="e">
            <v>#VALUE!</v>
          </cell>
          <cell r="I2615" t="str">
            <v>DEVTYPE19</v>
          </cell>
        </row>
        <row r="2616">
          <cell r="D2616">
            <v>887637</v>
          </cell>
          <cell r="E2616" t="str">
            <v>EUR</v>
          </cell>
          <cell r="F2616">
            <v>247.17</v>
          </cell>
          <cell r="G2616" t="str">
            <v>EUR</v>
          </cell>
          <cell r="H2616" t="e">
            <v>#VALUE!</v>
          </cell>
          <cell r="I2616" t="str">
            <v>DEVTYPE2</v>
          </cell>
        </row>
        <row r="2617">
          <cell r="D2617">
            <v>888164</v>
          </cell>
          <cell r="E2617" t="str">
            <v>EUR</v>
          </cell>
          <cell r="F2617">
            <v>15.67</v>
          </cell>
          <cell r="G2617" t="str">
            <v>EUR</v>
          </cell>
          <cell r="H2617" t="e">
            <v>#VALUE!</v>
          </cell>
          <cell r="I2617" t="str">
            <v>DEVTYPE21</v>
          </cell>
        </row>
        <row r="2618">
          <cell r="D2618">
            <v>885281</v>
          </cell>
          <cell r="E2618" t="str">
            <v>EUR</v>
          </cell>
          <cell r="F2618">
            <v>62.07</v>
          </cell>
          <cell r="G2618" t="e">
            <v>#N/A</v>
          </cell>
          <cell r="H2618" t="e">
            <v>#N/A</v>
          </cell>
          <cell r="I2618" t="str">
            <v>DEVTYPE24</v>
          </cell>
        </row>
        <row r="2619">
          <cell r="D2619">
            <v>889855</v>
          </cell>
          <cell r="E2619" t="str">
            <v>EUR</v>
          </cell>
          <cell r="F2619">
            <v>51.12</v>
          </cell>
          <cell r="G2619" t="str">
            <v>EUR</v>
          </cell>
          <cell r="H2619" t="e">
            <v>#VALUE!</v>
          </cell>
          <cell r="I2619" t="str">
            <v>DEVTYPE3</v>
          </cell>
        </row>
        <row r="2620">
          <cell r="D2620">
            <v>887733</v>
          </cell>
          <cell r="E2620" t="str">
            <v>EUR</v>
          </cell>
          <cell r="F2620">
            <v>200.15</v>
          </cell>
          <cell r="G2620" t="str">
            <v>EUR</v>
          </cell>
          <cell r="H2620" t="e">
            <v>#VALUE!</v>
          </cell>
          <cell r="I2620" t="str">
            <v>DEVTYPE5</v>
          </cell>
        </row>
        <row r="2621">
          <cell r="D2621">
            <v>887748</v>
          </cell>
          <cell r="E2621" t="str">
            <v>EUR</v>
          </cell>
          <cell r="F2621">
            <v>201.42</v>
          </cell>
          <cell r="G2621" t="str">
            <v>EUR</v>
          </cell>
          <cell r="H2621" t="e">
            <v>#VALUE!</v>
          </cell>
          <cell r="I2621" t="str">
            <v>DEVTYPE7</v>
          </cell>
        </row>
        <row r="2622">
          <cell r="D2622">
            <v>887797</v>
          </cell>
          <cell r="E2622" t="str">
            <v>EUR</v>
          </cell>
          <cell r="F2622">
            <v>209.48</v>
          </cell>
          <cell r="G2622" t="str">
            <v>EUR</v>
          </cell>
          <cell r="H2622" t="e">
            <v>#VALUE!</v>
          </cell>
          <cell r="I2622" t="str">
            <v>DEVTYPE9</v>
          </cell>
        </row>
        <row r="2623">
          <cell r="D2623">
            <v>339032</v>
          </cell>
          <cell r="E2623" t="str">
            <v>EUR</v>
          </cell>
          <cell r="F2623">
            <v>49.68</v>
          </cell>
          <cell r="G2623" t="e">
            <v>#N/A</v>
          </cell>
          <cell r="H2623" t="e">
            <v>#N/A</v>
          </cell>
          <cell r="I2623" t="str">
            <v>FAXCART1200</v>
          </cell>
        </row>
        <row r="2624">
          <cell r="D2624">
            <v>923180</v>
          </cell>
          <cell r="E2624" t="str">
            <v>EUR</v>
          </cell>
          <cell r="F2624">
            <v>86.59</v>
          </cell>
          <cell r="G2624" t="e">
            <v>#N/A</v>
          </cell>
          <cell r="H2624" t="e">
            <v>#N/A</v>
          </cell>
          <cell r="I2624" t="str">
            <v>FAXCART61BLA</v>
          </cell>
        </row>
        <row r="2625">
          <cell r="D2625">
            <v>923181</v>
          </cell>
          <cell r="E2625" t="str">
            <v>EUR</v>
          </cell>
          <cell r="F2625">
            <v>86.59</v>
          </cell>
          <cell r="G2625" t="e">
            <v>#N/A</v>
          </cell>
          <cell r="H2625" t="e">
            <v>#N/A</v>
          </cell>
          <cell r="I2625" t="str">
            <v>FAXCART61CLR</v>
          </cell>
        </row>
        <row r="2626">
          <cell r="D2626">
            <v>430013</v>
          </cell>
          <cell r="E2626" t="str">
            <v>EUR</v>
          </cell>
          <cell r="F2626">
            <v>17.38</v>
          </cell>
          <cell r="G2626" t="str">
            <v>EUR</v>
          </cell>
          <cell r="H2626" t="e">
            <v>#VALUE!</v>
          </cell>
          <cell r="I2626" t="str">
            <v>FAXCART68BLA</v>
          </cell>
        </row>
        <row r="2627">
          <cell r="D2627">
            <v>430014</v>
          </cell>
          <cell r="E2627" t="str">
            <v>EUR</v>
          </cell>
          <cell r="F2627">
            <v>24.84</v>
          </cell>
          <cell r="G2627" t="str">
            <v>EUR</v>
          </cell>
          <cell r="H2627" t="e">
            <v>#VALUE!</v>
          </cell>
          <cell r="I2627" t="str">
            <v>FAXCART68CLR</v>
          </cell>
        </row>
        <row r="2628">
          <cell r="D2628">
            <v>334238</v>
          </cell>
          <cell r="E2628" t="str">
            <v>EUR</v>
          </cell>
          <cell r="F2628">
            <v>670.99</v>
          </cell>
          <cell r="G2628" t="e">
            <v>#N/A</v>
          </cell>
          <cell r="H2628" t="e">
            <v>#N/A</v>
          </cell>
          <cell r="I2628" t="str">
            <v>FAXCART800</v>
          </cell>
        </row>
        <row r="2629">
          <cell r="D2629">
            <v>339353</v>
          </cell>
          <cell r="E2629" t="str">
            <v>EUR</v>
          </cell>
          <cell r="F2629">
            <v>857.58</v>
          </cell>
          <cell r="G2629" t="e">
            <v>#N/A</v>
          </cell>
          <cell r="H2629" t="e">
            <v>#N/A</v>
          </cell>
          <cell r="I2629" t="str">
            <v>FAXCART88BLA</v>
          </cell>
        </row>
        <row r="2630">
          <cell r="D2630">
            <v>339342</v>
          </cell>
          <cell r="E2630" t="str">
            <v>EUR</v>
          </cell>
          <cell r="F2630">
            <v>1152.8499999999999</v>
          </cell>
          <cell r="G2630" t="e">
            <v>#N/A</v>
          </cell>
          <cell r="H2630" t="e">
            <v>#N/A</v>
          </cell>
          <cell r="I2630" t="str">
            <v>FAXCART88CLR</v>
          </cell>
        </row>
        <row r="2631">
          <cell r="D2631">
            <v>894716</v>
          </cell>
          <cell r="E2631" t="str">
            <v>EUR</v>
          </cell>
          <cell r="F2631">
            <v>239.38</v>
          </cell>
          <cell r="G2631" t="str">
            <v>EUR</v>
          </cell>
          <cell r="H2631" t="e">
            <v>#VALUE!</v>
          </cell>
          <cell r="I2631" t="str">
            <v>FAXMASTER100</v>
          </cell>
        </row>
        <row r="2632">
          <cell r="D2632">
            <v>889347</v>
          </cell>
          <cell r="E2632" t="str">
            <v>EUR</v>
          </cell>
          <cell r="F2632">
            <v>238.47</v>
          </cell>
          <cell r="G2632" t="str">
            <v>EUR</v>
          </cell>
          <cell r="H2632" t="e">
            <v>#VALUE!</v>
          </cell>
          <cell r="I2632" t="str">
            <v>FAXMASTER30</v>
          </cell>
        </row>
        <row r="2633">
          <cell r="D2633">
            <v>593928</v>
          </cell>
          <cell r="E2633" t="str">
            <v>EUR</v>
          </cell>
          <cell r="F2633">
            <v>450.76</v>
          </cell>
          <cell r="G2633" t="str">
            <v>EUR</v>
          </cell>
          <cell r="H2633" t="e">
            <v>#VALUE!</v>
          </cell>
          <cell r="I2633" t="str">
            <v>FAXMAST1000L</v>
          </cell>
        </row>
        <row r="2634">
          <cell r="D2634">
            <v>339472</v>
          </cell>
          <cell r="E2634" t="str">
            <v>EUR</v>
          </cell>
          <cell r="F2634">
            <v>177.42</v>
          </cell>
          <cell r="G2634" t="str">
            <v>EUR</v>
          </cell>
          <cell r="H2634" t="e">
            <v>#VALUE!</v>
          </cell>
          <cell r="I2634" t="str">
            <v>FAXMAST70</v>
          </cell>
        </row>
        <row r="2635">
          <cell r="D2635">
            <v>339343</v>
          </cell>
          <cell r="E2635" t="str">
            <v>EUR</v>
          </cell>
          <cell r="F2635">
            <v>337.53</v>
          </cell>
          <cell r="G2635" t="e">
            <v>#N/A</v>
          </cell>
          <cell r="H2635" t="e">
            <v>#N/A</v>
          </cell>
          <cell r="I2635" t="str">
            <v>FAXREF88BLA</v>
          </cell>
        </row>
        <row r="2636">
          <cell r="D2636">
            <v>339344</v>
          </cell>
          <cell r="E2636" t="str">
            <v>EUR</v>
          </cell>
          <cell r="F2636">
            <v>802.3</v>
          </cell>
          <cell r="G2636" t="e">
            <v>#N/A</v>
          </cell>
          <cell r="H2636" t="e">
            <v>#N/A</v>
          </cell>
          <cell r="I2636" t="str">
            <v>FAXREF88CLR</v>
          </cell>
        </row>
        <row r="2637">
          <cell r="D2637">
            <v>920616</v>
          </cell>
          <cell r="E2637" t="str">
            <v>EUR</v>
          </cell>
          <cell r="F2637">
            <v>140.31</v>
          </cell>
          <cell r="G2637" t="e">
            <v>#N/A</v>
          </cell>
          <cell r="H2637" t="e">
            <v>#N/A</v>
          </cell>
          <cell r="I2637" t="str">
            <v>FAXRIBBON500</v>
          </cell>
        </row>
        <row r="2638">
          <cell r="D2638">
            <v>430244</v>
          </cell>
          <cell r="E2638" t="str">
            <v>EUR</v>
          </cell>
          <cell r="F2638">
            <v>41.02</v>
          </cell>
          <cell r="G2638" t="str">
            <v>EUR</v>
          </cell>
          <cell r="H2638" t="e">
            <v>#VALUE!</v>
          </cell>
          <cell r="I2638" t="str">
            <v>FAXTNR1435CN</v>
          </cell>
        </row>
        <row r="2639">
          <cell r="D2639">
            <v>430400</v>
          </cell>
          <cell r="E2639" t="str">
            <v>EUR</v>
          </cell>
          <cell r="F2639">
            <v>54.83</v>
          </cell>
          <cell r="G2639" t="e">
            <v>#N/A</v>
          </cell>
          <cell r="H2639" t="e">
            <v>#N/A</v>
          </cell>
          <cell r="I2639" t="str">
            <v>FAXTN1265KOR</v>
          </cell>
        </row>
        <row r="2640">
          <cell r="D2640">
            <v>430159</v>
          </cell>
          <cell r="E2640" t="str">
            <v>EUR</v>
          </cell>
          <cell r="F2640">
            <v>39.01</v>
          </cell>
          <cell r="G2640" t="e">
            <v>#N/A</v>
          </cell>
          <cell r="H2640" t="e">
            <v>#N/A</v>
          </cell>
          <cell r="I2640" t="str">
            <v>FAXTONER1430</v>
          </cell>
        </row>
        <row r="2641">
          <cell r="D2641">
            <v>889604</v>
          </cell>
          <cell r="E2641" t="str">
            <v>EUR</v>
          </cell>
          <cell r="F2641">
            <v>140.34</v>
          </cell>
          <cell r="G2641" t="e">
            <v>#N/A</v>
          </cell>
          <cell r="H2641" t="e">
            <v>#N/A</v>
          </cell>
          <cell r="I2641" t="str">
            <v>FAXTONER30</v>
          </cell>
        </row>
        <row r="2642">
          <cell r="D2642">
            <v>430245</v>
          </cell>
          <cell r="E2642" t="str">
            <v>EUR</v>
          </cell>
          <cell r="F2642">
            <v>74.95</v>
          </cell>
          <cell r="G2642" t="str">
            <v>EUR</v>
          </cell>
          <cell r="H2642" t="e">
            <v>#VALUE!</v>
          </cell>
          <cell r="I2642" t="str">
            <v>FAXTONER5210</v>
          </cell>
        </row>
        <row r="2643">
          <cell r="D2643">
            <v>339474</v>
          </cell>
          <cell r="E2643" t="str">
            <v>EUR</v>
          </cell>
          <cell r="F2643">
            <v>202.86</v>
          </cell>
          <cell r="G2643" t="str">
            <v>EUR</v>
          </cell>
          <cell r="H2643" t="e">
            <v>#VALUE!</v>
          </cell>
          <cell r="I2643" t="str">
            <v>FAXTONER70</v>
          </cell>
        </row>
        <row r="2644">
          <cell r="D2644">
            <v>593901</v>
          </cell>
          <cell r="E2644" t="str">
            <v>EUR</v>
          </cell>
          <cell r="F2644">
            <v>51.74</v>
          </cell>
          <cell r="G2644" t="e">
            <v>#N/A</v>
          </cell>
          <cell r="H2644" t="e">
            <v>#N/A</v>
          </cell>
          <cell r="I2644" t="str">
            <v>FAXTON1000L</v>
          </cell>
        </row>
        <row r="2645">
          <cell r="D2645">
            <v>430278</v>
          </cell>
          <cell r="E2645" t="str">
            <v>EUR</v>
          </cell>
          <cell r="F2645">
            <v>43.76</v>
          </cell>
          <cell r="G2645" t="str">
            <v>EUR</v>
          </cell>
          <cell r="H2645" t="e">
            <v>#VALUE!</v>
          </cell>
          <cell r="I2645" t="str">
            <v>FAXTON1240CN</v>
          </cell>
        </row>
        <row r="2646">
          <cell r="D2646">
            <v>430382</v>
          </cell>
          <cell r="E2646" t="str">
            <v>EUR</v>
          </cell>
          <cell r="F2646">
            <v>43.76</v>
          </cell>
          <cell r="G2646" t="e">
            <v>#N/A</v>
          </cell>
          <cell r="H2646" t="e">
            <v>#N/A</v>
          </cell>
          <cell r="I2646" t="str">
            <v>FAXTON1240UK</v>
          </cell>
        </row>
        <row r="2647">
          <cell r="D2647">
            <v>430351</v>
          </cell>
          <cell r="E2647" t="str">
            <v>EUR</v>
          </cell>
          <cell r="F2647">
            <v>36.21</v>
          </cell>
          <cell r="G2647" t="str">
            <v>EUR</v>
          </cell>
          <cell r="H2647" t="e">
            <v>#VALUE!</v>
          </cell>
          <cell r="I2647" t="str">
            <v>FAXTON1260CN</v>
          </cell>
        </row>
        <row r="2648">
          <cell r="D2648">
            <v>430225</v>
          </cell>
          <cell r="E2648" t="str">
            <v>EUR</v>
          </cell>
          <cell r="F2648">
            <v>42.13</v>
          </cell>
          <cell r="G2648" t="str">
            <v>EUR</v>
          </cell>
          <cell r="H2648" t="e">
            <v>#VALUE!</v>
          </cell>
          <cell r="I2648" t="str">
            <v>FAXTON1435CN</v>
          </cell>
        </row>
        <row r="2649">
          <cell r="D2649">
            <v>339481</v>
          </cell>
          <cell r="E2649" t="str">
            <v>EUR</v>
          </cell>
          <cell r="F2649">
            <v>177.61</v>
          </cell>
          <cell r="G2649" t="e">
            <v>#N/A</v>
          </cell>
          <cell r="H2649" t="e">
            <v>#N/A</v>
          </cell>
          <cell r="I2649" t="str">
            <v>FAXTON150FRA</v>
          </cell>
        </row>
        <row r="2650">
          <cell r="D2650">
            <v>889878</v>
          </cell>
          <cell r="E2650" t="str">
            <v>EUR</v>
          </cell>
          <cell r="F2650">
            <v>148.43</v>
          </cell>
          <cell r="G2650" t="str">
            <v>EUR</v>
          </cell>
          <cell r="H2650" t="e">
            <v>#VALUE!</v>
          </cell>
          <cell r="I2650" t="str">
            <v>FAXTON30TWN</v>
          </cell>
        </row>
        <row r="2651">
          <cell r="D2651">
            <v>400323</v>
          </cell>
          <cell r="E2651" t="str">
            <v>EUR</v>
          </cell>
          <cell r="F2651">
            <v>25.32</v>
          </cell>
          <cell r="G2651" t="str">
            <v>EUR</v>
          </cell>
          <cell r="H2651" t="e">
            <v>#VALUE!</v>
          </cell>
          <cell r="I2651" t="str">
            <v>FUSER204</v>
          </cell>
        </row>
        <row r="2652">
          <cell r="D2652">
            <v>889782</v>
          </cell>
          <cell r="E2652" t="str">
            <v>EUR</v>
          </cell>
          <cell r="F2652">
            <v>111.27</v>
          </cell>
          <cell r="G2652" t="str">
            <v>EUR</v>
          </cell>
          <cell r="H2652" t="e">
            <v>#VALUE!</v>
          </cell>
          <cell r="I2652" t="str">
            <v>IMAGEUNIT1</v>
          </cell>
        </row>
        <row r="2653">
          <cell r="D2653">
            <v>400441</v>
          </cell>
          <cell r="E2653" t="str">
            <v>EUR</v>
          </cell>
          <cell r="F2653">
            <v>163.19</v>
          </cell>
          <cell r="G2653" t="str">
            <v>EUR</v>
          </cell>
          <cell r="H2653" t="e">
            <v>#VALUE!</v>
          </cell>
          <cell r="I2653" t="str">
            <v>INKROLLTYPEA</v>
          </cell>
        </row>
        <row r="2654">
          <cell r="D2654">
            <v>208050</v>
          </cell>
          <cell r="E2654" t="str">
            <v>EUR</v>
          </cell>
          <cell r="F2654">
            <v>343</v>
          </cell>
          <cell r="G2654" t="e">
            <v>#N/A</v>
          </cell>
          <cell r="H2654" t="e">
            <v>#N/A</v>
          </cell>
          <cell r="I2654" t="str">
            <v>LR1TONERBLA</v>
          </cell>
        </row>
        <row r="2655">
          <cell r="D2655">
            <v>208046</v>
          </cell>
          <cell r="E2655" t="str">
            <v>EUR</v>
          </cell>
          <cell r="F2655">
            <v>211.28</v>
          </cell>
          <cell r="G2655" t="e">
            <v>#N/A</v>
          </cell>
          <cell r="H2655" t="e">
            <v>#N/A</v>
          </cell>
          <cell r="I2655" t="str">
            <v>LR1TONERRED</v>
          </cell>
        </row>
        <row r="2656">
          <cell r="D2656">
            <v>400404</v>
          </cell>
          <cell r="E2656" t="str">
            <v>EUR</v>
          </cell>
          <cell r="F2656">
            <v>83.61</v>
          </cell>
          <cell r="G2656" t="str">
            <v>EUR</v>
          </cell>
          <cell r="H2656" t="e">
            <v>#VALUE!</v>
          </cell>
          <cell r="I2656" t="str">
            <v>MAINTEN1400</v>
          </cell>
        </row>
        <row r="2657">
          <cell r="D2657">
            <v>400401</v>
          </cell>
          <cell r="E2657" t="str">
            <v>EUR</v>
          </cell>
          <cell r="F2657">
            <v>96.4</v>
          </cell>
          <cell r="G2657" t="str">
            <v>EUR</v>
          </cell>
          <cell r="H2657" t="e">
            <v>#VALUE!</v>
          </cell>
          <cell r="I2657" t="str">
            <v>MAINTEN2000</v>
          </cell>
        </row>
        <row r="2658">
          <cell r="D2658">
            <v>400620</v>
          </cell>
          <cell r="E2658" t="str">
            <v>EUR</v>
          </cell>
          <cell r="F2658">
            <v>106.22</v>
          </cell>
          <cell r="G2658" t="str">
            <v>EUR</v>
          </cell>
          <cell r="H2658" t="e">
            <v>#VALUE!</v>
          </cell>
          <cell r="I2658" t="str">
            <v>MAINT2600CHN</v>
          </cell>
        </row>
        <row r="2659">
          <cell r="D2659">
            <v>400594</v>
          </cell>
          <cell r="E2659" t="str">
            <v>EUR</v>
          </cell>
          <cell r="F2659">
            <v>93.2</v>
          </cell>
          <cell r="G2659" t="str">
            <v>EUR</v>
          </cell>
          <cell r="H2659" t="e">
            <v>#VALUE!</v>
          </cell>
          <cell r="I2659" t="str">
            <v>MAINT3800A</v>
          </cell>
        </row>
        <row r="2660">
          <cell r="D2660">
            <v>400595</v>
          </cell>
          <cell r="E2660" t="str">
            <v>EUR</v>
          </cell>
          <cell r="F2660">
            <v>177.55</v>
          </cell>
          <cell r="G2660" t="str">
            <v>EUR</v>
          </cell>
          <cell r="H2660" t="e">
            <v>#VALUE!</v>
          </cell>
          <cell r="I2660" t="str">
            <v>MAINT3800B</v>
          </cell>
        </row>
        <row r="2661">
          <cell r="D2661">
            <v>400569</v>
          </cell>
          <cell r="E2661" t="str">
            <v>EUR</v>
          </cell>
          <cell r="F2661">
            <v>195.76</v>
          </cell>
          <cell r="G2661" t="str">
            <v>EUR</v>
          </cell>
          <cell r="H2661" t="e">
            <v>#VALUE!</v>
          </cell>
          <cell r="I2661" t="str">
            <v>MAINT3800C</v>
          </cell>
        </row>
        <row r="2662">
          <cell r="D2662">
            <v>400661</v>
          </cell>
          <cell r="E2662" t="str">
            <v>EUR</v>
          </cell>
          <cell r="F2662">
            <v>54.36</v>
          </cell>
          <cell r="G2662" t="str">
            <v>EUR</v>
          </cell>
          <cell r="H2662" t="e">
            <v>#VALUE!</v>
          </cell>
          <cell r="I2662" t="str">
            <v>MAINT3800D</v>
          </cell>
        </row>
        <row r="2663">
          <cell r="D2663">
            <v>400662</v>
          </cell>
          <cell r="E2663" t="str">
            <v>EUR</v>
          </cell>
          <cell r="F2663">
            <v>5.19</v>
          </cell>
          <cell r="G2663" t="str">
            <v>EUR</v>
          </cell>
          <cell r="H2663" t="e">
            <v>#VALUE!</v>
          </cell>
          <cell r="I2663" t="str">
            <v>MAINT3800E</v>
          </cell>
        </row>
        <row r="2664">
          <cell r="D2664">
            <v>400548</v>
          </cell>
          <cell r="E2664" t="str">
            <v>EUR</v>
          </cell>
          <cell r="F2664">
            <v>29.44</v>
          </cell>
          <cell r="G2664" t="str">
            <v>EUR</v>
          </cell>
          <cell r="H2664" t="e">
            <v>#VALUE!</v>
          </cell>
          <cell r="I2664" t="str">
            <v>MAINT3800F</v>
          </cell>
        </row>
        <row r="2665">
          <cell r="D2665">
            <v>400549</v>
          </cell>
          <cell r="E2665" t="str">
            <v>EUR</v>
          </cell>
          <cell r="F2665">
            <v>27.51</v>
          </cell>
          <cell r="G2665" t="str">
            <v>EUR</v>
          </cell>
          <cell r="H2665" t="e">
            <v>#VALUE!</v>
          </cell>
          <cell r="I2665" t="str">
            <v>MAINT3800G</v>
          </cell>
        </row>
        <row r="2666">
          <cell r="D2666">
            <v>400576</v>
          </cell>
          <cell r="E2666" t="str">
            <v>EUR</v>
          </cell>
          <cell r="F2666">
            <v>2.68</v>
          </cell>
          <cell r="G2666" t="str">
            <v>EUR</v>
          </cell>
          <cell r="H2666" t="e">
            <v>#VALUE!</v>
          </cell>
          <cell r="I2666" t="str">
            <v>MAINT3800H</v>
          </cell>
        </row>
        <row r="2667">
          <cell r="D2667">
            <v>209911</v>
          </cell>
          <cell r="E2667" t="str">
            <v>EUR</v>
          </cell>
          <cell r="F2667">
            <v>104.21</v>
          </cell>
          <cell r="G2667" t="str">
            <v>EUR</v>
          </cell>
          <cell r="H2667" t="e">
            <v>#VALUE!</v>
          </cell>
          <cell r="I2667" t="str">
            <v>MV250MAST</v>
          </cell>
        </row>
        <row r="2668">
          <cell r="D2668">
            <v>894718</v>
          </cell>
          <cell r="E2668" t="str">
            <v>EUR</v>
          </cell>
          <cell r="F2668">
            <v>239.38</v>
          </cell>
          <cell r="G2668" t="str">
            <v>EUR</v>
          </cell>
          <cell r="H2668" t="e">
            <v>#VALUE!</v>
          </cell>
          <cell r="I2668" t="str">
            <v>MV300MAST</v>
          </cell>
        </row>
        <row r="2669">
          <cell r="D2669">
            <v>887675</v>
          </cell>
          <cell r="E2669" t="str">
            <v>EUR</v>
          </cell>
          <cell r="F2669">
            <v>222.79</v>
          </cell>
          <cell r="G2669" t="str">
            <v>EUR</v>
          </cell>
          <cell r="H2669" t="e">
            <v>#VALUE!</v>
          </cell>
          <cell r="I2669" t="str">
            <v>MV300TONER</v>
          </cell>
        </row>
        <row r="2670">
          <cell r="D2670">
            <v>889606</v>
          </cell>
          <cell r="E2670" t="str">
            <v>EUR</v>
          </cell>
          <cell r="F2670">
            <v>104.03</v>
          </cell>
          <cell r="G2670" t="str">
            <v>EUR</v>
          </cell>
          <cell r="H2670" t="e">
            <v>#VALUE!</v>
          </cell>
          <cell r="I2670" t="str">
            <v>MV80MAST</v>
          </cell>
        </row>
        <row r="2671">
          <cell r="D2671">
            <v>889744</v>
          </cell>
          <cell r="E2671" t="str">
            <v>EUR</v>
          </cell>
          <cell r="F2671">
            <v>55.01</v>
          </cell>
          <cell r="G2671" t="str">
            <v>EUR</v>
          </cell>
          <cell r="H2671" t="e">
            <v>#VALUE!</v>
          </cell>
          <cell r="I2671" t="str">
            <v>MV80TONER</v>
          </cell>
        </row>
        <row r="2672">
          <cell r="D2672">
            <v>889015</v>
          </cell>
          <cell r="E2672" t="str">
            <v>EUR</v>
          </cell>
          <cell r="F2672">
            <v>126.4</v>
          </cell>
          <cell r="G2672" t="e">
            <v>#N/A</v>
          </cell>
          <cell r="H2672" t="e">
            <v>#N/A</v>
          </cell>
          <cell r="I2672" t="str">
            <v>M10MASTUNT2</v>
          </cell>
        </row>
        <row r="2673">
          <cell r="D2673">
            <v>887660</v>
          </cell>
          <cell r="E2673" t="str">
            <v>EUR</v>
          </cell>
          <cell r="F2673">
            <v>23.59</v>
          </cell>
          <cell r="G2673" t="e">
            <v>#N/A</v>
          </cell>
          <cell r="H2673" t="e">
            <v>#N/A</v>
          </cell>
          <cell r="I2673" t="str">
            <v>M10TONBLAUK</v>
          </cell>
        </row>
        <row r="2674">
          <cell r="D2674">
            <v>889351</v>
          </cell>
          <cell r="E2674" t="str">
            <v>EUR</v>
          </cell>
          <cell r="F2674">
            <v>128.18</v>
          </cell>
          <cell r="G2674" t="str">
            <v>EUR</v>
          </cell>
          <cell r="H2674" t="e">
            <v>#VALUE!</v>
          </cell>
          <cell r="I2674" t="str">
            <v>M100MASTUNT2</v>
          </cell>
        </row>
        <row r="2675">
          <cell r="D2675">
            <v>889260</v>
          </cell>
          <cell r="E2675" t="str">
            <v>EUR</v>
          </cell>
          <cell r="F2675">
            <v>118.13</v>
          </cell>
          <cell r="G2675" t="str">
            <v>EUR</v>
          </cell>
          <cell r="H2675" t="e">
            <v>#VALUE!</v>
          </cell>
          <cell r="I2675" t="str">
            <v>M5MASTUNT2</v>
          </cell>
        </row>
        <row r="2676">
          <cell r="D2676">
            <v>887659</v>
          </cell>
          <cell r="E2676" t="str">
            <v>EUR</v>
          </cell>
          <cell r="F2676">
            <v>23.58</v>
          </cell>
          <cell r="G2676" t="e">
            <v>#N/A</v>
          </cell>
          <cell r="H2676" t="e">
            <v>#N/A</v>
          </cell>
          <cell r="I2676" t="str">
            <v>M5TONERBLAUK</v>
          </cell>
        </row>
        <row r="2677">
          <cell r="D2677">
            <v>882019</v>
          </cell>
          <cell r="E2677" t="str">
            <v>EUR</v>
          </cell>
          <cell r="F2677">
            <v>43.8</v>
          </cell>
          <cell r="G2677" t="e">
            <v>#N/A</v>
          </cell>
          <cell r="H2677" t="e">
            <v>#N/A</v>
          </cell>
          <cell r="I2677" t="str">
            <v>M5TONERGRE</v>
          </cell>
        </row>
        <row r="2678">
          <cell r="D2678">
            <v>889207</v>
          </cell>
          <cell r="E2678" t="str">
            <v>EUR</v>
          </cell>
          <cell r="F2678">
            <v>40.51</v>
          </cell>
          <cell r="G2678" t="str">
            <v>EUR</v>
          </cell>
          <cell r="H2678" t="e">
            <v>#VALUE!</v>
          </cell>
          <cell r="I2678" t="str">
            <v>M5TONERRED</v>
          </cell>
        </row>
        <row r="2679">
          <cell r="D2679">
            <v>887664</v>
          </cell>
          <cell r="E2679" t="str">
            <v>EUR</v>
          </cell>
          <cell r="F2679">
            <v>26.21</v>
          </cell>
          <cell r="G2679" t="e">
            <v>#N/A</v>
          </cell>
          <cell r="H2679" t="e">
            <v>#N/A</v>
          </cell>
          <cell r="I2679" t="str">
            <v>M6TONERGER</v>
          </cell>
        </row>
        <row r="2680">
          <cell r="D2680">
            <v>889405</v>
          </cell>
          <cell r="E2680" t="str">
            <v>EUR</v>
          </cell>
          <cell r="F2680">
            <v>113.23</v>
          </cell>
          <cell r="G2680" t="str">
            <v>EUR</v>
          </cell>
          <cell r="H2680" t="e">
            <v>#VALUE!</v>
          </cell>
          <cell r="I2680" t="str">
            <v>NC11DEVBLA</v>
          </cell>
        </row>
        <row r="2681">
          <cell r="D2681">
            <v>889408</v>
          </cell>
          <cell r="E2681" t="str">
            <v>EUR</v>
          </cell>
          <cell r="F2681">
            <v>48.52</v>
          </cell>
          <cell r="G2681" t="str">
            <v>EUR</v>
          </cell>
          <cell r="H2681" t="e">
            <v>#VALUE!</v>
          </cell>
          <cell r="I2681" t="str">
            <v>NC11DEVCYN</v>
          </cell>
        </row>
        <row r="2682">
          <cell r="D2682">
            <v>889407</v>
          </cell>
          <cell r="E2682" t="str">
            <v>EUR</v>
          </cell>
          <cell r="F2682">
            <v>48.52</v>
          </cell>
          <cell r="G2682" t="str">
            <v>EUR</v>
          </cell>
          <cell r="H2682" t="e">
            <v>#VALUE!</v>
          </cell>
          <cell r="I2682" t="str">
            <v>NC11DEVMAG</v>
          </cell>
        </row>
        <row r="2683">
          <cell r="D2683">
            <v>889406</v>
          </cell>
          <cell r="E2683" t="str">
            <v>EUR</v>
          </cell>
          <cell r="F2683">
            <v>48.52</v>
          </cell>
          <cell r="G2683" t="str">
            <v>EUR</v>
          </cell>
          <cell r="H2683" t="e">
            <v>#VALUE!</v>
          </cell>
          <cell r="I2683" t="str">
            <v>NC11DEVYLW</v>
          </cell>
        </row>
        <row r="2684">
          <cell r="D2684">
            <v>887481</v>
          </cell>
          <cell r="E2684" t="str">
            <v>EUR</v>
          </cell>
          <cell r="F2684">
            <v>134.29</v>
          </cell>
          <cell r="G2684" t="e">
            <v>#N/A</v>
          </cell>
          <cell r="H2684" t="e">
            <v>#N/A</v>
          </cell>
          <cell r="I2684" t="str">
            <v>NC11TONERBLA</v>
          </cell>
        </row>
        <row r="2685">
          <cell r="D2685">
            <v>887487</v>
          </cell>
          <cell r="E2685" t="str">
            <v>EUR</v>
          </cell>
          <cell r="F2685">
            <v>75.459999999999994</v>
          </cell>
          <cell r="G2685" t="str">
            <v>EUR</v>
          </cell>
          <cell r="H2685" t="e">
            <v>#VALUE!</v>
          </cell>
          <cell r="I2685" t="str">
            <v>NC11TONERCYN</v>
          </cell>
        </row>
        <row r="2686">
          <cell r="D2686">
            <v>887485</v>
          </cell>
          <cell r="E2686" t="str">
            <v>EUR</v>
          </cell>
          <cell r="F2686">
            <v>75.459999999999994</v>
          </cell>
          <cell r="G2686" t="str">
            <v>EUR</v>
          </cell>
          <cell r="H2686" t="e">
            <v>#VALUE!</v>
          </cell>
          <cell r="I2686" t="str">
            <v>NC11TONERMAG</v>
          </cell>
        </row>
        <row r="2687">
          <cell r="D2687">
            <v>887483</v>
          </cell>
          <cell r="E2687" t="str">
            <v>EUR</v>
          </cell>
          <cell r="F2687">
            <v>75.459999999999994</v>
          </cell>
          <cell r="G2687" t="str">
            <v>EUR</v>
          </cell>
          <cell r="H2687" t="e">
            <v>#VALUE!</v>
          </cell>
          <cell r="I2687" t="str">
            <v>NC11TONERYLW</v>
          </cell>
        </row>
        <row r="2688">
          <cell r="D2688">
            <v>889526</v>
          </cell>
          <cell r="E2688" t="str">
            <v>EUR</v>
          </cell>
          <cell r="F2688">
            <v>98.77</v>
          </cell>
          <cell r="G2688" t="str">
            <v>EUR</v>
          </cell>
          <cell r="H2688" t="e">
            <v>#VALUE!</v>
          </cell>
          <cell r="I2688" t="str">
            <v>NC305DEVBLA</v>
          </cell>
        </row>
        <row r="2689">
          <cell r="D2689">
            <v>394800</v>
          </cell>
          <cell r="E2689" t="str">
            <v>EUR</v>
          </cell>
          <cell r="F2689">
            <v>94.42</v>
          </cell>
          <cell r="G2689" t="str">
            <v>EUR</v>
          </cell>
          <cell r="H2689" t="e">
            <v>#VALUE!</v>
          </cell>
          <cell r="I2689" t="str">
            <v>OPCCARTTYP12</v>
          </cell>
        </row>
        <row r="2690">
          <cell r="D2690">
            <v>411113</v>
          </cell>
          <cell r="E2690" t="str">
            <v>EUR</v>
          </cell>
          <cell r="F2690">
            <v>62.01</v>
          </cell>
          <cell r="G2690" t="str">
            <v>EUR</v>
          </cell>
          <cell r="H2690" t="e">
            <v>#VALUE!</v>
          </cell>
          <cell r="I2690" t="str">
            <v>PCU1013CHN</v>
          </cell>
        </row>
        <row r="2691">
          <cell r="D2691">
            <v>411018</v>
          </cell>
          <cell r="E2691" t="str">
            <v>EUR</v>
          </cell>
          <cell r="F2691">
            <v>117.67</v>
          </cell>
          <cell r="G2691" t="str">
            <v>EUR</v>
          </cell>
          <cell r="H2691" t="e">
            <v>#VALUE!</v>
          </cell>
          <cell r="I2691" t="str">
            <v>PCU1027</v>
          </cell>
        </row>
        <row r="2692">
          <cell r="D2692">
            <v>410423</v>
          </cell>
          <cell r="E2692" t="str">
            <v>EUR</v>
          </cell>
          <cell r="F2692">
            <v>125.26</v>
          </cell>
          <cell r="G2692" t="str">
            <v>EUR</v>
          </cell>
          <cell r="H2692" t="e">
            <v>#VALUE!</v>
          </cell>
          <cell r="I2692" t="str">
            <v>PCU270</v>
          </cell>
        </row>
        <row r="2693">
          <cell r="D2693">
            <v>400633</v>
          </cell>
          <cell r="E2693" t="str">
            <v>EUR</v>
          </cell>
          <cell r="F2693">
            <v>117.67</v>
          </cell>
          <cell r="G2693" t="str">
            <v>EUR</v>
          </cell>
          <cell r="H2693" t="e">
            <v>#VALUE!</v>
          </cell>
          <cell r="I2693" t="str">
            <v>PCU320</v>
          </cell>
        </row>
        <row r="2694">
          <cell r="D2694">
            <v>410509</v>
          </cell>
          <cell r="E2694" t="str">
            <v>EUR</v>
          </cell>
          <cell r="F2694">
            <v>57.52</v>
          </cell>
          <cell r="G2694" t="str">
            <v>EUR</v>
          </cell>
          <cell r="H2694" t="e">
            <v>#VALUE!</v>
          </cell>
          <cell r="I2694" t="str">
            <v>STAPLEREFH</v>
          </cell>
        </row>
        <row r="2695">
          <cell r="D2695">
            <v>410802</v>
          </cell>
          <cell r="E2695" t="str">
            <v>EUR</v>
          </cell>
          <cell r="F2695">
            <v>27.48</v>
          </cell>
          <cell r="G2695" t="str">
            <v>EUR</v>
          </cell>
          <cell r="H2695" t="e">
            <v>#VALUE!</v>
          </cell>
          <cell r="I2695" t="str">
            <v>STAPLEREFK</v>
          </cell>
        </row>
        <row r="2696">
          <cell r="D2696">
            <v>411241</v>
          </cell>
          <cell r="E2696" t="str">
            <v>EUR</v>
          </cell>
          <cell r="F2696">
            <v>19.75</v>
          </cell>
          <cell r="G2696" t="str">
            <v>EUR</v>
          </cell>
          <cell r="H2696" t="e">
            <v>#VALUE!</v>
          </cell>
          <cell r="I2696" t="str">
            <v>STAPLEREFL</v>
          </cell>
        </row>
        <row r="2697">
          <cell r="D2697">
            <v>207866</v>
          </cell>
          <cell r="E2697" t="str">
            <v>EUR</v>
          </cell>
          <cell r="F2697">
            <v>29.36</v>
          </cell>
          <cell r="G2697" t="e">
            <v>#N/A</v>
          </cell>
          <cell r="H2697" t="e">
            <v>#N/A</v>
          </cell>
          <cell r="I2697" t="str">
            <v>STAPLETYPEB</v>
          </cell>
        </row>
        <row r="2698">
          <cell r="D2698">
            <v>208171</v>
          </cell>
          <cell r="E2698" t="str">
            <v>EUR</v>
          </cell>
          <cell r="F2698">
            <v>22.06</v>
          </cell>
          <cell r="G2698" t="str">
            <v>EUR</v>
          </cell>
          <cell r="H2698" t="e">
            <v>#VALUE!</v>
          </cell>
          <cell r="I2698" t="str">
            <v>STAPLETYPEC</v>
          </cell>
        </row>
        <row r="2699">
          <cell r="D2699">
            <v>208532</v>
          </cell>
          <cell r="E2699" t="str">
            <v>EUR</v>
          </cell>
          <cell r="F2699">
            <v>17.64</v>
          </cell>
          <cell r="G2699" t="str">
            <v>EUR</v>
          </cell>
          <cell r="H2699" t="e">
            <v>#VALUE!</v>
          </cell>
          <cell r="I2699" t="str">
            <v>STAPLETYPED</v>
          </cell>
        </row>
        <row r="2700">
          <cell r="D2700">
            <v>317927</v>
          </cell>
          <cell r="E2700" t="str">
            <v>EUR</v>
          </cell>
          <cell r="F2700">
            <v>16.03</v>
          </cell>
          <cell r="G2700" t="str">
            <v>EUR</v>
          </cell>
          <cell r="H2700" t="e">
            <v>#VALUE!</v>
          </cell>
          <cell r="I2700" t="str">
            <v>STAPLETYPEE</v>
          </cell>
        </row>
        <row r="2701">
          <cell r="D2701">
            <v>209307</v>
          </cell>
          <cell r="E2701" t="str">
            <v>EUR</v>
          </cell>
          <cell r="F2701">
            <v>24.08</v>
          </cell>
          <cell r="G2701" t="str">
            <v>EUR</v>
          </cell>
          <cell r="H2701" t="e">
            <v>#VALUE!</v>
          </cell>
          <cell r="I2701" t="str">
            <v>STAPLETYPEF</v>
          </cell>
        </row>
        <row r="2702">
          <cell r="D2702">
            <v>410133</v>
          </cell>
          <cell r="E2702" t="str">
            <v>EUR</v>
          </cell>
          <cell r="F2702">
            <v>24.08</v>
          </cell>
          <cell r="G2702" t="str">
            <v>EUR</v>
          </cell>
          <cell r="H2702" t="e">
            <v>#VALUE!</v>
          </cell>
          <cell r="I2702" t="str">
            <v>STAPLETYPEG</v>
          </cell>
        </row>
        <row r="2703">
          <cell r="D2703">
            <v>410508</v>
          </cell>
          <cell r="E2703" t="str">
            <v>EUR</v>
          </cell>
          <cell r="F2703">
            <v>25.55</v>
          </cell>
          <cell r="G2703" t="str">
            <v>EUR</v>
          </cell>
          <cell r="H2703" t="e">
            <v>#VALUE!</v>
          </cell>
          <cell r="I2703" t="str">
            <v>STAPLETYPEH</v>
          </cell>
        </row>
        <row r="2704">
          <cell r="D2704">
            <v>410597</v>
          </cell>
          <cell r="E2704" t="str">
            <v>EUR</v>
          </cell>
          <cell r="F2704">
            <v>29.56</v>
          </cell>
          <cell r="G2704" t="str">
            <v>EUR</v>
          </cell>
          <cell r="H2704" t="e">
            <v>#VALUE!</v>
          </cell>
          <cell r="I2704" t="str">
            <v>STAPLETYPEJ</v>
          </cell>
        </row>
        <row r="2705">
          <cell r="D2705">
            <v>410801</v>
          </cell>
          <cell r="E2705" t="str">
            <v>EUR</v>
          </cell>
          <cell r="F2705">
            <v>15.7</v>
          </cell>
          <cell r="G2705" t="str">
            <v>EUR</v>
          </cell>
          <cell r="H2705" t="e">
            <v>#VALUE!</v>
          </cell>
          <cell r="I2705" t="str">
            <v>STAPLETYPEK</v>
          </cell>
        </row>
        <row r="2706">
          <cell r="D2706">
            <v>411240</v>
          </cell>
          <cell r="E2706" t="str">
            <v>EUR</v>
          </cell>
          <cell r="F2706">
            <v>11.82</v>
          </cell>
          <cell r="G2706" t="str">
            <v>EUR</v>
          </cell>
          <cell r="H2706" t="e">
            <v>#VALUE!</v>
          </cell>
          <cell r="I2706" t="str">
            <v>STAPLETYPEL</v>
          </cell>
        </row>
        <row r="2707">
          <cell r="D2707">
            <v>922479</v>
          </cell>
          <cell r="E2707" t="str">
            <v>EUR</v>
          </cell>
          <cell r="F2707">
            <v>37</v>
          </cell>
          <cell r="G2707" t="e">
            <v>#N/A</v>
          </cell>
          <cell r="H2707" t="e">
            <v>#N/A</v>
          </cell>
          <cell r="I2707" t="str">
            <v>STAPLE85SWE</v>
          </cell>
        </row>
        <row r="2708">
          <cell r="D2708">
            <v>923978</v>
          </cell>
          <cell r="E2708" t="str">
            <v>EUR</v>
          </cell>
          <cell r="F2708">
            <v>107.99</v>
          </cell>
          <cell r="G2708" t="e">
            <v>#N/A</v>
          </cell>
          <cell r="H2708" t="e">
            <v>#N/A</v>
          </cell>
          <cell r="I2708" t="str">
            <v>TONAP1610USA</v>
          </cell>
        </row>
        <row r="2709">
          <cell r="D2709">
            <v>889341</v>
          </cell>
          <cell r="E2709" t="str">
            <v>EUR</v>
          </cell>
          <cell r="F2709">
            <v>70.180000000000007</v>
          </cell>
          <cell r="G2709" t="str">
            <v>EUR</v>
          </cell>
          <cell r="H2709" t="e">
            <v>#VALUE!</v>
          </cell>
          <cell r="I2709" t="str">
            <v>TONCOLLUN</v>
          </cell>
        </row>
        <row r="2710">
          <cell r="D2710">
            <v>885104</v>
          </cell>
          <cell r="E2710" t="str">
            <v>EUR</v>
          </cell>
          <cell r="F2710">
            <v>65.459999999999994</v>
          </cell>
          <cell r="G2710" t="e">
            <v>#N/A</v>
          </cell>
          <cell r="H2710" t="e">
            <v>#N/A</v>
          </cell>
          <cell r="I2710" t="str">
            <v>TONER10DFRA</v>
          </cell>
        </row>
        <row r="2711">
          <cell r="D2711">
            <v>888037</v>
          </cell>
          <cell r="E2711" t="str">
            <v>EUR</v>
          </cell>
          <cell r="F2711">
            <v>104.94</v>
          </cell>
          <cell r="G2711" t="str">
            <v>EUR</v>
          </cell>
          <cell r="H2711" t="e">
            <v>#VALUE!</v>
          </cell>
          <cell r="I2711" t="str">
            <v>TONER105CYN</v>
          </cell>
        </row>
        <row r="2712">
          <cell r="D2712">
            <v>888036</v>
          </cell>
          <cell r="E2712" t="str">
            <v>EUR</v>
          </cell>
          <cell r="F2712">
            <v>104.94</v>
          </cell>
          <cell r="G2712" t="str">
            <v>EUR</v>
          </cell>
          <cell r="H2712" t="e">
            <v>#VALUE!</v>
          </cell>
          <cell r="I2712" t="str">
            <v>TONER105MAG</v>
          </cell>
        </row>
        <row r="2713">
          <cell r="D2713">
            <v>888035</v>
          </cell>
          <cell r="E2713" t="str">
            <v>EUR</v>
          </cell>
          <cell r="F2713">
            <v>104.94</v>
          </cell>
          <cell r="G2713" t="str">
            <v>EUR</v>
          </cell>
          <cell r="H2713" t="e">
            <v>#VALUE!</v>
          </cell>
          <cell r="I2713" t="str">
            <v>TONER105YLW</v>
          </cell>
        </row>
        <row r="2714">
          <cell r="D2714">
            <v>885109</v>
          </cell>
          <cell r="E2714" t="str">
            <v>EUR</v>
          </cell>
          <cell r="F2714">
            <v>47.4</v>
          </cell>
          <cell r="G2714" t="e">
            <v>#N/A</v>
          </cell>
          <cell r="H2714" t="e">
            <v>#N/A</v>
          </cell>
          <cell r="I2714" t="str">
            <v>TONER20DEFRA</v>
          </cell>
        </row>
        <row r="2715">
          <cell r="D2715">
            <v>888032</v>
          </cell>
          <cell r="E2715" t="str">
            <v>EUR</v>
          </cell>
          <cell r="F2715">
            <v>41.79</v>
          </cell>
          <cell r="G2715" t="str">
            <v>EUR</v>
          </cell>
          <cell r="H2715" t="e">
            <v>#VALUE!</v>
          </cell>
          <cell r="I2715" t="str">
            <v>TONER205BLA</v>
          </cell>
        </row>
        <row r="2716">
          <cell r="D2716">
            <v>887849</v>
          </cell>
          <cell r="E2716" t="str">
            <v>EUR</v>
          </cell>
          <cell r="F2716">
            <v>75.05</v>
          </cell>
          <cell r="G2716" t="str">
            <v>EUR</v>
          </cell>
          <cell r="H2716" t="e">
            <v>#VALUE!</v>
          </cell>
          <cell r="I2716" t="str">
            <v>TONTYPEHCYN</v>
          </cell>
        </row>
        <row r="2717">
          <cell r="D2717">
            <v>887848</v>
          </cell>
          <cell r="E2717" t="str">
            <v>EUR</v>
          </cell>
          <cell r="F2717">
            <v>75.05</v>
          </cell>
          <cell r="G2717" t="str">
            <v>EUR</v>
          </cell>
          <cell r="H2717" t="e">
            <v>#VALUE!</v>
          </cell>
          <cell r="I2717" t="str">
            <v>TONTYPEHMAG</v>
          </cell>
        </row>
        <row r="2718">
          <cell r="D2718">
            <v>887845</v>
          </cell>
          <cell r="E2718" t="str">
            <v>EUR</v>
          </cell>
          <cell r="F2718">
            <v>79.05</v>
          </cell>
          <cell r="G2718" t="str">
            <v>EUR</v>
          </cell>
          <cell r="H2718" t="e">
            <v>#VALUE!</v>
          </cell>
          <cell r="I2718" t="str">
            <v>TONTYPEHXBLA</v>
          </cell>
        </row>
        <row r="2719">
          <cell r="D2719">
            <v>887847</v>
          </cell>
          <cell r="E2719" t="str">
            <v>EUR</v>
          </cell>
          <cell r="F2719">
            <v>75.05</v>
          </cell>
          <cell r="G2719" t="str">
            <v>EUR</v>
          </cell>
          <cell r="H2719" t="e">
            <v>#VALUE!</v>
          </cell>
          <cell r="I2719" t="str">
            <v>TONTYPEHYLW</v>
          </cell>
        </row>
        <row r="2720">
          <cell r="D2720">
            <v>887813</v>
          </cell>
          <cell r="E2720" t="str">
            <v>EUR</v>
          </cell>
          <cell r="F2720">
            <v>86.89</v>
          </cell>
          <cell r="G2720" t="str">
            <v>EUR</v>
          </cell>
          <cell r="H2720" t="e">
            <v>#VALUE!</v>
          </cell>
          <cell r="I2720" t="str">
            <v>TONTYPEJBLA</v>
          </cell>
        </row>
        <row r="2721">
          <cell r="D2721">
            <v>887816</v>
          </cell>
          <cell r="E2721" t="str">
            <v>EUR</v>
          </cell>
          <cell r="F2721">
            <v>96.57</v>
          </cell>
          <cell r="G2721" t="str">
            <v>EUR</v>
          </cell>
          <cell r="H2721" t="e">
            <v>#VALUE!</v>
          </cell>
          <cell r="I2721" t="str">
            <v>TONTYPEJCYN</v>
          </cell>
        </row>
        <row r="2722">
          <cell r="D2722">
            <v>887815</v>
          </cell>
          <cell r="E2722" t="str">
            <v>EUR</v>
          </cell>
          <cell r="F2722">
            <v>96.57</v>
          </cell>
          <cell r="G2722" t="str">
            <v>EUR</v>
          </cell>
          <cell r="H2722" t="e">
            <v>#VALUE!</v>
          </cell>
          <cell r="I2722" t="str">
            <v>TONTYPEJMAG</v>
          </cell>
        </row>
        <row r="2723">
          <cell r="D2723">
            <v>887814</v>
          </cell>
          <cell r="E2723" t="str">
            <v>EUR</v>
          </cell>
          <cell r="F2723">
            <v>96.57</v>
          </cell>
          <cell r="G2723" t="str">
            <v>EUR</v>
          </cell>
          <cell r="H2723" t="e">
            <v>#VALUE!</v>
          </cell>
          <cell r="I2723" t="str">
            <v>TONTYPEJYLW</v>
          </cell>
        </row>
        <row r="2724">
          <cell r="D2724">
            <v>887914</v>
          </cell>
          <cell r="E2724" t="str">
            <v>EUR</v>
          </cell>
          <cell r="F2724">
            <v>49.16</v>
          </cell>
          <cell r="G2724" t="str">
            <v>EUR</v>
          </cell>
          <cell r="H2724" t="e">
            <v>#VALUE!</v>
          </cell>
          <cell r="I2724" t="str">
            <v>TONTYPEK1BLA</v>
          </cell>
        </row>
        <row r="2725">
          <cell r="D2725">
            <v>887933</v>
          </cell>
          <cell r="E2725" t="str">
            <v>EUR</v>
          </cell>
          <cell r="F2725">
            <v>125.61</v>
          </cell>
          <cell r="G2725" t="str">
            <v>EUR</v>
          </cell>
          <cell r="H2725" t="e">
            <v>#VALUE!</v>
          </cell>
          <cell r="I2725" t="str">
            <v>TONTYPEK1CYN</v>
          </cell>
        </row>
        <row r="2726">
          <cell r="D2726">
            <v>887927</v>
          </cell>
          <cell r="E2726" t="str">
            <v>EUR</v>
          </cell>
          <cell r="F2726">
            <v>125.61</v>
          </cell>
          <cell r="G2726" t="str">
            <v>EUR</v>
          </cell>
          <cell r="H2726" t="e">
            <v>#VALUE!</v>
          </cell>
          <cell r="I2726" t="str">
            <v>TONTYPEK1MAG</v>
          </cell>
        </row>
        <row r="2727">
          <cell r="D2727">
            <v>887921</v>
          </cell>
          <cell r="E2727" t="str">
            <v>EUR</v>
          </cell>
          <cell r="F2727">
            <v>125.61</v>
          </cell>
          <cell r="G2727" t="str">
            <v>EUR</v>
          </cell>
          <cell r="H2727" t="e">
            <v>#VALUE!</v>
          </cell>
          <cell r="I2727" t="str">
            <v>TONTYPEK1YLW</v>
          </cell>
        </row>
        <row r="2728">
          <cell r="D2728">
            <v>887890</v>
          </cell>
          <cell r="E2728" t="str">
            <v>EUR</v>
          </cell>
          <cell r="F2728">
            <v>131.54</v>
          </cell>
          <cell r="G2728" t="str">
            <v>EUR</v>
          </cell>
          <cell r="H2728" t="e">
            <v>#VALUE!</v>
          </cell>
          <cell r="I2728" t="str">
            <v>TONTYPEL1BLA</v>
          </cell>
        </row>
        <row r="2729">
          <cell r="D2729">
            <v>887908</v>
          </cell>
          <cell r="E2729" t="str">
            <v>EUR</v>
          </cell>
          <cell r="F2729">
            <v>149.5</v>
          </cell>
          <cell r="G2729" t="str">
            <v>EUR</v>
          </cell>
          <cell r="H2729" t="e">
            <v>#VALUE!</v>
          </cell>
          <cell r="I2729" t="str">
            <v>TONTYPEL1CYN</v>
          </cell>
        </row>
        <row r="2730">
          <cell r="D2730">
            <v>887902</v>
          </cell>
          <cell r="E2730" t="str">
            <v>EUR</v>
          </cell>
          <cell r="F2730">
            <v>149.5</v>
          </cell>
          <cell r="G2730" t="str">
            <v>EUR</v>
          </cell>
          <cell r="H2730" t="e">
            <v>#VALUE!</v>
          </cell>
          <cell r="I2730" t="str">
            <v>TONTYPEL1MAG</v>
          </cell>
        </row>
        <row r="2731">
          <cell r="D2731">
            <v>887896</v>
          </cell>
          <cell r="E2731" t="str">
            <v>EUR</v>
          </cell>
          <cell r="F2731">
            <v>149.5</v>
          </cell>
          <cell r="G2731" t="str">
            <v>EUR</v>
          </cell>
          <cell r="H2731" t="e">
            <v>#VALUE!</v>
          </cell>
          <cell r="I2731" t="str">
            <v>TONTYPEL1YLW</v>
          </cell>
        </row>
        <row r="2732">
          <cell r="D2732">
            <v>410303</v>
          </cell>
          <cell r="E2732" t="str">
            <v>EUR</v>
          </cell>
          <cell r="F2732">
            <v>73.39</v>
          </cell>
          <cell r="G2732" t="str">
            <v>EUR</v>
          </cell>
          <cell r="H2732" t="e">
            <v>#VALUE!</v>
          </cell>
          <cell r="I2732" t="str">
            <v>TONTYPE185</v>
          </cell>
        </row>
        <row r="2733">
          <cell r="D2733">
            <v>885195</v>
          </cell>
          <cell r="E2733" t="str">
            <v>EUR</v>
          </cell>
          <cell r="F2733">
            <v>141.65</v>
          </cell>
          <cell r="G2733" t="e">
            <v>#N/A</v>
          </cell>
          <cell r="H2733" t="e">
            <v>#N/A</v>
          </cell>
          <cell r="I2733" t="str">
            <v>TON6205FRA</v>
          </cell>
        </row>
        <row r="2734">
          <cell r="D2734">
            <v>401092</v>
          </cell>
          <cell r="E2734" t="str">
            <v>EUR</v>
          </cell>
          <cell r="F2734">
            <v>43.4</v>
          </cell>
          <cell r="G2734" t="e">
            <v>#N/A</v>
          </cell>
          <cell r="H2734" t="e">
            <v>#N/A</v>
          </cell>
          <cell r="I2734" t="str">
            <v>1120DTONER</v>
          </cell>
        </row>
        <row r="2735">
          <cell r="D2735">
            <v>401129</v>
          </cell>
          <cell r="E2735" t="str">
            <v>EUR</v>
          </cell>
          <cell r="F2735">
            <v>56.73</v>
          </cell>
          <cell r="G2735" t="e">
            <v>#N/A</v>
          </cell>
          <cell r="H2735" t="e">
            <v>#N/A</v>
          </cell>
          <cell r="I2735" t="str">
            <v>1125DTONUK</v>
          </cell>
        </row>
        <row r="2736">
          <cell r="D2736">
            <v>888029</v>
          </cell>
          <cell r="E2736" t="str">
            <v>EUR</v>
          </cell>
          <cell r="F2736">
            <v>65.010000000000005</v>
          </cell>
          <cell r="G2736" t="str">
            <v>EUR</v>
          </cell>
          <cell r="H2736" t="e">
            <v>#VALUE!</v>
          </cell>
          <cell r="I2736" t="str">
            <v>1160WTONER</v>
          </cell>
        </row>
        <row r="2737">
          <cell r="D2737">
            <v>885122</v>
          </cell>
          <cell r="E2737" t="str">
            <v>EUR</v>
          </cell>
          <cell r="F2737">
            <v>45.24</v>
          </cell>
          <cell r="G2737" t="e">
            <v>#N/A</v>
          </cell>
          <cell r="H2737" t="e">
            <v>#N/A</v>
          </cell>
          <cell r="I2737" t="str">
            <v>1205TONERUK</v>
          </cell>
        </row>
        <row r="2738">
          <cell r="D2738">
            <v>339588</v>
          </cell>
          <cell r="E2738" t="str">
            <v>EUR</v>
          </cell>
          <cell r="F2738">
            <v>150.01</v>
          </cell>
          <cell r="G2738" t="str">
            <v>EUR</v>
          </cell>
          <cell r="H2738" t="e">
            <v>#VALUE!</v>
          </cell>
          <cell r="I2738" t="str">
            <v>1210DTONER</v>
          </cell>
        </row>
        <row r="2739">
          <cell r="D2739">
            <v>887754</v>
          </cell>
          <cell r="E2739" t="str">
            <v>EUR</v>
          </cell>
          <cell r="F2739">
            <v>39.22</v>
          </cell>
          <cell r="G2739" t="e">
            <v>#N/A</v>
          </cell>
          <cell r="H2739" t="e">
            <v>#N/A</v>
          </cell>
          <cell r="I2739" t="str">
            <v>1215TONER</v>
          </cell>
        </row>
        <row r="2740">
          <cell r="D2740">
            <v>888078</v>
          </cell>
          <cell r="E2740" t="str">
            <v>EUR</v>
          </cell>
          <cell r="F2740">
            <v>39.22</v>
          </cell>
          <cell r="G2740" t="str">
            <v>EUR</v>
          </cell>
          <cell r="H2740" t="e">
            <v>#VALUE!</v>
          </cell>
          <cell r="I2740" t="str">
            <v>1215TONERKOR</v>
          </cell>
        </row>
        <row r="2741">
          <cell r="D2741">
            <v>888087</v>
          </cell>
          <cell r="E2741" t="str">
            <v>EUR</v>
          </cell>
          <cell r="F2741">
            <v>13.03</v>
          </cell>
          <cell r="G2741" t="str">
            <v>EUR</v>
          </cell>
          <cell r="H2741" t="e">
            <v>#VALUE!</v>
          </cell>
          <cell r="I2741" t="str">
            <v>1220DTONER</v>
          </cell>
        </row>
        <row r="2742">
          <cell r="D2742">
            <v>885258</v>
          </cell>
          <cell r="E2742" t="str">
            <v>EUR</v>
          </cell>
          <cell r="F2742">
            <v>9.33</v>
          </cell>
          <cell r="G2742" t="e">
            <v>#N/A</v>
          </cell>
          <cell r="H2742" t="e">
            <v>#N/A</v>
          </cell>
          <cell r="I2742" t="str">
            <v>1250DTONER</v>
          </cell>
        </row>
        <row r="2743">
          <cell r="D2743">
            <v>411073</v>
          </cell>
          <cell r="E2743" t="str">
            <v>EUR</v>
          </cell>
          <cell r="F2743">
            <v>45.56</v>
          </cell>
          <cell r="G2743" t="str">
            <v>EUR</v>
          </cell>
          <cell r="H2743" t="e">
            <v>#VALUE!</v>
          </cell>
          <cell r="I2743" t="str">
            <v>1255DTONCHN</v>
          </cell>
        </row>
        <row r="2744">
          <cell r="D2744">
            <v>887661</v>
          </cell>
          <cell r="E2744" t="str">
            <v>EUR</v>
          </cell>
          <cell r="F2744">
            <v>25.3</v>
          </cell>
          <cell r="G2744" t="e">
            <v>#N/A</v>
          </cell>
          <cell r="H2744" t="e">
            <v>#N/A</v>
          </cell>
          <cell r="I2744" t="str">
            <v>2050TONBLAUK</v>
          </cell>
        </row>
        <row r="2745">
          <cell r="D2745">
            <v>889776</v>
          </cell>
          <cell r="E2745" t="str">
            <v>EUR</v>
          </cell>
          <cell r="F2745">
            <v>195.44</v>
          </cell>
          <cell r="G2745" t="str">
            <v>EUR</v>
          </cell>
          <cell r="H2745" t="e">
            <v>#VALUE!</v>
          </cell>
          <cell r="I2745" t="str">
            <v>2200EXTONER</v>
          </cell>
        </row>
        <row r="2746">
          <cell r="D2746">
            <v>889614</v>
          </cell>
          <cell r="E2746" t="str">
            <v>EUR</v>
          </cell>
          <cell r="F2746">
            <v>50.52</v>
          </cell>
          <cell r="G2746" t="str">
            <v>EUR</v>
          </cell>
          <cell r="H2746" t="e">
            <v>#VALUE!</v>
          </cell>
          <cell r="I2746" t="str">
            <v>2205DTONER</v>
          </cell>
        </row>
        <row r="2747">
          <cell r="D2747">
            <v>887977</v>
          </cell>
          <cell r="E2747" t="str">
            <v>EUR</v>
          </cell>
          <cell r="F2747">
            <v>75.930000000000007</v>
          </cell>
          <cell r="G2747" t="e">
            <v>#N/A</v>
          </cell>
          <cell r="H2747" t="e">
            <v>#N/A</v>
          </cell>
          <cell r="I2747" t="str">
            <v>2210DTONER</v>
          </cell>
        </row>
        <row r="2748">
          <cell r="D2748">
            <v>885229</v>
          </cell>
          <cell r="E2748" t="str">
            <v>EUR</v>
          </cell>
          <cell r="F2748">
            <v>73.7</v>
          </cell>
          <cell r="G2748" t="e">
            <v>#N/A</v>
          </cell>
          <cell r="H2748" t="e">
            <v>#N/A</v>
          </cell>
          <cell r="I2748" t="str">
            <v>2210DTONER2</v>
          </cell>
        </row>
        <row r="2749">
          <cell r="D2749">
            <v>885266</v>
          </cell>
          <cell r="E2749" t="str">
            <v>EUR</v>
          </cell>
          <cell r="F2749">
            <v>12.21</v>
          </cell>
          <cell r="G2749" t="e">
            <v>#N/A</v>
          </cell>
          <cell r="H2749" t="e">
            <v>#N/A</v>
          </cell>
          <cell r="I2749" t="str">
            <v>2220DTONFRA</v>
          </cell>
        </row>
        <row r="2750">
          <cell r="D2750">
            <v>887620</v>
          </cell>
          <cell r="E2750" t="str">
            <v>EUR</v>
          </cell>
          <cell r="F2750">
            <v>28.01</v>
          </cell>
          <cell r="G2750" t="e">
            <v>#N/A</v>
          </cell>
          <cell r="H2750" t="e">
            <v>#N/A</v>
          </cell>
          <cell r="I2750" t="str">
            <v>3000TONERUK</v>
          </cell>
        </row>
        <row r="2751">
          <cell r="D2751">
            <v>889268</v>
          </cell>
          <cell r="E2751" t="str">
            <v>EUR</v>
          </cell>
          <cell r="F2751">
            <v>34.42</v>
          </cell>
          <cell r="G2751" t="str">
            <v>EUR</v>
          </cell>
          <cell r="H2751" t="e">
            <v>#VALUE!</v>
          </cell>
          <cell r="I2751" t="str">
            <v>310DEV</v>
          </cell>
        </row>
        <row r="2752">
          <cell r="D2752">
            <v>887612</v>
          </cell>
          <cell r="E2752" t="str">
            <v>EUR</v>
          </cell>
          <cell r="F2752">
            <v>18.05</v>
          </cell>
          <cell r="G2752" t="e">
            <v>#N/A</v>
          </cell>
          <cell r="H2752" t="e">
            <v>#N/A</v>
          </cell>
          <cell r="I2752" t="str">
            <v>310TONERUK</v>
          </cell>
        </row>
        <row r="2753">
          <cell r="D2753">
            <v>887681</v>
          </cell>
          <cell r="E2753" t="str">
            <v>EUR</v>
          </cell>
          <cell r="F2753">
            <v>18.05</v>
          </cell>
          <cell r="G2753" t="e">
            <v>#N/A</v>
          </cell>
          <cell r="H2753" t="e">
            <v>#N/A</v>
          </cell>
          <cell r="I2753" t="str">
            <v>320TONERUK</v>
          </cell>
        </row>
        <row r="2754">
          <cell r="D2754">
            <v>885180</v>
          </cell>
          <cell r="E2754" t="str">
            <v>EUR</v>
          </cell>
          <cell r="F2754">
            <v>111.12</v>
          </cell>
          <cell r="G2754" t="e">
            <v>#N/A</v>
          </cell>
          <cell r="H2754" t="e">
            <v>#N/A</v>
          </cell>
          <cell r="I2754" t="str">
            <v>3200DTONUK</v>
          </cell>
        </row>
        <row r="2755">
          <cell r="D2755">
            <v>888063</v>
          </cell>
          <cell r="E2755" t="str">
            <v>EUR</v>
          </cell>
          <cell r="F2755">
            <v>21.92</v>
          </cell>
          <cell r="G2755" t="e">
            <v>#N/A</v>
          </cell>
          <cell r="H2755" t="e">
            <v>#N/A</v>
          </cell>
          <cell r="I2755" t="str">
            <v>3205DTONER</v>
          </cell>
        </row>
        <row r="2756">
          <cell r="D2756">
            <v>885251</v>
          </cell>
          <cell r="E2756" t="str">
            <v>EUR</v>
          </cell>
          <cell r="F2756">
            <v>20.74</v>
          </cell>
          <cell r="G2756" t="e">
            <v>#N/A</v>
          </cell>
          <cell r="H2756" t="e">
            <v>#N/A</v>
          </cell>
          <cell r="I2756" t="str">
            <v>3205DTONFRA</v>
          </cell>
        </row>
        <row r="2757">
          <cell r="D2757">
            <v>889415</v>
          </cell>
          <cell r="E2757" t="str">
            <v>EUR</v>
          </cell>
          <cell r="F2757">
            <v>35.96</v>
          </cell>
          <cell r="G2757" t="e">
            <v>#N/A</v>
          </cell>
          <cell r="H2757" t="e">
            <v>#N/A</v>
          </cell>
          <cell r="I2757" t="str">
            <v>3300DEVUSA</v>
          </cell>
        </row>
        <row r="2758">
          <cell r="D2758">
            <v>889411</v>
          </cell>
          <cell r="E2758" t="str">
            <v>EUR</v>
          </cell>
          <cell r="F2758">
            <v>43.24</v>
          </cell>
          <cell r="G2758" t="e">
            <v>#N/A</v>
          </cell>
          <cell r="H2758" t="e">
            <v>#N/A</v>
          </cell>
          <cell r="I2758" t="str">
            <v>3300TONERUK</v>
          </cell>
        </row>
        <row r="2759">
          <cell r="D2759">
            <v>887133</v>
          </cell>
          <cell r="E2759" t="str">
            <v>EUR</v>
          </cell>
          <cell r="F2759">
            <v>51.95</v>
          </cell>
          <cell r="G2759" t="e">
            <v>#N/A</v>
          </cell>
          <cell r="H2759" t="e">
            <v>#N/A</v>
          </cell>
          <cell r="I2759" t="str">
            <v>4000DEVUSA</v>
          </cell>
        </row>
        <row r="2760">
          <cell r="D2760">
            <v>887621</v>
          </cell>
          <cell r="E2760" t="str">
            <v>EUR</v>
          </cell>
          <cell r="F2760">
            <v>36.85</v>
          </cell>
          <cell r="G2760" t="e">
            <v>#N/A</v>
          </cell>
          <cell r="H2760" t="e">
            <v>#N/A</v>
          </cell>
          <cell r="I2760" t="str">
            <v>4000TONERUK</v>
          </cell>
        </row>
        <row r="2761">
          <cell r="D2761">
            <v>887564</v>
          </cell>
          <cell r="E2761" t="str">
            <v>EUR</v>
          </cell>
          <cell r="F2761">
            <v>32.520000000000003</v>
          </cell>
          <cell r="G2761" t="str">
            <v>EUR</v>
          </cell>
          <cell r="H2761" t="e">
            <v>#VALUE!</v>
          </cell>
          <cell r="I2761" t="str">
            <v>4418DEVBLA</v>
          </cell>
        </row>
        <row r="2762">
          <cell r="D2762">
            <v>887566</v>
          </cell>
          <cell r="E2762" t="str">
            <v>EUR</v>
          </cell>
          <cell r="F2762">
            <v>67.45</v>
          </cell>
          <cell r="G2762" t="str">
            <v>EUR</v>
          </cell>
          <cell r="H2762" t="e">
            <v>#VALUE!</v>
          </cell>
          <cell r="I2762" t="str">
            <v>4418DEVBLU</v>
          </cell>
        </row>
        <row r="2763">
          <cell r="D2763">
            <v>887567</v>
          </cell>
          <cell r="E2763" t="str">
            <v>EUR</v>
          </cell>
          <cell r="F2763">
            <v>67.45</v>
          </cell>
          <cell r="G2763" t="str">
            <v>EUR</v>
          </cell>
          <cell r="H2763" t="e">
            <v>#VALUE!</v>
          </cell>
          <cell r="I2763" t="str">
            <v>4418DEVGRE</v>
          </cell>
        </row>
        <row r="2764">
          <cell r="D2764">
            <v>887565</v>
          </cell>
          <cell r="E2764" t="str">
            <v>EUR</v>
          </cell>
          <cell r="F2764">
            <v>64.11</v>
          </cell>
          <cell r="G2764" t="str">
            <v>EUR</v>
          </cell>
          <cell r="H2764" t="e">
            <v>#VALUE!</v>
          </cell>
          <cell r="I2764" t="str">
            <v>4418DEVRED</v>
          </cell>
        </row>
        <row r="2765">
          <cell r="D2765">
            <v>887610</v>
          </cell>
          <cell r="E2765" t="str">
            <v>EUR</v>
          </cell>
          <cell r="F2765">
            <v>37.83</v>
          </cell>
          <cell r="G2765" t="e">
            <v>#N/A</v>
          </cell>
          <cell r="H2765" t="e">
            <v>#N/A</v>
          </cell>
          <cell r="I2765" t="str">
            <v>4418TONBLAUK</v>
          </cell>
        </row>
        <row r="2766">
          <cell r="D2766">
            <v>887530</v>
          </cell>
          <cell r="E2766" t="str">
            <v>EUR</v>
          </cell>
          <cell r="F2766">
            <v>45.58</v>
          </cell>
          <cell r="G2766" t="str">
            <v>EUR</v>
          </cell>
          <cell r="H2766" t="e">
            <v>#VALUE!</v>
          </cell>
          <cell r="I2766" t="str">
            <v>4418TONERBLU</v>
          </cell>
        </row>
        <row r="2767">
          <cell r="D2767">
            <v>887533</v>
          </cell>
          <cell r="E2767" t="str">
            <v>EUR</v>
          </cell>
          <cell r="F2767">
            <v>45.58</v>
          </cell>
          <cell r="G2767" t="str">
            <v>EUR</v>
          </cell>
          <cell r="H2767" t="e">
            <v>#VALUE!</v>
          </cell>
          <cell r="I2767" t="str">
            <v>4418TONERGRE</v>
          </cell>
        </row>
        <row r="2768">
          <cell r="D2768">
            <v>887527</v>
          </cell>
          <cell r="E2768" t="str">
            <v>EUR</v>
          </cell>
          <cell r="F2768">
            <v>45.58</v>
          </cell>
          <cell r="G2768" t="str">
            <v>EUR</v>
          </cell>
          <cell r="H2768" t="e">
            <v>#VALUE!</v>
          </cell>
          <cell r="I2768" t="str">
            <v>4418TONERRED</v>
          </cell>
        </row>
        <row r="2769">
          <cell r="D2769">
            <v>887459</v>
          </cell>
          <cell r="E2769" t="str">
            <v>EUR</v>
          </cell>
          <cell r="F2769">
            <v>136.13</v>
          </cell>
          <cell r="G2769" t="str">
            <v>EUR</v>
          </cell>
          <cell r="H2769" t="e">
            <v>#VALUE!</v>
          </cell>
          <cell r="I2769" t="str">
            <v>4460TONERBLA</v>
          </cell>
        </row>
        <row r="2770">
          <cell r="D2770">
            <v>887453</v>
          </cell>
          <cell r="E2770" t="str">
            <v>EUR</v>
          </cell>
          <cell r="F2770">
            <v>39.21</v>
          </cell>
          <cell r="G2770" t="str">
            <v>EUR</v>
          </cell>
          <cell r="H2770" t="e">
            <v>#VALUE!</v>
          </cell>
          <cell r="I2770" t="str">
            <v>4460TONERBLU</v>
          </cell>
        </row>
        <row r="2771">
          <cell r="D2771">
            <v>887454</v>
          </cell>
          <cell r="E2771" t="str">
            <v>EUR</v>
          </cell>
          <cell r="F2771">
            <v>39.21</v>
          </cell>
          <cell r="G2771" t="str">
            <v>EUR</v>
          </cell>
          <cell r="H2771" t="e">
            <v>#VALUE!</v>
          </cell>
          <cell r="I2771" t="str">
            <v>4460TONERGRE</v>
          </cell>
        </row>
        <row r="2772">
          <cell r="D2772">
            <v>887452</v>
          </cell>
          <cell r="E2772" t="str">
            <v>EUR</v>
          </cell>
          <cell r="F2772">
            <v>39.21</v>
          </cell>
          <cell r="G2772" t="str">
            <v>EUR</v>
          </cell>
          <cell r="H2772" t="e">
            <v>#VALUE!</v>
          </cell>
          <cell r="I2772" t="str">
            <v>4460TONERRED</v>
          </cell>
        </row>
        <row r="2773">
          <cell r="D2773">
            <v>889490</v>
          </cell>
          <cell r="E2773" t="str">
            <v>EUR</v>
          </cell>
          <cell r="F2773">
            <v>31.21</v>
          </cell>
          <cell r="G2773" t="e">
            <v>#N/A</v>
          </cell>
          <cell r="H2773" t="e">
            <v>#N/A</v>
          </cell>
          <cell r="I2773" t="str">
            <v>450TONERUK</v>
          </cell>
        </row>
        <row r="2774">
          <cell r="D2774">
            <v>887622</v>
          </cell>
          <cell r="E2774" t="str">
            <v>EUR</v>
          </cell>
          <cell r="F2774">
            <v>33.9</v>
          </cell>
          <cell r="G2774" t="e">
            <v>#N/A</v>
          </cell>
          <cell r="H2774" t="e">
            <v>#N/A</v>
          </cell>
          <cell r="I2774" t="str">
            <v>5000TONERUK</v>
          </cell>
        </row>
        <row r="2775">
          <cell r="D2775">
            <v>887655</v>
          </cell>
          <cell r="E2775" t="str">
            <v>EUR</v>
          </cell>
          <cell r="F2775">
            <v>56.5</v>
          </cell>
          <cell r="G2775" t="e">
            <v>#N/A</v>
          </cell>
          <cell r="H2775" t="e">
            <v>#N/A</v>
          </cell>
          <cell r="I2775" t="str">
            <v>5010TONBLUK</v>
          </cell>
        </row>
        <row r="2776">
          <cell r="D2776">
            <v>887616</v>
          </cell>
          <cell r="E2776" t="str">
            <v>EUR</v>
          </cell>
          <cell r="F2776">
            <v>37.54</v>
          </cell>
          <cell r="G2776" t="e">
            <v>#N/A</v>
          </cell>
          <cell r="H2776" t="e">
            <v>#N/A</v>
          </cell>
          <cell r="I2776" t="str">
            <v>510TONBLAUK</v>
          </cell>
        </row>
        <row r="2777">
          <cell r="D2777">
            <v>889283</v>
          </cell>
          <cell r="E2777" t="str">
            <v>EUR</v>
          </cell>
          <cell r="F2777">
            <v>44.42</v>
          </cell>
          <cell r="G2777" t="str">
            <v>EUR</v>
          </cell>
          <cell r="H2777" t="e">
            <v>#VALUE!</v>
          </cell>
          <cell r="I2777" t="str">
            <v>510TONERBLU</v>
          </cell>
        </row>
        <row r="2778">
          <cell r="D2778">
            <v>889286</v>
          </cell>
          <cell r="E2778" t="str">
            <v>EUR</v>
          </cell>
          <cell r="F2778">
            <v>44.42</v>
          </cell>
          <cell r="G2778" t="str">
            <v>EUR</v>
          </cell>
          <cell r="H2778" t="e">
            <v>#VALUE!</v>
          </cell>
          <cell r="I2778" t="str">
            <v>510TONERGRE</v>
          </cell>
        </row>
        <row r="2779">
          <cell r="D2779">
            <v>889280</v>
          </cell>
          <cell r="E2779" t="str">
            <v>EUR</v>
          </cell>
          <cell r="F2779">
            <v>44.42</v>
          </cell>
          <cell r="G2779" t="str">
            <v>EUR</v>
          </cell>
          <cell r="H2779" t="e">
            <v>#VALUE!</v>
          </cell>
          <cell r="I2779" t="str">
            <v>510TONERRED</v>
          </cell>
        </row>
        <row r="2780">
          <cell r="D2780">
            <v>885190</v>
          </cell>
          <cell r="E2780" t="str">
            <v>EUR</v>
          </cell>
          <cell r="F2780">
            <v>117.3</v>
          </cell>
          <cell r="G2780" t="e">
            <v>#N/A</v>
          </cell>
          <cell r="H2780" t="e">
            <v>#N/A</v>
          </cell>
          <cell r="I2780" t="str">
            <v>5200DTONFRA</v>
          </cell>
        </row>
        <row r="2781">
          <cell r="D2781">
            <v>887995</v>
          </cell>
          <cell r="E2781" t="str">
            <v>EUR</v>
          </cell>
          <cell r="F2781">
            <v>130.72</v>
          </cell>
          <cell r="G2781" t="e">
            <v>#N/A</v>
          </cell>
          <cell r="H2781" t="e">
            <v>#N/A</v>
          </cell>
          <cell r="I2781" t="str">
            <v>5205DTONER</v>
          </cell>
        </row>
        <row r="2782">
          <cell r="D2782">
            <v>885241</v>
          </cell>
          <cell r="E2782" t="str">
            <v>EUR</v>
          </cell>
          <cell r="F2782">
            <v>123.32</v>
          </cell>
          <cell r="G2782" t="e">
            <v>#N/A</v>
          </cell>
          <cell r="H2782" t="e">
            <v>#N/A</v>
          </cell>
          <cell r="I2782" t="str">
            <v>5205DTONER2</v>
          </cell>
        </row>
        <row r="2783">
          <cell r="D2783">
            <v>887642</v>
          </cell>
          <cell r="E2783" t="str">
            <v>EUR</v>
          </cell>
          <cell r="F2783">
            <v>113.22</v>
          </cell>
          <cell r="G2783" t="e">
            <v>#N/A</v>
          </cell>
          <cell r="H2783" t="e">
            <v>#N/A</v>
          </cell>
          <cell r="I2783" t="str">
            <v>610TONERUK</v>
          </cell>
        </row>
        <row r="2784">
          <cell r="D2784">
            <v>885274</v>
          </cell>
          <cell r="E2784" t="str">
            <v>EUR</v>
          </cell>
          <cell r="F2784">
            <v>31.58</v>
          </cell>
          <cell r="G2784" t="e">
            <v>#N/A</v>
          </cell>
          <cell r="H2784" t="e">
            <v>#N/A</v>
          </cell>
          <cell r="I2784" t="str">
            <v>6210DTONER</v>
          </cell>
        </row>
        <row r="2785">
          <cell r="D2785">
            <v>887576</v>
          </cell>
          <cell r="E2785" t="str">
            <v>EUR</v>
          </cell>
          <cell r="F2785">
            <v>67.430000000000007</v>
          </cell>
          <cell r="G2785" t="str">
            <v>EUR</v>
          </cell>
          <cell r="H2785" t="e">
            <v>#VALUE!</v>
          </cell>
          <cell r="I2785" t="str">
            <v>670DEV</v>
          </cell>
        </row>
        <row r="2786">
          <cell r="D2786">
            <v>887571</v>
          </cell>
          <cell r="E2786" t="str">
            <v>EUR</v>
          </cell>
          <cell r="F2786">
            <v>47.81</v>
          </cell>
          <cell r="G2786" t="e">
            <v>#N/A</v>
          </cell>
          <cell r="H2786" t="e">
            <v>#N/A</v>
          </cell>
          <cell r="I2786" t="str">
            <v>670TONERUSA</v>
          </cell>
        </row>
        <row r="2787">
          <cell r="D2787">
            <v>887656</v>
          </cell>
          <cell r="E2787" t="str">
            <v>EUR</v>
          </cell>
          <cell r="F2787">
            <v>69.62</v>
          </cell>
          <cell r="G2787" t="e">
            <v>#N/A</v>
          </cell>
          <cell r="H2787" t="e">
            <v>#N/A</v>
          </cell>
          <cell r="I2787" t="str">
            <v>7770TONERUK</v>
          </cell>
        </row>
        <row r="2788">
          <cell r="D2788">
            <v>887447</v>
          </cell>
          <cell r="E2788" t="str">
            <v>EUR</v>
          </cell>
          <cell r="F2788">
            <v>495.57</v>
          </cell>
          <cell r="G2788" t="str">
            <v>EUR</v>
          </cell>
          <cell r="H2788" t="e">
            <v>#VALUE!</v>
          </cell>
          <cell r="I2788" t="str">
            <v>800TONERBLA</v>
          </cell>
        </row>
        <row r="2789">
          <cell r="D2789">
            <v>889553</v>
          </cell>
          <cell r="E2789" t="str">
            <v>EUR</v>
          </cell>
          <cell r="F2789">
            <v>32.01</v>
          </cell>
          <cell r="G2789" t="str">
            <v>EUR</v>
          </cell>
          <cell r="H2789" t="e">
            <v>#VALUE!</v>
          </cell>
          <cell r="I2789" t="str">
            <v>8015DEVBLA</v>
          </cell>
        </row>
        <row r="2790">
          <cell r="D2790">
            <v>889562</v>
          </cell>
          <cell r="E2790" t="str">
            <v>EUR</v>
          </cell>
          <cell r="F2790">
            <v>32.01</v>
          </cell>
          <cell r="G2790" t="str">
            <v>EUR</v>
          </cell>
          <cell r="H2790" t="e">
            <v>#VALUE!</v>
          </cell>
          <cell r="I2790" t="str">
            <v>8015DEVCYN</v>
          </cell>
        </row>
        <row r="2791">
          <cell r="D2791">
            <v>889556</v>
          </cell>
          <cell r="E2791" t="str">
            <v>EUR</v>
          </cell>
          <cell r="F2791">
            <v>32.01</v>
          </cell>
          <cell r="G2791" t="str">
            <v>EUR</v>
          </cell>
          <cell r="H2791" t="e">
            <v>#VALUE!</v>
          </cell>
          <cell r="I2791" t="str">
            <v>8015DEVYLW</v>
          </cell>
        </row>
        <row r="2792">
          <cell r="D2792">
            <v>889541</v>
          </cell>
          <cell r="E2792" t="str">
            <v>EUR</v>
          </cell>
          <cell r="F2792">
            <v>182.98</v>
          </cell>
          <cell r="G2792" t="str">
            <v>EUR</v>
          </cell>
          <cell r="H2792" t="e">
            <v>#VALUE!</v>
          </cell>
          <cell r="I2792" t="str">
            <v>8015TONBLA</v>
          </cell>
        </row>
        <row r="2793">
          <cell r="D2793">
            <v>889550</v>
          </cell>
          <cell r="E2793" t="str">
            <v>EUR</v>
          </cell>
          <cell r="F2793">
            <v>182.98</v>
          </cell>
          <cell r="G2793" t="str">
            <v>EUR</v>
          </cell>
          <cell r="H2793" t="e">
            <v>#VALUE!</v>
          </cell>
          <cell r="I2793" t="str">
            <v>8015TONCYN</v>
          </cell>
        </row>
        <row r="2794">
          <cell r="D2794">
            <v>889547</v>
          </cell>
          <cell r="E2794" t="str">
            <v>EUR</v>
          </cell>
          <cell r="F2794">
            <v>182.98</v>
          </cell>
          <cell r="G2794" t="str">
            <v>EUR</v>
          </cell>
          <cell r="H2794" t="e">
            <v>#VALUE!</v>
          </cell>
          <cell r="I2794" t="str">
            <v>8015TONMAG</v>
          </cell>
        </row>
        <row r="2795">
          <cell r="D2795">
            <v>889544</v>
          </cell>
          <cell r="E2795" t="str">
            <v>EUR</v>
          </cell>
          <cell r="F2795">
            <v>182.98</v>
          </cell>
          <cell r="G2795" t="str">
            <v>EUR</v>
          </cell>
          <cell r="H2795" t="e">
            <v>#VALUE!</v>
          </cell>
          <cell r="I2795" t="str">
            <v>8015TONYLW</v>
          </cell>
        </row>
        <row r="2796">
          <cell r="D2796">
            <v>887188</v>
          </cell>
          <cell r="E2796" t="str">
            <v>EUR</v>
          </cell>
          <cell r="F2796">
            <v>162.24</v>
          </cell>
          <cell r="G2796" t="str">
            <v>EUR</v>
          </cell>
          <cell r="H2796" t="e">
            <v>#VALUE!</v>
          </cell>
          <cell r="I2796" t="str">
            <v>820DEV</v>
          </cell>
        </row>
        <row r="2797">
          <cell r="D2797">
            <v>888009</v>
          </cell>
          <cell r="E2797" t="str">
            <v>EUR</v>
          </cell>
          <cell r="F2797">
            <v>139.9</v>
          </cell>
          <cell r="G2797" t="str">
            <v>EUR</v>
          </cell>
          <cell r="H2797" t="e">
            <v>#VALUE!</v>
          </cell>
          <cell r="I2797" t="str">
            <v>8200DTONER</v>
          </cell>
        </row>
        <row r="2798">
          <cell r="D2798">
            <v>888157</v>
          </cell>
          <cell r="E2798" t="str">
            <v>EUR</v>
          </cell>
          <cell r="F2798">
            <v>36.28</v>
          </cell>
          <cell r="G2798" t="e">
            <v>#N/A</v>
          </cell>
          <cell r="H2798" t="e">
            <v>#N/A</v>
          </cell>
          <cell r="I2798" t="str">
            <v>8205DTONER</v>
          </cell>
        </row>
        <row r="2799">
          <cell r="D2799">
            <v>885344</v>
          </cell>
          <cell r="E2799" t="str">
            <v>EUR</v>
          </cell>
          <cell r="F2799">
            <v>34.229999999999997</v>
          </cell>
          <cell r="G2799" t="e">
            <v>#N/A</v>
          </cell>
          <cell r="H2799" t="e">
            <v>#N/A</v>
          </cell>
          <cell r="I2799" t="str">
            <v>8205DTONFRA</v>
          </cell>
        </row>
        <row r="2800">
          <cell r="D2800">
            <v>889580</v>
          </cell>
          <cell r="E2800" t="str">
            <v>EUR</v>
          </cell>
          <cell r="F2800">
            <v>145.87</v>
          </cell>
          <cell r="G2800" t="str">
            <v>EUR</v>
          </cell>
          <cell r="H2800" t="e">
            <v>#VALUE!</v>
          </cell>
          <cell r="I2800" t="str">
            <v>8800DEVBLA</v>
          </cell>
        </row>
        <row r="2801">
          <cell r="D2801">
            <v>887695</v>
          </cell>
          <cell r="E2801" t="str">
            <v>EUR</v>
          </cell>
          <cell r="F2801">
            <v>238.17</v>
          </cell>
          <cell r="G2801" t="e">
            <v>#N/A</v>
          </cell>
          <cell r="H2801" t="e">
            <v>#N/A</v>
          </cell>
          <cell r="I2801" t="str">
            <v>8800TONERUK</v>
          </cell>
        </row>
        <row r="2802">
          <cell r="D2802">
            <v>209890</v>
          </cell>
          <cell r="E2802" t="str">
            <v>EUR</v>
          </cell>
          <cell r="F2802">
            <v>104.21</v>
          </cell>
          <cell r="G2802" t="str">
            <v>EUR</v>
          </cell>
          <cell r="H2802" t="e">
            <v>#VALUE!</v>
          </cell>
          <cell r="I2802" t="str">
            <v>AF251MAST</v>
          </cell>
        </row>
        <row r="2803">
          <cell r="D2803">
            <v>400398</v>
          </cell>
          <cell r="E2803" t="str">
            <v>EUR</v>
          </cell>
          <cell r="F2803">
            <v>57.15</v>
          </cell>
          <cell r="G2803" t="str">
            <v>EUR</v>
          </cell>
          <cell r="H2803" t="e">
            <v>#VALUE!</v>
          </cell>
          <cell r="I2803" t="str">
            <v>AP1400TONER</v>
          </cell>
        </row>
        <row r="2804">
          <cell r="D2804">
            <v>923961</v>
          </cell>
          <cell r="E2804" t="str">
            <v>EUR</v>
          </cell>
          <cell r="F2804">
            <v>107.99</v>
          </cell>
          <cell r="G2804" t="e">
            <v>#N/A</v>
          </cell>
          <cell r="H2804" t="e">
            <v>#N/A</v>
          </cell>
          <cell r="I2804" t="str">
            <v>AP1610TONER</v>
          </cell>
        </row>
        <row r="2805">
          <cell r="D2805">
            <v>400679</v>
          </cell>
          <cell r="E2805" t="str">
            <v>EUR</v>
          </cell>
          <cell r="F2805">
            <v>143.82</v>
          </cell>
          <cell r="G2805" t="e">
            <v>#N/A</v>
          </cell>
          <cell r="H2805" t="e">
            <v>#N/A</v>
          </cell>
          <cell r="I2805" t="str">
            <v>AP200TONCHN</v>
          </cell>
        </row>
        <row r="2806">
          <cell r="D2806">
            <v>400618</v>
          </cell>
          <cell r="E2806" t="str">
            <v>EUR</v>
          </cell>
          <cell r="F2806">
            <v>147.27000000000001</v>
          </cell>
          <cell r="G2806" t="e">
            <v>#N/A</v>
          </cell>
          <cell r="H2806" t="e">
            <v>#N/A</v>
          </cell>
          <cell r="I2806" t="str">
            <v>AP200TONER</v>
          </cell>
        </row>
        <row r="2807">
          <cell r="D2807">
            <v>400395</v>
          </cell>
          <cell r="E2807" t="str">
            <v>EUR</v>
          </cell>
          <cell r="F2807">
            <v>95.43</v>
          </cell>
          <cell r="G2807" t="str">
            <v>EUR</v>
          </cell>
          <cell r="H2807" t="e">
            <v>#VALUE!</v>
          </cell>
          <cell r="I2807" t="str">
            <v>AP2000TONER</v>
          </cell>
        </row>
        <row r="2808">
          <cell r="D2808">
            <v>400321</v>
          </cell>
          <cell r="E2808" t="str">
            <v>EUR</v>
          </cell>
          <cell r="F2808">
            <v>25.22</v>
          </cell>
          <cell r="G2808" t="str">
            <v>EUR</v>
          </cell>
          <cell r="H2808" t="e">
            <v>#VALUE!</v>
          </cell>
          <cell r="I2808" t="str">
            <v>AP204OIL</v>
          </cell>
        </row>
        <row r="2809">
          <cell r="D2809">
            <v>400320</v>
          </cell>
          <cell r="E2809" t="str">
            <v>EUR</v>
          </cell>
          <cell r="F2809">
            <v>136.46</v>
          </cell>
          <cell r="G2809" t="str">
            <v>EUR</v>
          </cell>
          <cell r="H2809" t="e">
            <v>#VALUE!</v>
          </cell>
          <cell r="I2809" t="str">
            <v>AP204PCU</v>
          </cell>
        </row>
        <row r="2810">
          <cell r="D2810">
            <v>400316</v>
          </cell>
          <cell r="E2810" t="str">
            <v>EUR</v>
          </cell>
          <cell r="F2810">
            <v>63.16</v>
          </cell>
          <cell r="G2810" t="str">
            <v>EUR</v>
          </cell>
          <cell r="H2810" t="e">
            <v>#VALUE!</v>
          </cell>
          <cell r="I2810" t="str">
            <v>AP204TONBLA</v>
          </cell>
        </row>
        <row r="2811">
          <cell r="D2811">
            <v>400317</v>
          </cell>
          <cell r="E2811" t="str">
            <v>EUR</v>
          </cell>
          <cell r="F2811">
            <v>56.38</v>
          </cell>
          <cell r="G2811" t="str">
            <v>EUR</v>
          </cell>
          <cell r="H2811" t="e">
            <v>#VALUE!</v>
          </cell>
          <cell r="I2811" t="str">
            <v>AP204TONCYN</v>
          </cell>
        </row>
        <row r="2812">
          <cell r="D2812">
            <v>400318</v>
          </cell>
          <cell r="E2812" t="str">
            <v>EUR</v>
          </cell>
          <cell r="F2812">
            <v>56.38</v>
          </cell>
          <cell r="G2812" t="str">
            <v>EUR</v>
          </cell>
          <cell r="H2812" t="e">
            <v>#VALUE!</v>
          </cell>
          <cell r="I2812" t="str">
            <v>AP204TONMAG</v>
          </cell>
        </row>
        <row r="2813">
          <cell r="D2813">
            <v>400319</v>
          </cell>
          <cell r="E2813" t="str">
            <v>EUR</v>
          </cell>
          <cell r="F2813">
            <v>56.38</v>
          </cell>
          <cell r="G2813" t="str">
            <v>EUR</v>
          </cell>
          <cell r="H2813" t="e">
            <v>#VALUE!</v>
          </cell>
          <cell r="I2813" t="str">
            <v>AP204TONYLW</v>
          </cell>
        </row>
        <row r="2814">
          <cell r="D2814">
            <v>400322</v>
          </cell>
          <cell r="E2814" t="str">
            <v>EUR</v>
          </cell>
          <cell r="F2814">
            <v>8.2799999999999994</v>
          </cell>
          <cell r="G2814" t="str">
            <v>EUR</v>
          </cell>
          <cell r="H2814" t="e">
            <v>#VALUE!</v>
          </cell>
          <cell r="I2814" t="str">
            <v>AP204WASTE</v>
          </cell>
        </row>
        <row r="2815">
          <cell r="D2815">
            <v>400514</v>
          </cell>
          <cell r="E2815" t="str">
            <v>EUR</v>
          </cell>
          <cell r="F2815">
            <v>25.32</v>
          </cell>
          <cell r="G2815" t="str">
            <v>EUR</v>
          </cell>
          <cell r="H2815" t="e">
            <v>#VALUE!</v>
          </cell>
          <cell r="I2815" t="str">
            <v>AP206FUSER</v>
          </cell>
        </row>
        <row r="2816">
          <cell r="D2816">
            <v>400511</v>
          </cell>
          <cell r="E2816" t="str">
            <v>EUR</v>
          </cell>
          <cell r="F2816">
            <v>151.63</v>
          </cell>
          <cell r="G2816" t="e">
            <v>#N/A</v>
          </cell>
          <cell r="H2816" t="e">
            <v>#N/A</v>
          </cell>
          <cell r="I2816" t="str">
            <v>AP206PCU</v>
          </cell>
        </row>
        <row r="2817">
          <cell r="D2817">
            <v>400507</v>
          </cell>
          <cell r="E2817" t="str">
            <v>EUR</v>
          </cell>
          <cell r="F2817">
            <v>73.680000000000007</v>
          </cell>
          <cell r="G2817" t="str">
            <v>EUR</v>
          </cell>
          <cell r="H2817" t="e">
            <v>#VALUE!</v>
          </cell>
          <cell r="I2817" t="str">
            <v>AP206TONBLA</v>
          </cell>
        </row>
        <row r="2818">
          <cell r="D2818">
            <v>400508</v>
          </cell>
          <cell r="E2818" t="str">
            <v>EUR</v>
          </cell>
          <cell r="F2818">
            <v>69.739999999999995</v>
          </cell>
          <cell r="G2818" t="str">
            <v>EUR</v>
          </cell>
          <cell r="H2818" t="e">
            <v>#VALUE!</v>
          </cell>
          <cell r="I2818" t="str">
            <v>AP206TONCYN</v>
          </cell>
        </row>
        <row r="2819">
          <cell r="D2819">
            <v>400509</v>
          </cell>
          <cell r="E2819" t="str">
            <v>EUR</v>
          </cell>
          <cell r="F2819">
            <v>69.739999999999995</v>
          </cell>
          <cell r="G2819" t="str">
            <v>EUR</v>
          </cell>
          <cell r="H2819" t="e">
            <v>#VALUE!</v>
          </cell>
          <cell r="I2819" t="str">
            <v>AP206TONMAG</v>
          </cell>
        </row>
        <row r="2820">
          <cell r="D2820">
            <v>400510</v>
          </cell>
          <cell r="E2820" t="str">
            <v>EUR</v>
          </cell>
          <cell r="F2820">
            <v>69.739999999999995</v>
          </cell>
          <cell r="G2820" t="str">
            <v>EUR</v>
          </cell>
          <cell r="H2820" t="e">
            <v>#VALUE!</v>
          </cell>
          <cell r="I2820" t="str">
            <v>AP206TONYLW</v>
          </cell>
        </row>
        <row r="2821">
          <cell r="D2821">
            <v>400513</v>
          </cell>
          <cell r="E2821" t="str">
            <v>EUR</v>
          </cell>
          <cell r="F2821">
            <v>8.48</v>
          </cell>
          <cell r="G2821" t="str">
            <v>EUR</v>
          </cell>
          <cell r="H2821" t="e">
            <v>#VALUE!</v>
          </cell>
          <cell r="I2821" t="str">
            <v>AP206WASTE</v>
          </cell>
        </row>
        <row r="2822">
          <cell r="D2822">
            <v>400760</v>
          </cell>
          <cell r="E2822" t="str">
            <v>EUR</v>
          </cell>
          <cell r="F2822">
            <v>147.27000000000001</v>
          </cell>
          <cell r="G2822" t="str">
            <v>EUR</v>
          </cell>
          <cell r="H2822" t="e">
            <v>#VALUE!</v>
          </cell>
          <cell r="I2822" t="str">
            <v>AP215TONCHN</v>
          </cell>
        </row>
        <row r="2823">
          <cell r="D2823">
            <v>400342</v>
          </cell>
          <cell r="E2823" t="str">
            <v>EUR</v>
          </cell>
          <cell r="F2823">
            <v>17.45</v>
          </cell>
          <cell r="G2823" t="e">
            <v>#N/A</v>
          </cell>
          <cell r="H2823" t="e">
            <v>#N/A</v>
          </cell>
          <cell r="I2823" t="str">
            <v>AP305OIL</v>
          </cell>
        </row>
        <row r="2824">
          <cell r="D2824">
            <v>400344</v>
          </cell>
          <cell r="E2824" t="str">
            <v>EUR</v>
          </cell>
          <cell r="F2824">
            <v>231.68</v>
          </cell>
          <cell r="G2824" t="str">
            <v>EUR</v>
          </cell>
          <cell r="H2824" t="e">
            <v>#VALUE!</v>
          </cell>
          <cell r="I2824" t="str">
            <v>AP305PCU</v>
          </cell>
        </row>
        <row r="2825">
          <cell r="D2825">
            <v>400338</v>
          </cell>
          <cell r="E2825" t="str">
            <v>EUR</v>
          </cell>
          <cell r="F2825">
            <v>81</v>
          </cell>
          <cell r="G2825" t="e">
            <v>#N/A</v>
          </cell>
          <cell r="H2825" t="e">
            <v>#N/A</v>
          </cell>
          <cell r="I2825" t="str">
            <v>AP305TONBLA</v>
          </cell>
        </row>
        <row r="2826">
          <cell r="D2826">
            <v>400339</v>
          </cell>
          <cell r="E2826" t="str">
            <v>EUR</v>
          </cell>
          <cell r="F2826">
            <v>100</v>
          </cell>
          <cell r="G2826" t="e">
            <v>#N/A</v>
          </cell>
          <cell r="H2826" t="e">
            <v>#N/A</v>
          </cell>
          <cell r="I2826" t="str">
            <v>AP305TONCYN</v>
          </cell>
        </row>
        <row r="2827">
          <cell r="D2827">
            <v>400340</v>
          </cell>
          <cell r="E2827" t="str">
            <v>EUR</v>
          </cell>
          <cell r="F2827">
            <v>100</v>
          </cell>
          <cell r="G2827" t="e">
            <v>#N/A</v>
          </cell>
          <cell r="H2827" t="e">
            <v>#N/A</v>
          </cell>
          <cell r="I2827" t="str">
            <v>AP305TONMAG</v>
          </cell>
        </row>
        <row r="2828">
          <cell r="D2828">
            <v>400341</v>
          </cell>
          <cell r="E2828" t="str">
            <v>EUR</v>
          </cell>
          <cell r="F2828">
            <v>100</v>
          </cell>
          <cell r="G2828" t="e">
            <v>#N/A</v>
          </cell>
          <cell r="H2828" t="e">
            <v>#N/A</v>
          </cell>
          <cell r="I2828" t="str">
            <v>AP305TONYLW</v>
          </cell>
        </row>
        <row r="2829">
          <cell r="D2829">
            <v>400343</v>
          </cell>
          <cell r="E2829" t="str">
            <v>EUR</v>
          </cell>
          <cell r="F2829">
            <v>10.66</v>
          </cell>
          <cell r="G2829" t="str">
            <v>EUR</v>
          </cell>
          <cell r="H2829" t="e">
            <v>#VALUE!</v>
          </cell>
          <cell r="I2829" t="str">
            <v>AP305WASTE</v>
          </cell>
        </row>
        <row r="2830">
          <cell r="D2830">
            <v>400496</v>
          </cell>
          <cell r="E2830" t="str">
            <v>EUR</v>
          </cell>
          <cell r="F2830">
            <v>14.96</v>
          </cell>
          <cell r="G2830" t="str">
            <v>EUR</v>
          </cell>
          <cell r="H2830" t="e">
            <v>#VALUE!</v>
          </cell>
          <cell r="I2830" t="str">
            <v>AP306CHARGER</v>
          </cell>
        </row>
        <row r="2831">
          <cell r="D2831">
            <v>400497</v>
          </cell>
          <cell r="E2831" t="str">
            <v>EUR</v>
          </cell>
          <cell r="F2831">
            <v>16.7</v>
          </cell>
          <cell r="G2831" t="str">
            <v>EUR</v>
          </cell>
          <cell r="H2831" t="e">
            <v>#VALUE!</v>
          </cell>
          <cell r="I2831" t="str">
            <v>AP306OIL</v>
          </cell>
        </row>
        <row r="2832">
          <cell r="D2832">
            <v>400490</v>
          </cell>
          <cell r="E2832" t="str">
            <v>EUR</v>
          </cell>
          <cell r="F2832">
            <v>272.57</v>
          </cell>
          <cell r="G2832" t="str">
            <v>EUR</v>
          </cell>
          <cell r="H2832" t="e">
            <v>#VALUE!</v>
          </cell>
          <cell r="I2832" t="str">
            <v>AP306PCU</v>
          </cell>
        </row>
        <row r="2833">
          <cell r="D2833">
            <v>400491</v>
          </cell>
          <cell r="E2833" t="str">
            <v>EUR</v>
          </cell>
          <cell r="F2833">
            <v>89.65</v>
          </cell>
          <cell r="G2833" t="str">
            <v>EUR</v>
          </cell>
          <cell r="H2833" t="e">
            <v>#VALUE!</v>
          </cell>
          <cell r="I2833" t="str">
            <v>AP306TONBLA</v>
          </cell>
        </row>
        <row r="2834">
          <cell r="D2834">
            <v>400492</v>
          </cell>
          <cell r="E2834" t="str">
            <v>EUR</v>
          </cell>
          <cell r="F2834">
            <v>110.67</v>
          </cell>
          <cell r="G2834" t="str">
            <v>EUR</v>
          </cell>
          <cell r="H2834" t="e">
            <v>#VALUE!</v>
          </cell>
          <cell r="I2834" t="str">
            <v>AP306TONCYN</v>
          </cell>
        </row>
        <row r="2835">
          <cell r="D2835">
            <v>400493</v>
          </cell>
          <cell r="E2835" t="str">
            <v>EUR</v>
          </cell>
          <cell r="F2835">
            <v>110.67</v>
          </cell>
          <cell r="G2835" t="str">
            <v>EUR</v>
          </cell>
          <cell r="H2835" t="e">
            <v>#VALUE!</v>
          </cell>
          <cell r="I2835" t="str">
            <v>AP306TONMAG</v>
          </cell>
        </row>
        <row r="2836">
          <cell r="D2836">
            <v>400494</v>
          </cell>
          <cell r="E2836" t="str">
            <v>EUR</v>
          </cell>
          <cell r="F2836">
            <v>110.67</v>
          </cell>
          <cell r="G2836" t="str">
            <v>EUR</v>
          </cell>
          <cell r="H2836" t="e">
            <v>#VALUE!</v>
          </cell>
          <cell r="I2836" t="str">
            <v>AP306TONYLW</v>
          </cell>
        </row>
        <row r="2837">
          <cell r="D2837">
            <v>400495</v>
          </cell>
          <cell r="E2837" t="str">
            <v>EUR</v>
          </cell>
          <cell r="F2837">
            <v>10.45</v>
          </cell>
          <cell r="G2837" t="str">
            <v>EUR</v>
          </cell>
          <cell r="H2837" t="e">
            <v>#VALUE!</v>
          </cell>
          <cell r="I2837" t="str">
            <v>AP306WASTE</v>
          </cell>
        </row>
        <row r="2838">
          <cell r="D2838">
            <v>889409</v>
          </cell>
          <cell r="E2838" t="str">
            <v>EUR</v>
          </cell>
          <cell r="F2838">
            <v>28.91</v>
          </cell>
          <cell r="G2838" t="str">
            <v>EUR</v>
          </cell>
          <cell r="H2838" t="e">
            <v>#VALUE!</v>
          </cell>
          <cell r="I2838" t="str">
            <v>CLEANCARRIER</v>
          </cell>
        </row>
        <row r="2839">
          <cell r="D2839">
            <v>886907</v>
          </cell>
          <cell r="E2839" t="str">
            <v>EUR</v>
          </cell>
          <cell r="F2839">
            <v>30.79</v>
          </cell>
          <cell r="G2839" t="e">
            <v>#N/A</v>
          </cell>
          <cell r="H2839" t="e">
            <v>#N/A</v>
          </cell>
          <cell r="I2839" t="str">
            <v>DEVTYPEDMAG</v>
          </cell>
        </row>
        <row r="2840">
          <cell r="D2840">
            <v>889759</v>
          </cell>
          <cell r="E2840" t="str">
            <v>EUR</v>
          </cell>
          <cell r="F2840">
            <v>27.9</v>
          </cell>
          <cell r="G2840" t="str">
            <v>EUR</v>
          </cell>
          <cell r="H2840" t="e">
            <v>#VALUE!</v>
          </cell>
          <cell r="I2840" t="str">
            <v>DEVTYPEFBLA</v>
          </cell>
        </row>
        <row r="2841">
          <cell r="D2841">
            <v>889762</v>
          </cell>
          <cell r="E2841" t="str">
            <v>EUR</v>
          </cell>
          <cell r="F2841">
            <v>27.9</v>
          </cell>
          <cell r="G2841" t="str">
            <v>EUR</v>
          </cell>
          <cell r="H2841" t="e">
            <v>#VALUE!</v>
          </cell>
          <cell r="I2841" t="str">
            <v>DEVTYPEFCYN</v>
          </cell>
        </row>
        <row r="2842">
          <cell r="D2842">
            <v>889761</v>
          </cell>
          <cell r="E2842" t="str">
            <v>EUR</v>
          </cell>
          <cell r="F2842">
            <v>27.9</v>
          </cell>
          <cell r="G2842" t="str">
            <v>EUR</v>
          </cell>
          <cell r="H2842" t="e">
            <v>#VALUE!</v>
          </cell>
          <cell r="I2842" t="str">
            <v>DEVTYPEFMAG</v>
          </cell>
        </row>
        <row r="2843">
          <cell r="D2843">
            <v>889760</v>
          </cell>
          <cell r="E2843" t="str">
            <v>EUR</v>
          </cell>
          <cell r="F2843">
            <v>27.9</v>
          </cell>
          <cell r="G2843" t="str">
            <v>EUR</v>
          </cell>
          <cell r="H2843" t="e">
            <v>#VALUE!</v>
          </cell>
          <cell r="I2843" t="str">
            <v>DEVTYPEFYLW</v>
          </cell>
        </row>
        <row r="2844">
          <cell r="D2844">
            <v>889882</v>
          </cell>
          <cell r="E2844" t="str">
            <v>EUR</v>
          </cell>
          <cell r="F2844">
            <v>27.9</v>
          </cell>
          <cell r="G2844" t="str">
            <v>EUR</v>
          </cell>
          <cell r="H2844" t="e">
            <v>#VALUE!</v>
          </cell>
          <cell r="I2844" t="str">
            <v>DEVTYPEGCYN</v>
          </cell>
        </row>
        <row r="2845">
          <cell r="D2845">
            <v>889881</v>
          </cell>
          <cell r="E2845" t="str">
            <v>EUR</v>
          </cell>
          <cell r="F2845">
            <v>27.9</v>
          </cell>
          <cell r="G2845" t="str">
            <v>EUR</v>
          </cell>
          <cell r="H2845" t="e">
            <v>#VALUE!</v>
          </cell>
          <cell r="I2845" t="str">
            <v>DEVTYPEGMAG</v>
          </cell>
        </row>
        <row r="2846">
          <cell r="D2846">
            <v>889880</v>
          </cell>
          <cell r="E2846" t="str">
            <v>EUR</v>
          </cell>
          <cell r="F2846">
            <v>27.9</v>
          </cell>
          <cell r="G2846" t="str">
            <v>EUR</v>
          </cell>
          <cell r="H2846" t="e">
            <v>#VALUE!</v>
          </cell>
          <cell r="I2846" t="str">
            <v>DEVTYPEGYLW</v>
          </cell>
        </row>
        <row r="2847">
          <cell r="D2847">
            <v>887880</v>
          </cell>
          <cell r="E2847" t="str">
            <v>EUR</v>
          </cell>
          <cell r="F2847">
            <v>22.82</v>
          </cell>
          <cell r="G2847" t="str">
            <v>EUR</v>
          </cell>
          <cell r="H2847" t="e">
            <v>#VALUE!</v>
          </cell>
          <cell r="I2847" t="str">
            <v>DEVTYPEKBLA</v>
          </cell>
        </row>
        <row r="2848">
          <cell r="D2848">
            <v>887883</v>
          </cell>
          <cell r="E2848" t="str">
            <v>EUR</v>
          </cell>
          <cell r="F2848">
            <v>57.22</v>
          </cell>
          <cell r="G2848" t="str">
            <v>EUR</v>
          </cell>
          <cell r="H2848" t="e">
            <v>#VALUE!</v>
          </cell>
          <cell r="I2848" t="str">
            <v>DEVTYPEKCYN</v>
          </cell>
        </row>
        <row r="2849">
          <cell r="D2849">
            <v>887882</v>
          </cell>
          <cell r="E2849" t="str">
            <v>EUR</v>
          </cell>
          <cell r="F2849">
            <v>57.22</v>
          </cell>
          <cell r="G2849" t="str">
            <v>EUR</v>
          </cell>
          <cell r="H2849" t="e">
            <v>#VALUE!</v>
          </cell>
          <cell r="I2849" t="str">
            <v>DEVTYPEKMAG</v>
          </cell>
        </row>
        <row r="2850">
          <cell r="D2850">
            <v>887881</v>
          </cell>
          <cell r="E2850" t="str">
            <v>EUR</v>
          </cell>
          <cell r="F2850">
            <v>57.22</v>
          </cell>
          <cell r="G2850" t="str">
            <v>EUR</v>
          </cell>
          <cell r="H2850" t="e">
            <v>#VALUE!</v>
          </cell>
          <cell r="I2850" t="str">
            <v>DEVTYPEKYLW</v>
          </cell>
        </row>
        <row r="2851">
          <cell r="D2851">
            <v>887951</v>
          </cell>
          <cell r="E2851" t="str">
            <v>EUR</v>
          </cell>
          <cell r="F2851">
            <v>78.94</v>
          </cell>
          <cell r="G2851" t="str">
            <v>EUR</v>
          </cell>
          <cell r="H2851" t="e">
            <v>#VALUE!</v>
          </cell>
          <cell r="I2851" t="str">
            <v>DEVTYPELBLA</v>
          </cell>
        </row>
        <row r="2852">
          <cell r="D2852">
            <v>887954</v>
          </cell>
          <cell r="E2852" t="str">
            <v>EUR</v>
          </cell>
          <cell r="F2852">
            <v>63.14</v>
          </cell>
          <cell r="G2852" t="str">
            <v>EUR</v>
          </cell>
          <cell r="H2852" t="e">
            <v>#VALUE!</v>
          </cell>
          <cell r="I2852" t="str">
            <v>DEVTYPELCYN</v>
          </cell>
        </row>
        <row r="2853">
          <cell r="D2853">
            <v>887953</v>
          </cell>
          <cell r="E2853" t="str">
            <v>EUR</v>
          </cell>
          <cell r="F2853">
            <v>63.14</v>
          </cell>
          <cell r="G2853" t="str">
            <v>EUR</v>
          </cell>
          <cell r="H2853" t="e">
            <v>#VALUE!</v>
          </cell>
          <cell r="I2853" t="str">
            <v>DEVTYPELMAG</v>
          </cell>
        </row>
        <row r="2854">
          <cell r="D2854">
            <v>887952</v>
          </cell>
          <cell r="E2854" t="str">
            <v>EUR</v>
          </cell>
          <cell r="F2854">
            <v>63.14</v>
          </cell>
          <cell r="G2854" t="str">
            <v>EUR</v>
          </cell>
          <cell r="H2854" t="e">
            <v>#VALUE!</v>
          </cell>
          <cell r="I2854" t="str">
            <v>DEVTYPELYLW</v>
          </cell>
        </row>
        <row r="2855">
          <cell r="D2855">
            <v>889455</v>
          </cell>
          <cell r="E2855" t="str">
            <v>EUR</v>
          </cell>
          <cell r="F2855">
            <v>80.09</v>
          </cell>
          <cell r="G2855" t="e">
            <v>#N/A</v>
          </cell>
          <cell r="H2855" t="e">
            <v>#N/A</v>
          </cell>
          <cell r="I2855" t="str">
            <v>DEVTYPE1</v>
          </cell>
        </row>
        <row r="2856">
          <cell r="D2856">
            <v>885176</v>
          </cell>
          <cell r="E2856" t="str">
            <v>EUR</v>
          </cell>
          <cell r="F2856">
            <v>77.14</v>
          </cell>
          <cell r="G2856" t="e">
            <v>#N/A</v>
          </cell>
          <cell r="H2856" t="e">
            <v>#N/A</v>
          </cell>
          <cell r="I2856" t="str">
            <v>DEVTYPE1USA</v>
          </cell>
        </row>
        <row r="2857">
          <cell r="D2857">
            <v>888010</v>
          </cell>
          <cell r="E2857" t="str">
            <v>EUR</v>
          </cell>
          <cell r="F2857">
            <v>81.510000000000005</v>
          </cell>
          <cell r="G2857" t="str">
            <v>EUR</v>
          </cell>
          <cell r="H2857" t="e">
            <v>#VALUE!</v>
          </cell>
          <cell r="I2857" t="str">
            <v>DEVTYPE14</v>
          </cell>
        </row>
        <row r="2858">
          <cell r="D2858">
            <v>888002</v>
          </cell>
          <cell r="E2858" t="str">
            <v>EUR</v>
          </cell>
          <cell r="F2858">
            <v>197.91</v>
          </cell>
          <cell r="G2858" t="str">
            <v>EUR</v>
          </cell>
          <cell r="H2858" t="e">
            <v>#VALUE!</v>
          </cell>
          <cell r="I2858" t="str">
            <v>DEVTYPE15</v>
          </cell>
        </row>
        <row r="2859">
          <cell r="D2859">
            <v>888114</v>
          </cell>
          <cell r="E2859" t="str">
            <v>EUR</v>
          </cell>
          <cell r="F2859">
            <v>37.68</v>
          </cell>
          <cell r="G2859" t="str">
            <v>EUR</v>
          </cell>
          <cell r="H2859" t="e">
            <v>#VALUE!</v>
          </cell>
          <cell r="I2859" t="str">
            <v>DEVTYPE16W</v>
          </cell>
        </row>
        <row r="2860">
          <cell r="D2860">
            <v>888073</v>
          </cell>
          <cell r="E2860" t="str">
            <v>EUR</v>
          </cell>
          <cell r="F2860">
            <v>52</v>
          </cell>
          <cell r="G2860" t="str">
            <v>EUR</v>
          </cell>
          <cell r="H2860" t="e">
            <v>#VALUE!</v>
          </cell>
          <cell r="I2860" t="str">
            <v>DEVTYPE18</v>
          </cell>
        </row>
        <row r="2861">
          <cell r="D2861">
            <v>888095</v>
          </cell>
          <cell r="E2861" t="str">
            <v>EUR</v>
          </cell>
          <cell r="F2861">
            <v>20.88</v>
          </cell>
          <cell r="G2861" t="str">
            <v>EUR</v>
          </cell>
          <cell r="H2861" t="e">
            <v>#VALUE!</v>
          </cell>
          <cell r="I2861" t="str">
            <v>DEVTYPE19</v>
          </cell>
        </row>
        <row r="2862">
          <cell r="D2862">
            <v>887637</v>
          </cell>
          <cell r="E2862" t="str">
            <v>EUR</v>
          </cell>
          <cell r="F2862">
            <v>247.17</v>
          </cell>
          <cell r="G2862" t="str">
            <v>EUR</v>
          </cell>
          <cell r="H2862" t="e">
            <v>#VALUE!</v>
          </cell>
          <cell r="I2862" t="str">
            <v>DEVTYPE2</v>
          </cell>
        </row>
        <row r="2863">
          <cell r="D2863">
            <v>888164</v>
          </cell>
          <cell r="E2863" t="str">
            <v>EUR</v>
          </cell>
          <cell r="F2863">
            <v>15.67</v>
          </cell>
          <cell r="G2863" t="str">
            <v>EUR</v>
          </cell>
          <cell r="H2863" t="e">
            <v>#VALUE!</v>
          </cell>
          <cell r="I2863" t="str">
            <v>DEVTYPE21</v>
          </cell>
        </row>
        <row r="2864">
          <cell r="D2864">
            <v>885281</v>
          </cell>
          <cell r="E2864" t="str">
            <v>EUR</v>
          </cell>
          <cell r="F2864">
            <v>62.07</v>
          </cell>
          <cell r="G2864" t="e">
            <v>#N/A</v>
          </cell>
          <cell r="H2864" t="e">
            <v>#N/A</v>
          </cell>
          <cell r="I2864" t="str">
            <v>DEVTYPE24</v>
          </cell>
        </row>
        <row r="2865">
          <cell r="D2865">
            <v>889855</v>
          </cell>
          <cell r="E2865" t="str">
            <v>EUR</v>
          </cell>
          <cell r="F2865">
            <v>51.12</v>
          </cell>
          <cell r="G2865" t="str">
            <v>EUR</v>
          </cell>
          <cell r="H2865" t="e">
            <v>#VALUE!</v>
          </cell>
          <cell r="I2865" t="str">
            <v>DEVTYPE3</v>
          </cell>
        </row>
        <row r="2866">
          <cell r="D2866">
            <v>887733</v>
          </cell>
          <cell r="E2866" t="str">
            <v>EUR</v>
          </cell>
          <cell r="F2866">
            <v>200.15</v>
          </cell>
          <cell r="G2866" t="str">
            <v>EUR</v>
          </cell>
          <cell r="H2866" t="e">
            <v>#VALUE!</v>
          </cell>
          <cell r="I2866" t="str">
            <v>DEVTYPE5</v>
          </cell>
        </row>
        <row r="2867">
          <cell r="D2867">
            <v>887748</v>
          </cell>
          <cell r="E2867" t="str">
            <v>EUR</v>
          </cell>
          <cell r="F2867">
            <v>201.42</v>
          </cell>
          <cell r="G2867" t="str">
            <v>EUR</v>
          </cell>
          <cell r="H2867" t="e">
            <v>#VALUE!</v>
          </cell>
          <cell r="I2867" t="str">
            <v>DEVTYPE7</v>
          </cell>
        </row>
        <row r="2868">
          <cell r="D2868">
            <v>887797</v>
          </cell>
          <cell r="E2868" t="str">
            <v>EUR</v>
          </cell>
          <cell r="F2868">
            <v>209.48</v>
          </cell>
          <cell r="G2868" t="str">
            <v>EUR</v>
          </cell>
          <cell r="H2868" t="e">
            <v>#VALUE!</v>
          </cell>
          <cell r="I2868" t="str">
            <v>DEVTYPE9</v>
          </cell>
        </row>
        <row r="2869">
          <cell r="D2869">
            <v>339032</v>
          </cell>
          <cell r="E2869" t="str">
            <v>EUR</v>
          </cell>
          <cell r="F2869">
            <v>49.68</v>
          </cell>
          <cell r="G2869" t="e">
            <v>#N/A</v>
          </cell>
          <cell r="H2869" t="e">
            <v>#N/A</v>
          </cell>
          <cell r="I2869" t="str">
            <v>FAXCART1200</v>
          </cell>
        </row>
        <row r="2870">
          <cell r="D2870">
            <v>923180</v>
          </cell>
          <cell r="E2870" t="str">
            <v>EUR</v>
          </cell>
          <cell r="F2870">
            <v>86.59</v>
          </cell>
          <cell r="G2870" t="e">
            <v>#N/A</v>
          </cell>
          <cell r="H2870" t="e">
            <v>#N/A</v>
          </cell>
          <cell r="I2870" t="str">
            <v>FAXCART61BLA</v>
          </cell>
        </row>
        <row r="2871">
          <cell r="D2871">
            <v>923181</v>
          </cell>
          <cell r="E2871" t="str">
            <v>EUR</v>
          </cell>
          <cell r="F2871">
            <v>86.59</v>
          </cell>
          <cell r="G2871" t="e">
            <v>#N/A</v>
          </cell>
          <cell r="H2871" t="e">
            <v>#N/A</v>
          </cell>
          <cell r="I2871" t="str">
            <v>FAXCART61CLR</v>
          </cell>
        </row>
        <row r="2872">
          <cell r="D2872">
            <v>430013</v>
          </cell>
          <cell r="E2872" t="str">
            <v>EUR</v>
          </cell>
          <cell r="F2872">
            <v>17.38</v>
          </cell>
          <cell r="G2872" t="str">
            <v>EUR</v>
          </cell>
          <cell r="H2872" t="e">
            <v>#VALUE!</v>
          </cell>
          <cell r="I2872" t="str">
            <v>FAXCART68BLA</v>
          </cell>
        </row>
        <row r="2873">
          <cell r="D2873">
            <v>430014</v>
          </cell>
          <cell r="E2873" t="str">
            <v>EUR</v>
          </cell>
          <cell r="F2873">
            <v>24.84</v>
          </cell>
          <cell r="G2873" t="str">
            <v>EUR</v>
          </cell>
          <cell r="H2873" t="e">
            <v>#VALUE!</v>
          </cell>
          <cell r="I2873" t="str">
            <v>FAXCART68CLR</v>
          </cell>
        </row>
        <row r="2874">
          <cell r="D2874">
            <v>334238</v>
          </cell>
          <cell r="E2874" t="str">
            <v>EUR</v>
          </cell>
          <cell r="F2874">
            <v>670.99</v>
          </cell>
          <cell r="G2874" t="e">
            <v>#N/A</v>
          </cell>
          <cell r="H2874" t="e">
            <v>#N/A</v>
          </cell>
          <cell r="I2874" t="str">
            <v>FAXCART800</v>
          </cell>
        </row>
        <row r="2875">
          <cell r="D2875">
            <v>339353</v>
          </cell>
          <cell r="E2875" t="str">
            <v>EUR</v>
          </cell>
          <cell r="F2875">
            <v>857.58</v>
          </cell>
          <cell r="G2875" t="e">
            <v>#N/A</v>
          </cell>
          <cell r="H2875" t="e">
            <v>#N/A</v>
          </cell>
          <cell r="I2875" t="str">
            <v>FAXCART88BLA</v>
          </cell>
        </row>
        <row r="2876">
          <cell r="D2876">
            <v>339342</v>
          </cell>
          <cell r="E2876" t="str">
            <v>EUR</v>
          </cell>
          <cell r="F2876">
            <v>1151.72</v>
          </cell>
          <cell r="G2876" t="e">
            <v>#N/A</v>
          </cell>
          <cell r="H2876" t="e">
            <v>#N/A</v>
          </cell>
          <cell r="I2876" t="str">
            <v>FAXCART88CLR</v>
          </cell>
        </row>
        <row r="2877">
          <cell r="D2877">
            <v>894716</v>
          </cell>
          <cell r="E2877" t="str">
            <v>EUR</v>
          </cell>
          <cell r="F2877">
            <v>239.38</v>
          </cell>
          <cell r="G2877" t="str">
            <v>EUR</v>
          </cell>
          <cell r="H2877" t="e">
            <v>#VALUE!</v>
          </cell>
          <cell r="I2877" t="str">
            <v>FAXMASTER100</v>
          </cell>
        </row>
        <row r="2878">
          <cell r="D2878">
            <v>889347</v>
          </cell>
          <cell r="E2878" t="str">
            <v>EUR</v>
          </cell>
          <cell r="F2878">
            <v>238.47</v>
          </cell>
          <cell r="G2878" t="str">
            <v>EUR</v>
          </cell>
          <cell r="H2878" t="e">
            <v>#VALUE!</v>
          </cell>
          <cell r="I2878" t="str">
            <v>FAXMASTER30</v>
          </cell>
        </row>
        <row r="2879">
          <cell r="D2879">
            <v>593928</v>
          </cell>
          <cell r="E2879" t="str">
            <v>EUR</v>
          </cell>
          <cell r="F2879">
            <v>450.76</v>
          </cell>
          <cell r="G2879" t="str">
            <v>EUR</v>
          </cell>
          <cell r="H2879" t="e">
            <v>#VALUE!</v>
          </cell>
          <cell r="I2879" t="str">
            <v>FAXMAST1000L</v>
          </cell>
        </row>
        <row r="2880">
          <cell r="D2880">
            <v>339472</v>
          </cell>
          <cell r="E2880" t="str">
            <v>EUR</v>
          </cell>
          <cell r="F2880">
            <v>177.42</v>
          </cell>
          <cell r="G2880" t="str">
            <v>EUR</v>
          </cell>
          <cell r="H2880" t="e">
            <v>#VALUE!</v>
          </cell>
          <cell r="I2880" t="str">
            <v>FAXMAST70</v>
          </cell>
        </row>
        <row r="2881">
          <cell r="D2881">
            <v>339343</v>
          </cell>
          <cell r="E2881" t="str">
            <v>EUR</v>
          </cell>
          <cell r="F2881">
            <v>326.83</v>
          </cell>
          <cell r="G2881" t="e">
            <v>#N/A</v>
          </cell>
          <cell r="H2881" t="e">
            <v>#N/A</v>
          </cell>
          <cell r="I2881" t="str">
            <v>FAXREF88BLA</v>
          </cell>
        </row>
        <row r="2882">
          <cell r="D2882">
            <v>339344</v>
          </cell>
          <cell r="E2882" t="str">
            <v>EUR</v>
          </cell>
          <cell r="F2882">
            <v>800.84</v>
          </cell>
          <cell r="G2882" t="e">
            <v>#N/A</v>
          </cell>
          <cell r="H2882" t="e">
            <v>#N/A</v>
          </cell>
          <cell r="I2882" t="str">
            <v>FAXREF88CLR</v>
          </cell>
        </row>
        <row r="2883">
          <cell r="D2883">
            <v>920616</v>
          </cell>
          <cell r="E2883" t="str">
            <v>EUR</v>
          </cell>
          <cell r="F2883">
            <v>140.30000000000001</v>
          </cell>
          <cell r="G2883" t="e">
            <v>#N/A</v>
          </cell>
          <cell r="H2883" t="e">
            <v>#N/A</v>
          </cell>
          <cell r="I2883" t="str">
            <v>FAXRIBBON500</v>
          </cell>
        </row>
        <row r="2884">
          <cell r="D2884">
            <v>430244</v>
          </cell>
          <cell r="E2884" t="str">
            <v>EUR</v>
          </cell>
          <cell r="F2884">
            <v>41.02</v>
          </cell>
          <cell r="G2884" t="str">
            <v>EUR</v>
          </cell>
          <cell r="H2884" t="e">
            <v>#VALUE!</v>
          </cell>
          <cell r="I2884" t="str">
            <v>FAXTNR1435CN</v>
          </cell>
        </row>
        <row r="2885">
          <cell r="D2885">
            <v>430400</v>
          </cell>
          <cell r="E2885" t="str">
            <v>EUR</v>
          </cell>
          <cell r="F2885">
            <v>54.83</v>
          </cell>
          <cell r="G2885" t="e">
            <v>#N/A</v>
          </cell>
          <cell r="H2885" t="e">
            <v>#N/A</v>
          </cell>
          <cell r="I2885" t="str">
            <v>FAXTN1265KOR</v>
          </cell>
        </row>
        <row r="2886">
          <cell r="D2886">
            <v>430159</v>
          </cell>
          <cell r="E2886" t="str">
            <v>EUR</v>
          </cell>
          <cell r="F2886">
            <v>39.01</v>
          </cell>
          <cell r="G2886" t="e">
            <v>#N/A</v>
          </cell>
          <cell r="H2886" t="e">
            <v>#N/A</v>
          </cell>
          <cell r="I2886" t="str">
            <v>FAXTONER1430</v>
          </cell>
        </row>
        <row r="2887">
          <cell r="D2887">
            <v>887721</v>
          </cell>
          <cell r="E2887" t="str">
            <v>EUR</v>
          </cell>
          <cell r="F2887">
            <v>194.15</v>
          </cell>
          <cell r="G2887" t="e">
            <v>#N/A</v>
          </cell>
          <cell r="H2887" t="e">
            <v>#N/A</v>
          </cell>
          <cell r="I2887" t="str">
            <v>FAXTONER150</v>
          </cell>
        </row>
        <row r="2888">
          <cell r="D2888">
            <v>889604</v>
          </cell>
          <cell r="E2888" t="str">
            <v>EUR</v>
          </cell>
          <cell r="F2888">
            <v>140.34</v>
          </cell>
          <cell r="G2888" t="e">
            <v>#N/A</v>
          </cell>
          <cell r="H2888" t="e">
            <v>#N/A</v>
          </cell>
          <cell r="I2888" t="str">
            <v>FAXTONER30</v>
          </cell>
        </row>
        <row r="2889">
          <cell r="D2889">
            <v>430245</v>
          </cell>
          <cell r="E2889" t="str">
            <v>EUR</v>
          </cell>
          <cell r="F2889">
            <v>74.95</v>
          </cell>
          <cell r="G2889" t="str">
            <v>EUR</v>
          </cell>
          <cell r="H2889" t="e">
            <v>#VALUE!</v>
          </cell>
          <cell r="I2889" t="str">
            <v>FAXTONER5210</v>
          </cell>
        </row>
        <row r="2890">
          <cell r="D2890">
            <v>339474</v>
          </cell>
          <cell r="E2890" t="str">
            <v>EUR</v>
          </cell>
          <cell r="F2890">
            <v>202.86</v>
          </cell>
          <cell r="G2890" t="str">
            <v>EUR</v>
          </cell>
          <cell r="H2890" t="e">
            <v>#VALUE!</v>
          </cell>
          <cell r="I2890" t="str">
            <v>FAXTONER70</v>
          </cell>
        </row>
        <row r="2891">
          <cell r="D2891">
            <v>593901</v>
          </cell>
          <cell r="E2891" t="str">
            <v>EUR</v>
          </cell>
          <cell r="F2891">
            <v>45.42</v>
          </cell>
          <cell r="G2891" t="e">
            <v>#N/A</v>
          </cell>
          <cell r="H2891" t="e">
            <v>#N/A</v>
          </cell>
          <cell r="I2891" t="str">
            <v>FAXTON1000L</v>
          </cell>
        </row>
        <row r="2892">
          <cell r="D2892">
            <v>430278</v>
          </cell>
          <cell r="E2892" t="str">
            <v>EUR</v>
          </cell>
          <cell r="F2892">
            <v>43.76</v>
          </cell>
          <cell r="G2892" t="str">
            <v>EUR</v>
          </cell>
          <cell r="H2892" t="e">
            <v>#VALUE!</v>
          </cell>
          <cell r="I2892" t="str">
            <v>FAXTON1240CN</v>
          </cell>
        </row>
        <row r="2893">
          <cell r="D2893">
            <v>430382</v>
          </cell>
          <cell r="E2893" t="str">
            <v>EUR</v>
          </cell>
          <cell r="F2893">
            <v>43.76</v>
          </cell>
          <cell r="G2893" t="e">
            <v>#N/A</v>
          </cell>
          <cell r="H2893" t="e">
            <v>#N/A</v>
          </cell>
          <cell r="I2893" t="str">
            <v>FAXTON1240UK</v>
          </cell>
        </row>
        <row r="2894">
          <cell r="D2894">
            <v>430351</v>
          </cell>
          <cell r="E2894" t="str">
            <v>EUR</v>
          </cell>
          <cell r="F2894">
            <v>36.21</v>
          </cell>
          <cell r="G2894" t="str">
            <v>EUR</v>
          </cell>
          <cell r="H2894" t="e">
            <v>#VALUE!</v>
          </cell>
          <cell r="I2894" t="str">
            <v>FAXTON1260CN</v>
          </cell>
        </row>
        <row r="2895">
          <cell r="D2895">
            <v>430225</v>
          </cell>
          <cell r="E2895" t="str">
            <v>EUR</v>
          </cell>
          <cell r="F2895">
            <v>42.13</v>
          </cell>
          <cell r="G2895" t="str">
            <v>EUR</v>
          </cell>
          <cell r="H2895" t="e">
            <v>#VALUE!</v>
          </cell>
          <cell r="I2895" t="str">
            <v>FAXTON1435CN</v>
          </cell>
        </row>
        <row r="2896">
          <cell r="D2896">
            <v>339481</v>
          </cell>
          <cell r="E2896" t="str">
            <v>EUR</v>
          </cell>
          <cell r="F2896">
            <v>177.61</v>
          </cell>
          <cell r="G2896" t="e">
            <v>#N/A</v>
          </cell>
          <cell r="H2896" t="e">
            <v>#N/A</v>
          </cell>
          <cell r="I2896" t="str">
            <v>FAXTON150FRA</v>
          </cell>
        </row>
        <row r="2897">
          <cell r="D2897">
            <v>889878</v>
          </cell>
          <cell r="E2897" t="str">
            <v>EUR</v>
          </cell>
          <cell r="F2897">
            <v>148.43</v>
          </cell>
          <cell r="G2897" t="str">
            <v>EUR</v>
          </cell>
          <cell r="H2897" t="e">
            <v>#VALUE!</v>
          </cell>
          <cell r="I2897" t="str">
            <v>FAXTON30TWN</v>
          </cell>
        </row>
        <row r="2898">
          <cell r="D2898">
            <v>400323</v>
          </cell>
          <cell r="E2898" t="str">
            <v>EUR</v>
          </cell>
          <cell r="F2898">
            <v>25.32</v>
          </cell>
          <cell r="G2898" t="str">
            <v>EUR</v>
          </cell>
          <cell r="H2898" t="e">
            <v>#VALUE!</v>
          </cell>
          <cell r="I2898" t="str">
            <v>FUSER204</v>
          </cell>
        </row>
        <row r="2899">
          <cell r="D2899">
            <v>889782</v>
          </cell>
          <cell r="E2899" t="str">
            <v>EUR</v>
          </cell>
          <cell r="F2899">
            <v>111.27</v>
          </cell>
          <cell r="G2899" t="str">
            <v>EUR</v>
          </cell>
          <cell r="H2899" t="e">
            <v>#VALUE!</v>
          </cell>
          <cell r="I2899" t="str">
            <v>IMAGEUNIT1</v>
          </cell>
        </row>
        <row r="2900">
          <cell r="D2900">
            <v>400441</v>
          </cell>
          <cell r="E2900" t="str">
            <v>EUR</v>
          </cell>
          <cell r="F2900">
            <v>163.19999999999999</v>
          </cell>
          <cell r="G2900" t="e">
            <v>#N/A</v>
          </cell>
          <cell r="H2900" t="e">
            <v>#N/A</v>
          </cell>
          <cell r="I2900" t="str">
            <v>INKROLLTYPEA</v>
          </cell>
        </row>
        <row r="2901">
          <cell r="D2901">
            <v>208050</v>
          </cell>
          <cell r="E2901" t="str">
            <v>EUR</v>
          </cell>
          <cell r="F2901">
            <v>343</v>
          </cell>
          <cell r="G2901" t="e">
            <v>#N/A</v>
          </cell>
          <cell r="H2901" t="e">
            <v>#N/A</v>
          </cell>
          <cell r="I2901" t="str">
            <v>LR1TONERBLA</v>
          </cell>
        </row>
        <row r="2902">
          <cell r="D2902">
            <v>400404</v>
          </cell>
          <cell r="E2902" t="str">
            <v>EUR</v>
          </cell>
          <cell r="F2902">
            <v>83.61</v>
          </cell>
          <cell r="G2902" t="str">
            <v>EUR</v>
          </cell>
          <cell r="H2902" t="e">
            <v>#VALUE!</v>
          </cell>
          <cell r="I2902" t="str">
            <v>MAINTEN1400</v>
          </cell>
        </row>
        <row r="2903">
          <cell r="D2903">
            <v>400401</v>
          </cell>
          <cell r="E2903" t="str">
            <v>EUR</v>
          </cell>
          <cell r="F2903">
            <v>96.4</v>
          </cell>
          <cell r="G2903" t="str">
            <v>EUR</v>
          </cell>
          <cell r="H2903" t="e">
            <v>#VALUE!</v>
          </cell>
          <cell r="I2903" t="str">
            <v>MAINTEN2000</v>
          </cell>
        </row>
        <row r="2904">
          <cell r="D2904">
            <v>400620</v>
          </cell>
          <cell r="E2904" t="str">
            <v>EUR</v>
          </cell>
          <cell r="F2904">
            <v>106.22</v>
          </cell>
          <cell r="G2904" t="str">
            <v>EUR</v>
          </cell>
          <cell r="H2904" t="e">
            <v>#VALUE!</v>
          </cell>
          <cell r="I2904" t="str">
            <v>MAINT2600CHN</v>
          </cell>
        </row>
        <row r="2905">
          <cell r="D2905">
            <v>400594</v>
          </cell>
          <cell r="E2905" t="str">
            <v>EUR</v>
          </cell>
          <cell r="F2905">
            <v>93.2</v>
          </cell>
          <cell r="G2905" t="str">
            <v>EUR</v>
          </cell>
          <cell r="H2905" t="e">
            <v>#VALUE!</v>
          </cell>
          <cell r="I2905" t="str">
            <v>MAINT3800A</v>
          </cell>
        </row>
        <row r="2906">
          <cell r="D2906">
            <v>400595</v>
          </cell>
          <cell r="E2906" t="str">
            <v>EUR</v>
          </cell>
          <cell r="F2906">
            <v>177.55</v>
          </cell>
          <cell r="G2906" t="str">
            <v>EUR</v>
          </cell>
          <cell r="H2906" t="e">
            <v>#VALUE!</v>
          </cell>
          <cell r="I2906" t="str">
            <v>MAINT3800B</v>
          </cell>
        </row>
        <row r="2907">
          <cell r="D2907">
            <v>400569</v>
          </cell>
          <cell r="E2907" t="str">
            <v>EUR</v>
          </cell>
          <cell r="F2907">
            <v>195.76</v>
          </cell>
          <cell r="G2907" t="str">
            <v>EUR</v>
          </cell>
          <cell r="H2907" t="e">
            <v>#VALUE!</v>
          </cell>
          <cell r="I2907" t="str">
            <v>MAINT3800C</v>
          </cell>
        </row>
        <row r="2908">
          <cell r="D2908">
            <v>400661</v>
          </cell>
          <cell r="E2908" t="str">
            <v>EUR</v>
          </cell>
          <cell r="F2908">
            <v>54.36</v>
          </cell>
          <cell r="G2908" t="str">
            <v>EUR</v>
          </cell>
          <cell r="H2908" t="e">
            <v>#VALUE!</v>
          </cell>
          <cell r="I2908" t="str">
            <v>MAINT3800D</v>
          </cell>
        </row>
        <row r="2909">
          <cell r="D2909">
            <v>400662</v>
          </cell>
          <cell r="E2909" t="str">
            <v>EUR</v>
          </cell>
          <cell r="F2909">
            <v>5.19</v>
          </cell>
          <cell r="G2909" t="str">
            <v>EUR</v>
          </cell>
          <cell r="H2909" t="e">
            <v>#VALUE!</v>
          </cell>
          <cell r="I2909" t="str">
            <v>MAINT3800E</v>
          </cell>
        </row>
        <row r="2910">
          <cell r="D2910">
            <v>400548</v>
          </cell>
          <cell r="E2910" t="str">
            <v>EUR</v>
          </cell>
          <cell r="F2910">
            <v>29.44</v>
          </cell>
          <cell r="G2910" t="str">
            <v>EUR</v>
          </cell>
          <cell r="H2910" t="e">
            <v>#VALUE!</v>
          </cell>
          <cell r="I2910" t="str">
            <v>MAINT3800F</v>
          </cell>
        </row>
        <row r="2911">
          <cell r="D2911">
            <v>400549</v>
          </cell>
          <cell r="E2911" t="str">
            <v>EUR</v>
          </cell>
          <cell r="F2911">
            <v>27.51</v>
          </cell>
          <cell r="G2911" t="str">
            <v>EUR</v>
          </cell>
          <cell r="H2911" t="e">
            <v>#VALUE!</v>
          </cell>
          <cell r="I2911" t="str">
            <v>MAINT3800G</v>
          </cell>
        </row>
        <row r="2912">
          <cell r="D2912">
            <v>400576</v>
          </cell>
          <cell r="E2912" t="str">
            <v>EUR</v>
          </cell>
          <cell r="F2912">
            <v>2.68</v>
          </cell>
          <cell r="G2912" t="str">
            <v>EUR</v>
          </cell>
          <cell r="H2912" t="e">
            <v>#VALUE!</v>
          </cell>
          <cell r="I2912" t="str">
            <v>MAINT3800H</v>
          </cell>
        </row>
        <row r="2913">
          <cell r="D2913">
            <v>209911</v>
          </cell>
          <cell r="E2913" t="str">
            <v>EUR</v>
          </cell>
          <cell r="F2913">
            <v>104.21</v>
          </cell>
          <cell r="G2913" t="str">
            <v>EUR</v>
          </cell>
          <cell r="H2913" t="e">
            <v>#VALUE!</v>
          </cell>
          <cell r="I2913" t="str">
            <v>MV250MAST</v>
          </cell>
        </row>
        <row r="2914">
          <cell r="D2914">
            <v>894718</v>
          </cell>
          <cell r="E2914" t="str">
            <v>EUR</v>
          </cell>
          <cell r="F2914">
            <v>239.38</v>
          </cell>
          <cell r="G2914" t="str">
            <v>EUR</v>
          </cell>
          <cell r="H2914" t="e">
            <v>#VALUE!</v>
          </cell>
          <cell r="I2914" t="str">
            <v>MV300MAST</v>
          </cell>
        </row>
        <row r="2915">
          <cell r="D2915">
            <v>887675</v>
          </cell>
          <cell r="E2915" t="str">
            <v>EUR</v>
          </cell>
          <cell r="F2915">
            <v>222.79</v>
          </cell>
          <cell r="G2915" t="str">
            <v>EUR</v>
          </cell>
          <cell r="H2915" t="e">
            <v>#VALUE!</v>
          </cell>
          <cell r="I2915" t="str">
            <v>MV300TONER</v>
          </cell>
        </row>
        <row r="2916">
          <cell r="D2916">
            <v>889606</v>
          </cell>
          <cell r="E2916" t="str">
            <v>EUR</v>
          </cell>
          <cell r="F2916">
            <v>104.03</v>
          </cell>
          <cell r="G2916" t="str">
            <v>EUR</v>
          </cell>
          <cell r="H2916" t="e">
            <v>#VALUE!</v>
          </cell>
          <cell r="I2916" t="str">
            <v>MV80MAST</v>
          </cell>
        </row>
        <row r="2917">
          <cell r="D2917">
            <v>889744</v>
          </cell>
          <cell r="E2917" t="str">
            <v>EUR</v>
          </cell>
          <cell r="F2917">
            <v>55.01</v>
          </cell>
          <cell r="G2917" t="str">
            <v>EUR</v>
          </cell>
          <cell r="H2917" t="e">
            <v>#VALUE!</v>
          </cell>
          <cell r="I2917" t="str">
            <v>MV80TONER</v>
          </cell>
        </row>
        <row r="2918">
          <cell r="D2918">
            <v>889015</v>
          </cell>
          <cell r="E2918" t="str">
            <v>EUR</v>
          </cell>
          <cell r="F2918">
            <v>126.4</v>
          </cell>
          <cell r="G2918" t="e">
            <v>#N/A</v>
          </cell>
          <cell r="H2918" t="e">
            <v>#N/A</v>
          </cell>
          <cell r="I2918" t="str">
            <v>M10MASTUNT2</v>
          </cell>
        </row>
        <row r="2919">
          <cell r="D2919">
            <v>887660</v>
          </cell>
          <cell r="E2919" t="str">
            <v>EUR</v>
          </cell>
          <cell r="F2919">
            <v>23.59</v>
          </cell>
          <cell r="G2919" t="e">
            <v>#N/A</v>
          </cell>
          <cell r="H2919" t="e">
            <v>#N/A</v>
          </cell>
          <cell r="I2919" t="str">
            <v>M10TONBLAUK</v>
          </cell>
        </row>
        <row r="2920">
          <cell r="D2920">
            <v>889351</v>
          </cell>
          <cell r="E2920" t="str">
            <v>EUR</v>
          </cell>
          <cell r="F2920">
            <v>128.18</v>
          </cell>
          <cell r="G2920" t="str">
            <v>EUR</v>
          </cell>
          <cell r="H2920" t="e">
            <v>#VALUE!</v>
          </cell>
          <cell r="I2920" t="str">
            <v>M100MASTUNT2</v>
          </cell>
        </row>
        <row r="2921">
          <cell r="D2921">
            <v>889260</v>
          </cell>
          <cell r="E2921" t="str">
            <v>EUR</v>
          </cell>
          <cell r="F2921">
            <v>118.13</v>
          </cell>
          <cell r="G2921" t="str">
            <v>EUR</v>
          </cell>
          <cell r="H2921" t="e">
            <v>#VALUE!</v>
          </cell>
          <cell r="I2921" t="str">
            <v>M5MASTUNT2</v>
          </cell>
        </row>
        <row r="2922">
          <cell r="D2922">
            <v>887659</v>
          </cell>
          <cell r="E2922" t="str">
            <v>EUR</v>
          </cell>
          <cell r="F2922">
            <v>23.59</v>
          </cell>
          <cell r="G2922" t="e">
            <v>#N/A</v>
          </cell>
          <cell r="H2922" t="e">
            <v>#N/A</v>
          </cell>
          <cell r="I2922" t="str">
            <v>M5TONERBLAUK</v>
          </cell>
        </row>
        <row r="2923">
          <cell r="D2923">
            <v>882019</v>
          </cell>
          <cell r="E2923" t="str">
            <v>EUR</v>
          </cell>
          <cell r="F2923">
            <v>43.8</v>
          </cell>
          <cell r="G2923" t="e">
            <v>#N/A</v>
          </cell>
          <cell r="H2923" t="e">
            <v>#N/A</v>
          </cell>
          <cell r="I2923" t="str">
            <v>M5TONERGRE</v>
          </cell>
        </row>
        <row r="2924">
          <cell r="D2924">
            <v>889207</v>
          </cell>
          <cell r="E2924" t="str">
            <v>EUR</v>
          </cell>
          <cell r="F2924">
            <v>40.51</v>
          </cell>
          <cell r="G2924" t="str">
            <v>EUR</v>
          </cell>
          <cell r="H2924" t="e">
            <v>#VALUE!</v>
          </cell>
          <cell r="I2924" t="str">
            <v>M5TONERRED</v>
          </cell>
        </row>
        <row r="2925">
          <cell r="D2925">
            <v>887664</v>
          </cell>
          <cell r="E2925" t="str">
            <v>EUR</v>
          </cell>
          <cell r="F2925">
            <v>26.21</v>
          </cell>
          <cell r="G2925" t="e">
            <v>#N/A</v>
          </cell>
          <cell r="H2925" t="e">
            <v>#N/A</v>
          </cell>
          <cell r="I2925" t="str">
            <v>M6TONERGER</v>
          </cell>
        </row>
        <row r="2926">
          <cell r="D2926">
            <v>889405</v>
          </cell>
          <cell r="E2926" t="str">
            <v>EUR</v>
          </cell>
          <cell r="F2926">
            <v>113.23</v>
          </cell>
          <cell r="G2926" t="str">
            <v>EUR</v>
          </cell>
          <cell r="H2926" t="e">
            <v>#VALUE!</v>
          </cell>
          <cell r="I2926" t="str">
            <v>NC11DEVBLA</v>
          </cell>
        </row>
        <row r="2927">
          <cell r="D2927">
            <v>889408</v>
          </cell>
          <cell r="E2927" t="str">
            <v>EUR</v>
          </cell>
          <cell r="F2927">
            <v>48.52</v>
          </cell>
          <cell r="G2927" t="str">
            <v>EUR</v>
          </cell>
          <cell r="H2927" t="e">
            <v>#VALUE!</v>
          </cell>
          <cell r="I2927" t="str">
            <v>NC11DEVCYN</v>
          </cell>
        </row>
        <row r="2928">
          <cell r="D2928">
            <v>889407</v>
          </cell>
          <cell r="E2928" t="str">
            <v>EUR</v>
          </cell>
          <cell r="F2928">
            <v>48.52</v>
          </cell>
          <cell r="G2928" t="str">
            <v>EUR</v>
          </cell>
          <cell r="H2928" t="e">
            <v>#VALUE!</v>
          </cell>
          <cell r="I2928" t="str">
            <v>NC11DEVMAG</v>
          </cell>
        </row>
        <row r="2929">
          <cell r="D2929">
            <v>889406</v>
          </cell>
          <cell r="E2929" t="str">
            <v>EUR</v>
          </cell>
          <cell r="F2929">
            <v>48.52</v>
          </cell>
          <cell r="G2929" t="str">
            <v>EUR</v>
          </cell>
          <cell r="H2929" t="e">
            <v>#VALUE!</v>
          </cell>
          <cell r="I2929" t="str">
            <v>NC11DEVYLW</v>
          </cell>
        </row>
        <row r="2930">
          <cell r="D2930">
            <v>887481</v>
          </cell>
          <cell r="E2930" t="str">
            <v>EUR</v>
          </cell>
          <cell r="F2930">
            <v>134.29</v>
          </cell>
          <cell r="G2930" t="e">
            <v>#N/A</v>
          </cell>
          <cell r="H2930" t="e">
            <v>#N/A</v>
          </cell>
          <cell r="I2930" t="str">
            <v>NC11TONERBLA</v>
          </cell>
        </row>
        <row r="2931">
          <cell r="D2931">
            <v>887487</v>
          </cell>
          <cell r="E2931" t="str">
            <v>EUR</v>
          </cell>
          <cell r="F2931">
            <v>75.459999999999994</v>
          </cell>
          <cell r="G2931" t="str">
            <v>EUR</v>
          </cell>
          <cell r="H2931" t="e">
            <v>#VALUE!</v>
          </cell>
          <cell r="I2931" t="str">
            <v>NC11TONERCYN</v>
          </cell>
        </row>
        <row r="2932">
          <cell r="D2932">
            <v>887485</v>
          </cell>
          <cell r="E2932" t="str">
            <v>EUR</v>
          </cell>
          <cell r="F2932">
            <v>75.459999999999994</v>
          </cell>
          <cell r="G2932" t="str">
            <v>EUR</v>
          </cell>
          <cell r="H2932" t="e">
            <v>#VALUE!</v>
          </cell>
          <cell r="I2932" t="str">
            <v>NC11TONERMAG</v>
          </cell>
        </row>
        <row r="2933">
          <cell r="D2933">
            <v>887483</v>
          </cell>
          <cell r="E2933" t="str">
            <v>EUR</v>
          </cell>
          <cell r="F2933">
            <v>75.459999999999994</v>
          </cell>
          <cell r="G2933" t="str">
            <v>EUR</v>
          </cell>
          <cell r="H2933" t="e">
            <v>#VALUE!</v>
          </cell>
          <cell r="I2933" t="str">
            <v>NC11TONERYLW</v>
          </cell>
        </row>
        <row r="2934">
          <cell r="D2934">
            <v>889526</v>
          </cell>
          <cell r="E2934" t="str">
            <v>EUR</v>
          </cell>
          <cell r="F2934">
            <v>98.77</v>
          </cell>
          <cell r="G2934" t="str">
            <v>EUR</v>
          </cell>
          <cell r="H2934" t="e">
            <v>#VALUE!</v>
          </cell>
          <cell r="I2934" t="str">
            <v>NC305DEVBLA</v>
          </cell>
        </row>
        <row r="2935">
          <cell r="D2935">
            <v>411113</v>
          </cell>
          <cell r="E2935" t="str">
            <v>EUR</v>
          </cell>
          <cell r="F2935">
            <v>62.01</v>
          </cell>
          <cell r="G2935" t="str">
            <v>EUR</v>
          </cell>
          <cell r="H2935" t="e">
            <v>#VALUE!</v>
          </cell>
          <cell r="I2935" t="str">
            <v>PCU1013CHN</v>
          </cell>
        </row>
        <row r="2936">
          <cell r="D2936">
            <v>411018</v>
          </cell>
          <cell r="E2936" t="str">
            <v>EUR</v>
          </cell>
          <cell r="F2936">
            <v>117.67</v>
          </cell>
          <cell r="G2936" t="str">
            <v>EUR</v>
          </cell>
          <cell r="H2936" t="e">
            <v>#VALUE!</v>
          </cell>
          <cell r="I2936" t="str">
            <v>PCU1027</v>
          </cell>
        </row>
        <row r="2937">
          <cell r="D2937">
            <v>410423</v>
          </cell>
          <cell r="E2937" t="str">
            <v>EUR</v>
          </cell>
          <cell r="F2937">
            <v>125.26</v>
          </cell>
          <cell r="G2937" t="str">
            <v>EUR</v>
          </cell>
          <cell r="H2937" t="e">
            <v>#VALUE!</v>
          </cell>
          <cell r="I2937" t="str">
            <v>PCU270</v>
          </cell>
        </row>
        <row r="2938">
          <cell r="D2938">
            <v>400633</v>
          </cell>
          <cell r="E2938" t="str">
            <v>EUR</v>
          </cell>
          <cell r="F2938">
            <v>117.67</v>
          </cell>
          <cell r="G2938" t="str">
            <v>EUR</v>
          </cell>
          <cell r="H2938" t="e">
            <v>#VALUE!</v>
          </cell>
          <cell r="I2938" t="str">
            <v>PCU320</v>
          </cell>
        </row>
        <row r="2939">
          <cell r="D2939">
            <v>410509</v>
          </cell>
          <cell r="E2939" t="str">
            <v>EUR</v>
          </cell>
          <cell r="F2939">
            <v>57.77</v>
          </cell>
          <cell r="G2939" t="str">
            <v>EUR</v>
          </cell>
          <cell r="H2939" t="e">
            <v>#VALUE!</v>
          </cell>
          <cell r="I2939" t="str">
            <v>STAPLEREFH</v>
          </cell>
        </row>
        <row r="2940">
          <cell r="D2940">
            <v>410509</v>
          </cell>
          <cell r="E2940" t="str">
            <v>EUR</v>
          </cell>
          <cell r="F2940">
            <v>57.52</v>
          </cell>
          <cell r="G2940" t="str">
            <v>EUR</v>
          </cell>
          <cell r="H2940" t="e">
            <v>#VALUE!</v>
          </cell>
          <cell r="I2940" t="str">
            <v>STAPLEREFH</v>
          </cell>
        </row>
        <row r="2941">
          <cell r="D2941">
            <v>410802</v>
          </cell>
          <cell r="E2941" t="str">
            <v>EUR</v>
          </cell>
          <cell r="F2941">
            <v>27.48</v>
          </cell>
          <cell r="G2941" t="str">
            <v>EUR</v>
          </cell>
          <cell r="H2941" t="e">
            <v>#VALUE!</v>
          </cell>
          <cell r="I2941" t="str">
            <v>STAPLEREFK</v>
          </cell>
        </row>
        <row r="2942">
          <cell r="D2942">
            <v>411241</v>
          </cell>
          <cell r="E2942" t="str">
            <v>EUR</v>
          </cell>
          <cell r="F2942">
            <v>19.75</v>
          </cell>
          <cell r="G2942" t="str">
            <v>EUR</v>
          </cell>
          <cell r="H2942" t="e">
            <v>#VALUE!</v>
          </cell>
          <cell r="I2942" t="str">
            <v>STAPLEREFL</v>
          </cell>
        </row>
        <row r="2943">
          <cell r="D2943">
            <v>207686</v>
          </cell>
          <cell r="E2943" t="str">
            <v>EUR</v>
          </cell>
          <cell r="F2943">
            <v>29.22</v>
          </cell>
          <cell r="G2943" t="e">
            <v>#N/A</v>
          </cell>
          <cell r="H2943" t="e">
            <v>#N/A</v>
          </cell>
          <cell r="I2943" t="str">
            <v>STAPLETYPEA</v>
          </cell>
        </row>
        <row r="2944">
          <cell r="D2944">
            <v>207866</v>
          </cell>
          <cell r="E2944" t="str">
            <v>EUR</v>
          </cell>
          <cell r="F2944">
            <v>29.36</v>
          </cell>
          <cell r="G2944" t="e">
            <v>#N/A</v>
          </cell>
          <cell r="H2944" t="e">
            <v>#N/A</v>
          </cell>
          <cell r="I2944" t="str">
            <v>STAPLETYPEB</v>
          </cell>
        </row>
        <row r="2945">
          <cell r="D2945">
            <v>208171</v>
          </cell>
          <cell r="E2945" t="str">
            <v>EUR</v>
          </cell>
          <cell r="F2945">
            <v>22.06</v>
          </cell>
          <cell r="G2945" t="str">
            <v>EUR</v>
          </cell>
          <cell r="H2945" t="e">
            <v>#VALUE!</v>
          </cell>
          <cell r="I2945" t="str">
            <v>STAPLETYPEC</v>
          </cell>
        </row>
        <row r="2946">
          <cell r="D2946">
            <v>208532</v>
          </cell>
          <cell r="E2946" t="str">
            <v>EUR</v>
          </cell>
          <cell r="F2946">
            <v>17.64</v>
          </cell>
          <cell r="G2946" t="str">
            <v>EUR</v>
          </cell>
          <cell r="H2946" t="e">
            <v>#VALUE!</v>
          </cell>
          <cell r="I2946" t="str">
            <v>STAPLETYPED</v>
          </cell>
        </row>
        <row r="2947">
          <cell r="D2947">
            <v>317927</v>
          </cell>
          <cell r="E2947" t="str">
            <v>EUR</v>
          </cell>
          <cell r="F2947">
            <v>16.03</v>
          </cell>
          <cell r="G2947" t="str">
            <v>EUR</v>
          </cell>
          <cell r="H2947" t="e">
            <v>#VALUE!</v>
          </cell>
          <cell r="I2947" t="str">
            <v>STAPLETYPEE</v>
          </cell>
        </row>
        <row r="2948">
          <cell r="D2948">
            <v>209307</v>
          </cell>
          <cell r="E2948" t="str">
            <v>EUR</v>
          </cell>
          <cell r="F2948">
            <v>24.08</v>
          </cell>
          <cell r="G2948" t="str">
            <v>EUR</v>
          </cell>
          <cell r="H2948" t="e">
            <v>#VALUE!</v>
          </cell>
          <cell r="I2948" t="str">
            <v>STAPLETYPEF</v>
          </cell>
        </row>
        <row r="2949">
          <cell r="D2949">
            <v>410133</v>
          </cell>
          <cell r="E2949" t="str">
            <v>EUR</v>
          </cell>
          <cell r="F2949">
            <v>24.08</v>
          </cell>
          <cell r="G2949" t="str">
            <v>EUR</v>
          </cell>
          <cell r="H2949" t="e">
            <v>#VALUE!</v>
          </cell>
          <cell r="I2949" t="str">
            <v>STAPLETYPEG</v>
          </cell>
        </row>
        <row r="2950">
          <cell r="D2950">
            <v>410508</v>
          </cell>
          <cell r="E2950" t="str">
            <v>EUR</v>
          </cell>
          <cell r="F2950">
            <v>25.55</v>
          </cell>
          <cell r="G2950" t="str">
            <v>EUR</v>
          </cell>
          <cell r="H2950" t="e">
            <v>#VALUE!</v>
          </cell>
          <cell r="I2950" t="str">
            <v>STAPLETYPEH</v>
          </cell>
        </row>
        <row r="2951">
          <cell r="D2951">
            <v>410597</v>
          </cell>
          <cell r="E2951" t="str">
            <v>EUR</v>
          </cell>
          <cell r="F2951">
            <v>29.56</v>
          </cell>
          <cell r="G2951" t="str">
            <v>EUR</v>
          </cell>
          <cell r="H2951" t="e">
            <v>#VALUE!</v>
          </cell>
          <cell r="I2951" t="str">
            <v>STAPLETYPEJ</v>
          </cell>
        </row>
        <row r="2952">
          <cell r="D2952">
            <v>410801</v>
          </cell>
          <cell r="E2952" t="str">
            <v>EUR</v>
          </cell>
          <cell r="F2952">
            <v>15.7</v>
          </cell>
          <cell r="G2952" t="str">
            <v>EUR</v>
          </cell>
          <cell r="H2952" t="e">
            <v>#VALUE!</v>
          </cell>
          <cell r="I2952" t="str">
            <v>STAPLETYPEK</v>
          </cell>
        </row>
        <row r="2953">
          <cell r="D2953">
            <v>411240</v>
          </cell>
          <cell r="E2953" t="str">
            <v>EUR</v>
          </cell>
          <cell r="F2953">
            <v>11.82</v>
          </cell>
          <cell r="G2953" t="str">
            <v>EUR</v>
          </cell>
          <cell r="H2953" t="e">
            <v>#VALUE!</v>
          </cell>
          <cell r="I2953" t="str">
            <v>STAPLETYPEL</v>
          </cell>
        </row>
        <row r="2954">
          <cell r="D2954">
            <v>922479</v>
          </cell>
          <cell r="E2954" t="str">
            <v>EUR</v>
          </cell>
          <cell r="F2954">
            <v>37</v>
          </cell>
          <cell r="G2954" t="e">
            <v>#N/A</v>
          </cell>
          <cell r="H2954" t="e">
            <v>#N/A</v>
          </cell>
          <cell r="I2954" t="str">
            <v>STAPLE85SWE</v>
          </cell>
        </row>
        <row r="2955">
          <cell r="D2955">
            <v>923978</v>
          </cell>
          <cell r="E2955" t="str">
            <v>EUR</v>
          </cell>
          <cell r="F2955">
            <v>107.99</v>
          </cell>
          <cell r="G2955" t="e">
            <v>#N/A</v>
          </cell>
          <cell r="H2955" t="e">
            <v>#N/A</v>
          </cell>
          <cell r="I2955" t="str">
            <v>TONAP1610USA</v>
          </cell>
        </row>
        <row r="2956">
          <cell r="D2956">
            <v>889341</v>
          </cell>
          <cell r="E2956" t="str">
            <v>EUR</v>
          </cell>
          <cell r="F2956">
            <v>70.180000000000007</v>
          </cell>
          <cell r="G2956" t="str">
            <v>EUR</v>
          </cell>
          <cell r="H2956" t="e">
            <v>#VALUE!</v>
          </cell>
          <cell r="I2956" t="str">
            <v>TONCOLLUN</v>
          </cell>
        </row>
        <row r="2957">
          <cell r="D2957">
            <v>885104</v>
          </cell>
          <cell r="E2957" t="str">
            <v>EUR</v>
          </cell>
          <cell r="F2957">
            <v>65.459999999999994</v>
          </cell>
          <cell r="G2957" t="e">
            <v>#N/A</v>
          </cell>
          <cell r="H2957" t="e">
            <v>#N/A</v>
          </cell>
          <cell r="I2957" t="str">
            <v>TONER10DFRA</v>
          </cell>
        </row>
        <row r="2958">
          <cell r="D2958">
            <v>888037</v>
          </cell>
          <cell r="E2958" t="str">
            <v>EUR</v>
          </cell>
          <cell r="F2958">
            <v>104.94</v>
          </cell>
          <cell r="G2958" t="str">
            <v>EUR</v>
          </cell>
          <cell r="H2958" t="e">
            <v>#VALUE!</v>
          </cell>
          <cell r="I2958" t="str">
            <v>TONER105CYN</v>
          </cell>
        </row>
        <row r="2959">
          <cell r="D2959">
            <v>888036</v>
          </cell>
          <cell r="E2959" t="str">
            <v>EUR</v>
          </cell>
          <cell r="F2959">
            <v>104.94</v>
          </cell>
          <cell r="G2959" t="str">
            <v>EUR</v>
          </cell>
          <cell r="H2959" t="e">
            <v>#VALUE!</v>
          </cell>
          <cell r="I2959" t="str">
            <v>TONER105MAG</v>
          </cell>
        </row>
        <row r="2960">
          <cell r="D2960">
            <v>888035</v>
          </cell>
          <cell r="E2960" t="str">
            <v>EUR</v>
          </cell>
          <cell r="F2960">
            <v>104.94</v>
          </cell>
          <cell r="G2960" t="str">
            <v>EUR</v>
          </cell>
          <cell r="H2960" t="e">
            <v>#VALUE!</v>
          </cell>
          <cell r="I2960" t="str">
            <v>TONER105YLW</v>
          </cell>
        </row>
        <row r="2961">
          <cell r="D2961">
            <v>885109</v>
          </cell>
          <cell r="E2961" t="str">
            <v>EUR</v>
          </cell>
          <cell r="F2961">
            <v>47.4</v>
          </cell>
          <cell r="G2961" t="e">
            <v>#N/A</v>
          </cell>
          <cell r="H2961" t="e">
            <v>#N/A</v>
          </cell>
          <cell r="I2961" t="str">
            <v>TONER20DEFRA</v>
          </cell>
        </row>
        <row r="2962">
          <cell r="D2962">
            <v>888032</v>
          </cell>
          <cell r="E2962" t="str">
            <v>EUR</v>
          </cell>
          <cell r="F2962">
            <v>41.79</v>
          </cell>
          <cell r="G2962" t="str">
            <v>EUR</v>
          </cell>
          <cell r="H2962" t="e">
            <v>#VALUE!</v>
          </cell>
          <cell r="I2962" t="str">
            <v>TONER205BLA</v>
          </cell>
        </row>
        <row r="2963">
          <cell r="D2963">
            <v>887849</v>
          </cell>
          <cell r="E2963" t="str">
            <v>EUR</v>
          </cell>
          <cell r="F2963">
            <v>75.05</v>
          </cell>
          <cell r="G2963" t="str">
            <v>EUR</v>
          </cell>
          <cell r="H2963" t="e">
            <v>#VALUE!</v>
          </cell>
          <cell r="I2963" t="str">
            <v>TONTYPEHCYN</v>
          </cell>
        </row>
        <row r="2964">
          <cell r="D2964">
            <v>887848</v>
          </cell>
          <cell r="E2964" t="str">
            <v>EUR</v>
          </cell>
          <cell r="F2964">
            <v>75.05</v>
          </cell>
          <cell r="G2964" t="str">
            <v>EUR</v>
          </cell>
          <cell r="H2964" t="e">
            <v>#VALUE!</v>
          </cell>
          <cell r="I2964" t="str">
            <v>TONTYPEHMAG</v>
          </cell>
        </row>
        <row r="2965">
          <cell r="D2965">
            <v>887845</v>
          </cell>
          <cell r="E2965" t="str">
            <v>EUR</v>
          </cell>
          <cell r="F2965">
            <v>79.05</v>
          </cell>
          <cell r="G2965" t="str">
            <v>EUR</v>
          </cell>
          <cell r="H2965" t="e">
            <v>#VALUE!</v>
          </cell>
          <cell r="I2965" t="str">
            <v>TONTYPEHXBLA</v>
          </cell>
        </row>
        <row r="2966">
          <cell r="D2966">
            <v>887847</v>
          </cell>
          <cell r="E2966" t="str">
            <v>EUR</v>
          </cell>
          <cell r="F2966">
            <v>75.05</v>
          </cell>
          <cell r="G2966" t="str">
            <v>EUR</v>
          </cell>
          <cell r="H2966" t="e">
            <v>#VALUE!</v>
          </cell>
          <cell r="I2966" t="str">
            <v>TONTYPEHYLW</v>
          </cell>
        </row>
        <row r="2967">
          <cell r="D2967">
            <v>887813</v>
          </cell>
          <cell r="E2967" t="str">
            <v>EUR</v>
          </cell>
          <cell r="F2967">
            <v>86.89</v>
          </cell>
          <cell r="G2967" t="str">
            <v>EUR</v>
          </cell>
          <cell r="H2967" t="e">
            <v>#VALUE!</v>
          </cell>
          <cell r="I2967" t="str">
            <v>TONTYPEJBLA</v>
          </cell>
        </row>
        <row r="2968">
          <cell r="D2968">
            <v>887816</v>
          </cell>
          <cell r="E2968" t="str">
            <v>EUR</v>
          </cell>
          <cell r="F2968">
            <v>96.57</v>
          </cell>
          <cell r="G2968" t="str">
            <v>EUR</v>
          </cell>
          <cell r="H2968" t="e">
            <v>#VALUE!</v>
          </cell>
          <cell r="I2968" t="str">
            <v>TONTYPEJCYN</v>
          </cell>
        </row>
        <row r="2969">
          <cell r="D2969">
            <v>887815</v>
          </cell>
          <cell r="E2969" t="str">
            <v>EUR</v>
          </cell>
          <cell r="F2969">
            <v>96.57</v>
          </cell>
          <cell r="G2969" t="str">
            <v>EUR</v>
          </cell>
          <cell r="H2969" t="e">
            <v>#VALUE!</v>
          </cell>
          <cell r="I2969" t="str">
            <v>TONTYPEJMAG</v>
          </cell>
        </row>
        <row r="2970">
          <cell r="D2970">
            <v>887814</v>
          </cell>
          <cell r="E2970" t="str">
            <v>EUR</v>
          </cell>
          <cell r="F2970">
            <v>96.57</v>
          </cell>
          <cell r="G2970" t="str">
            <v>EUR</v>
          </cell>
          <cell r="H2970" t="e">
            <v>#VALUE!</v>
          </cell>
          <cell r="I2970" t="str">
            <v>TONTYPEJYLW</v>
          </cell>
        </row>
        <row r="2971">
          <cell r="D2971">
            <v>887914</v>
          </cell>
          <cell r="E2971" t="str">
            <v>EUR</v>
          </cell>
          <cell r="F2971">
            <v>49.16</v>
          </cell>
          <cell r="G2971" t="str">
            <v>EUR</v>
          </cell>
          <cell r="H2971" t="e">
            <v>#VALUE!</v>
          </cell>
          <cell r="I2971" t="str">
            <v>TONTYPEK1BLA</v>
          </cell>
        </row>
        <row r="2972">
          <cell r="D2972">
            <v>887933</v>
          </cell>
          <cell r="E2972" t="str">
            <v>EUR</v>
          </cell>
          <cell r="F2972">
            <v>125.61</v>
          </cell>
          <cell r="G2972" t="str">
            <v>EUR</v>
          </cell>
          <cell r="H2972" t="e">
            <v>#VALUE!</v>
          </cell>
          <cell r="I2972" t="str">
            <v>TONTYPEK1CYN</v>
          </cell>
        </row>
        <row r="2973">
          <cell r="D2973">
            <v>887927</v>
          </cell>
          <cell r="E2973" t="str">
            <v>EUR</v>
          </cell>
          <cell r="F2973">
            <v>125.61</v>
          </cell>
          <cell r="G2973" t="str">
            <v>EUR</v>
          </cell>
          <cell r="H2973" t="e">
            <v>#VALUE!</v>
          </cell>
          <cell r="I2973" t="str">
            <v>TONTYPEK1MAG</v>
          </cell>
        </row>
        <row r="2974">
          <cell r="D2974">
            <v>887921</v>
          </cell>
          <cell r="E2974" t="str">
            <v>EUR</v>
          </cell>
          <cell r="F2974">
            <v>125.61</v>
          </cell>
          <cell r="G2974" t="str">
            <v>EUR</v>
          </cell>
          <cell r="H2974" t="e">
            <v>#VALUE!</v>
          </cell>
          <cell r="I2974" t="str">
            <v>TONTYPEK1YLW</v>
          </cell>
        </row>
        <row r="2975">
          <cell r="D2975">
            <v>887890</v>
          </cell>
          <cell r="E2975" t="str">
            <v>EUR</v>
          </cell>
          <cell r="F2975">
            <v>131.54</v>
          </cell>
          <cell r="G2975" t="str">
            <v>EUR</v>
          </cell>
          <cell r="H2975" t="e">
            <v>#VALUE!</v>
          </cell>
          <cell r="I2975" t="str">
            <v>TONTYPEL1BLA</v>
          </cell>
        </row>
        <row r="2976">
          <cell r="D2976">
            <v>887908</v>
          </cell>
          <cell r="E2976" t="str">
            <v>EUR</v>
          </cell>
          <cell r="F2976">
            <v>149.5</v>
          </cell>
          <cell r="G2976" t="str">
            <v>EUR</v>
          </cell>
          <cell r="H2976" t="e">
            <v>#VALUE!</v>
          </cell>
          <cell r="I2976" t="str">
            <v>TONTYPEL1CYN</v>
          </cell>
        </row>
        <row r="2977">
          <cell r="D2977">
            <v>887902</v>
          </cell>
          <cell r="E2977" t="str">
            <v>EUR</v>
          </cell>
          <cell r="F2977">
            <v>149.5</v>
          </cell>
          <cell r="G2977" t="str">
            <v>EUR</v>
          </cell>
          <cell r="H2977" t="e">
            <v>#VALUE!</v>
          </cell>
          <cell r="I2977" t="str">
            <v>TONTYPEL1MAG</v>
          </cell>
        </row>
        <row r="2978">
          <cell r="D2978">
            <v>887896</v>
          </cell>
          <cell r="E2978" t="str">
            <v>EUR</v>
          </cell>
          <cell r="F2978">
            <v>149.5</v>
          </cell>
          <cell r="G2978" t="str">
            <v>EUR</v>
          </cell>
          <cell r="H2978" t="e">
            <v>#VALUE!</v>
          </cell>
          <cell r="I2978" t="str">
            <v>TONTYPEL1YLW</v>
          </cell>
        </row>
        <row r="2979">
          <cell r="D2979">
            <v>885165</v>
          </cell>
          <cell r="E2979" t="str">
            <v>EUR</v>
          </cell>
          <cell r="F2979">
            <v>53.65</v>
          </cell>
          <cell r="G2979" t="e">
            <v>#N/A</v>
          </cell>
          <cell r="H2979" t="e">
            <v>#N/A</v>
          </cell>
          <cell r="I2979" t="str">
            <v>TONTYPE1100W</v>
          </cell>
        </row>
        <row r="2980">
          <cell r="D2980">
            <v>410303</v>
          </cell>
          <cell r="E2980" t="str">
            <v>EUR</v>
          </cell>
          <cell r="F2980">
            <v>73.39</v>
          </cell>
          <cell r="G2980" t="str">
            <v>EUR</v>
          </cell>
          <cell r="H2980" t="e">
            <v>#VALUE!</v>
          </cell>
          <cell r="I2980" t="str">
            <v>TONTYPE185</v>
          </cell>
        </row>
        <row r="2981">
          <cell r="D2981">
            <v>885195</v>
          </cell>
          <cell r="E2981" t="str">
            <v>EUR</v>
          </cell>
          <cell r="F2981">
            <v>141.65</v>
          </cell>
          <cell r="G2981" t="e">
            <v>#N/A</v>
          </cell>
          <cell r="H2981" t="e">
            <v>#N/A</v>
          </cell>
          <cell r="I2981" t="str">
            <v>TON6205FRA</v>
          </cell>
        </row>
        <row r="2982">
          <cell r="D2982">
            <v>401092</v>
          </cell>
          <cell r="E2982" t="str">
            <v>EUR</v>
          </cell>
          <cell r="F2982">
            <v>43.4</v>
          </cell>
          <cell r="G2982" t="e">
            <v>#N/A</v>
          </cell>
          <cell r="H2982" t="e">
            <v>#N/A</v>
          </cell>
          <cell r="I2982" t="str">
            <v>1120DTONER</v>
          </cell>
        </row>
        <row r="2983">
          <cell r="D2983">
            <v>401129</v>
          </cell>
          <cell r="E2983" t="str">
            <v>EUR</v>
          </cell>
          <cell r="F2983">
            <v>56.73</v>
          </cell>
          <cell r="G2983" t="e">
            <v>#N/A</v>
          </cell>
          <cell r="H2983" t="e">
            <v>#N/A</v>
          </cell>
          <cell r="I2983" t="str">
            <v>1125DTONUK</v>
          </cell>
        </row>
        <row r="2984">
          <cell r="D2984">
            <v>888029</v>
          </cell>
          <cell r="E2984" t="str">
            <v>EUR</v>
          </cell>
          <cell r="F2984">
            <v>65.010000000000005</v>
          </cell>
          <cell r="G2984" t="str">
            <v>EUR</v>
          </cell>
          <cell r="H2984" t="e">
            <v>#VALUE!</v>
          </cell>
          <cell r="I2984" t="str">
            <v>1160WTONER</v>
          </cell>
        </row>
        <row r="2985">
          <cell r="D2985">
            <v>885122</v>
          </cell>
          <cell r="E2985" t="str">
            <v>EUR</v>
          </cell>
          <cell r="F2985">
            <v>45.24</v>
          </cell>
          <cell r="G2985" t="e">
            <v>#N/A</v>
          </cell>
          <cell r="H2985" t="e">
            <v>#N/A</v>
          </cell>
          <cell r="I2985" t="str">
            <v>1205TONERUK</v>
          </cell>
        </row>
        <row r="2986">
          <cell r="D2986">
            <v>339588</v>
          </cell>
          <cell r="E2986" t="str">
            <v>EUR</v>
          </cell>
          <cell r="F2986">
            <v>150.01</v>
          </cell>
          <cell r="G2986" t="str">
            <v>EUR</v>
          </cell>
          <cell r="H2986" t="e">
            <v>#VALUE!</v>
          </cell>
          <cell r="I2986" t="str">
            <v>1210DTONER</v>
          </cell>
        </row>
        <row r="2987">
          <cell r="D2987">
            <v>887754</v>
          </cell>
          <cell r="E2987" t="str">
            <v>EUR</v>
          </cell>
          <cell r="F2987">
            <v>39.21</v>
          </cell>
          <cell r="G2987" t="e">
            <v>#N/A</v>
          </cell>
          <cell r="H2987" t="e">
            <v>#N/A</v>
          </cell>
          <cell r="I2987" t="str">
            <v>1215TONER</v>
          </cell>
        </row>
        <row r="2988">
          <cell r="D2988">
            <v>888078</v>
          </cell>
          <cell r="E2988" t="str">
            <v>EUR</v>
          </cell>
          <cell r="F2988">
            <v>39.21</v>
          </cell>
          <cell r="G2988" t="str">
            <v>EUR</v>
          </cell>
          <cell r="H2988" t="e">
            <v>#VALUE!</v>
          </cell>
          <cell r="I2988" t="str">
            <v>1215TONERKOR</v>
          </cell>
        </row>
        <row r="2989">
          <cell r="D2989">
            <v>888087</v>
          </cell>
          <cell r="E2989" t="str">
            <v>EUR</v>
          </cell>
          <cell r="F2989">
            <v>13.03</v>
          </cell>
          <cell r="G2989" t="str">
            <v>EUR</v>
          </cell>
          <cell r="H2989" t="e">
            <v>#VALUE!</v>
          </cell>
          <cell r="I2989" t="str">
            <v>1220DTONER</v>
          </cell>
        </row>
        <row r="2990">
          <cell r="D2990">
            <v>885258</v>
          </cell>
          <cell r="E2990" t="str">
            <v>EUR</v>
          </cell>
          <cell r="F2990">
            <v>9.33</v>
          </cell>
          <cell r="G2990" t="e">
            <v>#N/A</v>
          </cell>
          <cell r="H2990" t="e">
            <v>#N/A</v>
          </cell>
          <cell r="I2990" t="str">
            <v>1250DTONER</v>
          </cell>
        </row>
        <row r="2991">
          <cell r="D2991">
            <v>411073</v>
          </cell>
          <cell r="E2991" t="str">
            <v>EUR</v>
          </cell>
          <cell r="F2991">
            <v>45.56</v>
          </cell>
          <cell r="G2991" t="str">
            <v>EUR</v>
          </cell>
          <cell r="H2991" t="e">
            <v>#VALUE!</v>
          </cell>
          <cell r="I2991" t="str">
            <v>1255DTONCHN</v>
          </cell>
        </row>
        <row r="2992">
          <cell r="D2992">
            <v>887661</v>
          </cell>
          <cell r="E2992" t="str">
            <v>EUR</v>
          </cell>
          <cell r="F2992">
            <v>25.3</v>
          </cell>
          <cell r="G2992" t="e">
            <v>#N/A</v>
          </cell>
          <cell r="H2992" t="e">
            <v>#N/A</v>
          </cell>
          <cell r="I2992" t="str">
            <v>2050TONBLAUK</v>
          </cell>
        </row>
        <row r="2993">
          <cell r="D2993">
            <v>889309</v>
          </cell>
          <cell r="E2993" t="str">
            <v>EUR</v>
          </cell>
          <cell r="F2993">
            <v>51.87</v>
          </cell>
          <cell r="G2993" t="e">
            <v>#N/A</v>
          </cell>
          <cell r="H2993" t="e">
            <v>#N/A</v>
          </cell>
          <cell r="I2993" t="str">
            <v>2050TONERBLU</v>
          </cell>
        </row>
        <row r="2994">
          <cell r="D2994">
            <v>889313</v>
          </cell>
          <cell r="E2994" t="str">
            <v>EUR</v>
          </cell>
          <cell r="F2994">
            <v>51.87</v>
          </cell>
          <cell r="G2994" t="e">
            <v>#N/A</v>
          </cell>
          <cell r="H2994" t="e">
            <v>#N/A</v>
          </cell>
          <cell r="I2994" t="str">
            <v>2050TONERGRE</v>
          </cell>
        </row>
        <row r="2995">
          <cell r="D2995">
            <v>889776</v>
          </cell>
          <cell r="E2995" t="str">
            <v>EUR</v>
          </cell>
          <cell r="F2995">
            <v>195.44</v>
          </cell>
          <cell r="G2995" t="str">
            <v>EUR</v>
          </cell>
          <cell r="H2995" t="e">
            <v>#VALUE!</v>
          </cell>
          <cell r="I2995" t="str">
            <v>2200EXTONER</v>
          </cell>
        </row>
        <row r="2996">
          <cell r="D2996">
            <v>889614</v>
          </cell>
          <cell r="E2996" t="str">
            <v>EUR</v>
          </cell>
          <cell r="F2996">
            <v>50.52</v>
          </cell>
          <cell r="G2996" t="str">
            <v>EUR</v>
          </cell>
          <cell r="H2996" t="e">
            <v>#VALUE!</v>
          </cell>
          <cell r="I2996" t="str">
            <v>2205DTONER</v>
          </cell>
        </row>
        <row r="2997">
          <cell r="D2997">
            <v>887977</v>
          </cell>
          <cell r="E2997" t="str">
            <v>EUR</v>
          </cell>
          <cell r="F2997">
            <v>75.930000000000007</v>
          </cell>
          <cell r="G2997" t="e">
            <v>#N/A</v>
          </cell>
          <cell r="H2997" t="e">
            <v>#N/A</v>
          </cell>
          <cell r="I2997" t="str">
            <v>2210DTONER</v>
          </cell>
        </row>
        <row r="2998">
          <cell r="D2998">
            <v>885229</v>
          </cell>
          <cell r="E2998" t="str">
            <v>EUR</v>
          </cell>
          <cell r="F2998">
            <v>73.7</v>
          </cell>
          <cell r="G2998" t="e">
            <v>#N/A</v>
          </cell>
          <cell r="H2998" t="e">
            <v>#N/A</v>
          </cell>
          <cell r="I2998" t="str">
            <v>2210DTONER2</v>
          </cell>
        </row>
        <row r="2999">
          <cell r="D2999">
            <v>885266</v>
          </cell>
          <cell r="E2999" t="str">
            <v>EUR</v>
          </cell>
          <cell r="F2999">
            <v>12.21</v>
          </cell>
          <cell r="G2999" t="e">
            <v>#N/A</v>
          </cell>
          <cell r="H2999" t="e">
            <v>#N/A</v>
          </cell>
          <cell r="I2999" t="str">
            <v>2220DTONFRA</v>
          </cell>
        </row>
        <row r="3000">
          <cell r="D3000">
            <v>887620</v>
          </cell>
          <cell r="E3000" t="str">
            <v>EUR</v>
          </cell>
          <cell r="F3000">
            <v>28.01</v>
          </cell>
          <cell r="G3000" t="e">
            <v>#N/A</v>
          </cell>
          <cell r="H3000" t="e">
            <v>#N/A</v>
          </cell>
          <cell r="I3000" t="str">
            <v>3000TONERUK</v>
          </cell>
        </row>
        <row r="3001">
          <cell r="D3001">
            <v>889268</v>
          </cell>
          <cell r="E3001" t="str">
            <v>EUR</v>
          </cell>
          <cell r="F3001">
            <v>34.42</v>
          </cell>
          <cell r="G3001" t="str">
            <v>EUR</v>
          </cell>
          <cell r="H3001" t="e">
            <v>#VALUE!</v>
          </cell>
          <cell r="I3001" t="str">
            <v>310DEV</v>
          </cell>
        </row>
        <row r="3002">
          <cell r="D3002">
            <v>887612</v>
          </cell>
          <cell r="E3002" t="str">
            <v>EUR</v>
          </cell>
          <cell r="F3002">
            <v>18.05</v>
          </cell>
          <cell r="G3002" t="e">
            <v>#N/A</v>
          </cell>
          <cell r="H3002" t="e">
            <v>#N/A</v>
          </cell>
          <cell r="I3002" t="str">
            <v>310TONERUK</v>
          </cell>
        </row>
        <row r="3003">
          <cell r="D3003">
            <v>887681</v>
          </cell>
          <cell r="E3003" t="str">
            <v>EUR</v>
          </cell>
          <cell r="F3003">
            <v>18.05</v>
          </cell>
          <cell r="G3003" t="e">
            <v>#N/A</v>
          </cell>
          <cell r="H3003" t="e">
            <v>#N/A</v>
          </cell>
          <cell r="I3003" t="str">
            <v>320TONERUK</v>
          </cell>
        </row>
        <row r="3004">
          <cell r="D3004">
            <v>885137</v>
          </cell>
          <cell r="E3004" t="str">
            <v>EUR</v>
          </cell>
          <cell r="F3004">
            <v>97.05</v>
          </cell>
          <cell r="G3004" t="e">
            <v>#N/A</v>
          </cell>
          <cell r="H3004" t="e">
            <v>#N/A</v>
          </cell>
          <cell r="I3004" t="str">
            <v>3200DTONFRA</v>
          </cell>
        </row>
        <row r="3005">
          <cell r="D3005">
            <v>885180</v>
          </cell>
          <cell r="E3005" t="str">
            <v>EUR</v>
          </cell>
          <cell r="F3005">
            <v>97.05</v>
          </cell>
          <cell r="G3005" t="e">
            <v>#N/A</v>
          </cell>
          <cell r="H3005" t="e">
            <v>#N/A</v>
          </cell>
          <cell r="I3005" t="str">
            <v>3200DTONUK</v>
          </cell>
        </row>
        <row r="3006">
          <cell r="D3006">
            <v>888063</v>
          </cell>
          <cell r="E3006" t="str">
            <v>EUR</v>
          </cell>
          <cell r="F3006">
            <v>21.92</v>
          </cell>
          <cell r="G3006" t="e">
            <v>#N/A</v>
          </cell>
          <cell r="H3006" t="e">
            <v>#N/A</v>
          </cell>
          <cell r="I3006" t="str">
            <v>3205DTONER</v>
          </cell>
        </row>
        <row r="3007">
          <cell r="D3007">
            <v>885251</v>
          </cell>
          <cell r="E3007" t="str">
            <v>EUR</v>
          </cell>
          <cell r="F3007">
            <v>20.74</v>
          </cell>
          <cell r="G3007" t="e">
            <v>#N/A</v>
          </cell>
          <cell r="H3007" t="e">
            <v>#N/A</v>
          </cell>
          <cell r="I3007" t="str">
            <v>3205DTONFRA</v>
          </cell>
        </row>
        <row r="3008">
          <cell r="D3008">
            <v>889415</v>
          </cell>
          <cell r="E3008" t="str">
            <v>EUR</v>
          </cell>
          <cell r="F3008">
            <v>35.96</v>
          </cell>
          <cell r="G3008" t="e">
            <v>#N/A</v>
          </cell>
          <cell r="H3008" t="e">
            <v>#N/A</v>
          </cell>
          <cell r="I3008" t="str">
            <v>3300DEVUSA</v>
          </cell>
        </row>
        <row r="3009">
          <cell r="D3009">
            <v>889411</v>
          </cell>
          <cell r="E3009" t="str">
            <v>EUR</v>
          </cell>
          <cell r="F3009">
            <v>43.24</v>
          </cell>
          <cell r="G3009" t="e">
            <v>#N/A</v>
          </cell>
          <cell r="H3009" t="e">
            <v>#N/A</v>
          </cell>
          <cell r="I3009" t="str">
            <v>3300TONERUK</v>
          </cell>
        </row>
        <row r="3010">
          <cell r="D3010">
            <v>887133</v>
          </cell>
          <cell r="E3010" t="str">
            <v>EUR</v>
          </cell>
          <cell r="F3010">
            <v>51.95</v>
          </cell>
          <cell r="G3010" t="e">
            <v>#N/A</v>
          </cell>
          <cell r="H3010" t="e">
            <v>#N/A</v>
          </cell>
          <cell r="I3010" t="str">
            <v>4000DEVUSA</v>
          </cell>
        </row>
        <row r="3011">
          <cell r="D3011">
            <v>887621</v>
          </cell>
          <cell r="E3011" t="str">
            <v>EUR</v>
          </cell>
          <cell r="F3011">
            <v>36.85</v>
          </cell>
          <cell r="G3011" t="e">
            <v>#N/A</v>
          </cell>
          <cell r="H3011" t="e">
            <v>#N/A</v>
          </cell>
          <cell r="I3011" t="str">
            <v>4000TONERUK</v>
          </cell>
        </row>
        <row r="3012">
          <cell r="D3012">
            <v>887564</v>
          </cell>
          <cell r="E3012" t="str">
            <v>EUR</v>
          </cell>
          <cell r="F3012">
            <v>32.520000000000003</v>
          </cell>
          <cell r="G3012" t="str">
            <v>EUR</v>
          </cell>
          <cell r="H3012" t="e">
            <v>#VALUE!</v>
          </cell>
          <cell r="I3012" t="str">
            <v>4418DEVBLA</v>
          </cell>
        </row>
        <row r="3013">
          <cell r="D3013">
            <v>887566</v>
          </cell>
          <cell r="E3013" t="str">
            <v>EUR</v>
          </cell>
          <cell r="F3013">
            <v>67.45</v>
          </cell>
          <cell r="G3013" t="str">
            <v>EUR</v>
          </cell>
          <cell r="H3013" t="e">
            <v>#VALUE!</v>
          </cell>
          <cell r="I3013" t="str">
            <v>4418DEVBLU</v>
          </cell>
        </row>
        <row r="3014">
          <cell r="D3014">
            <v>887567</v>
          </cell>
          <cell r="E3014" t="str">
            <v>EUR</v>
          </cell>
          <cell r="F3014">
            <v>67.45</v>
          </cell>
          <cell r="G3014" t="str">
            <v>EUR</v>
          </cell>
          <cell r="H3014" t="e">
            <v>#VALUE!</v>
          </cell>
          <cell r="I3014" t="str">
            <v>4418DEVGRE</v>
          </cell>
        </row>
        <row r="3015">
          <cell r="D3015">
            <v>887565</v>
          </cell>
          <cell r="E3015" t="str">
            <v>EUR</v>
          </cell>
          <cell r="F3015">
            <v>64.11</v>
          </cell>
          <cell r="G3015" t="str">
            <v>EUR</v>
          </cell>
          <cell r="H3015" t="e">
            <v>#VALUE!</v>
          </cell>
          <cell r="I3015" t="str">
            <v>4418DEVRED</v>
          </cell>
        </row>
        <row r="3016">
          <cell r="D3016">
            <v>887610</v>
          </cell>
          <cell r="E3016" t="str">
            <v>EUR</v>
          </cell>
          <cell r="F3016">
            <v>37.83</v>
          </cell>
          <cell r="G3016" t="e">
            <v>#N/A</v>
          </cell>
          <cell r="H3016" t="e">
            <v>#N/A</v>
          </cell>
          <cell r="I3016" t="str">
            <v>4418TONBLAUK</v>
          </cell>
        </row>
        <row r="3017">
          <cell r="D3017">
            <v>887530</v>
          </cell>
          <cell r="E3017" t="str">
            <v>EUR</v>
          </cell>
          <cell r="F3017">
            <v>45.58</v>
          </cell>
          <cell r="G3017" t="str">
            <v>EUR</v>
          </cell>
          <cell r="H3017" t="e">
            <v>#VALUE!</v>
          </cell>
          <cell r="I3017" t="str">
            <v>4418TONERBLU</v>
          </cell>
        </row>
        <row r="3018">
          <cell r="D3018">
            <v>887533</v>
          </cell>
          <cell r="E3018" t="str">
            <v>EUR</v>
          </cell>
          <cell r="F3018">
            <v>45.58</v>
          </cell>
          <cell r="G3018" t="str">
            <v>EUR</v>
          </cell>
          <cell r="H3018" t="e">
            <v>#VALUE!</v>
          </cell>
          <cell r="I3018" t="str">
            <v>4418TONERGRE</v>
          </cell>
        </row>
        <row r="3019">
          <cell r="D3019">
            <v>887527</v>
          </cell>
          <cell r="E3019" t="str">
            <v>EUR</v>
          </cell>
          <cell r="F3019">
            <v>45.58</v>
          </cell>
          <cell r="G3019" t="str">
            <v>EUR</v>
          </cell>
          <cell r="H3019" t="e">
            <v>#VALUE!</v>
          </cell>
          <cell r="I3019" t="str">
            <v>4418TONERRED</v>
          </cell>
        </row>
        <row r="3020">
          <cell r="D3020">
            <v>887459</v>
          </cell>
          <cell r="E3020" t="str">
            <v>EUR</v>
          </cell>
          <cell r="F3020">
            <v>136.13</v>
          </cell>
          <cell r="G3020" t="str">
            <v>EUR</v>
          </cell>
          <cell r="H3020" t="e">
            <v>#VALUE!</v>
          </cell>
          <cell r="I3020" t="str">
            <v>4460TONERBLA</v>
          </cell>
        </row>
        <row r="3021">
          <cell r="D3021">
            <v>887453</v>
          </cell>
          <cell r="E3021" t="str">
            <v>EUR</v>
          </cell>
          <cell r="F3021">
            <v>39.21</v>
          </cell>
          <cell r="G3021" t="str">
            <v>EUR</v>
          </cell>
          <cell r="H3021" t="e">
            <v>#VALUE!</v>
          </cell>
          <cell r="I3021" t="str">
            <v>4460TONERBLU</v>
          </cell>
        </row>
        <row r="3022">
          <cell r="D3022">
            <v>887454</v>
          </cell>
          <cell r="E3022" t="str">
            <v>EUR</v>
          </cell>
          <cell r="F3022">
            <v>39.21</v>
          </cell>
          <cell r="G3022" t="str">
            <v>EUR</v>
          </cell>
          <cell r="H3022" t="e">
            <v>#VALUE!</v>
          </cell>
          <cell r="I3022" t="str">
            <v>4460TONERGRE</v>
          </cell>
        </row>
        <row r="3023">
          <cell r="D3023">
            <v>887452</v>
          </cell>
          <cell r="E3023" t="str">
            <v>EUR</v>
          </cell>
          <cell r="F3023">
            <v>39.21</v>
          </cell>
          <cell r="G3023" t="str">
            <v>EUR</v>
          </cell>
          <cell r="H3023" t="e">
            <v>#VALUE!</v>
          </cell>
          <cell r="I3023" t="str">
            <v>4460TONERRED</v>
          </cell>
        </row>
        <row r="3024">
          <cell r="D3024">
            <v>889490</v>
          </cell>
          <cell r="E3024" t="str">
            <v>EUR</v>
          </cell>
          <cell r="F3024">
            <v>31.21</v>
          </cell>
          <cell r="G3024" t="e">
            <v>#N/A</v>
          </cell>
          <cell r="H3024" t="e">
            <v>#N/A</v>
          </cell>
          <cell r="I3024" t="str">
            <v>450TONERUK</v>
          </cell>
        </row>
        <row r="3025">
          <cell r="D3025">
            <v>887622</v>
          </cell>
          <cell r="E3025" t="str">
            <v>EUR</v>
          </cell>
          <cell r="F3025">
            <v>33.9</v>
          </cell>
          <cell r="G3025" t="e">
            <v>#N/A</v>
          </cell>
          <cell r="H3025" t="e">
            <v>#N/A</v>
          </cell>
          <cell r="I3025" t="str">
            <v>5000TONERUK</v>
          </cell>
        </row>
        <row r="3026">
          <cell r="D3026">
            <v>887655</v>
          </cell>
          <cell r="E3026" t="str">
            <v>EUR</v>
          </cell>
          <cell r="F3026">
            <v>56.51</v>
          </cell>
          <cell r="G3026" t="e">
            <v>#N/A</v>
          </cell>
          <cell r="H3026" t="e">
            <v>#N/A</v>
          </cell>
          <cell r="I3026" t="str">
            <v>5010TONBLUK</v>
          </cell>
        </row>
        <row r="3027">
          <cell r="D3027">
            <v>889292</v>
          </cell>
          <cell r="E3027" t="str">
            <v>EUR</v>
          </cell>
          <cell r="F3027">
            <v>24.9</v>
          </cell>
          <cell r="G3027" t="str">
            <v>EUR</v>
          </cell>
          <cell r="H3027" t="e">
            <v>#VALUE!</v>
          </cell>
          <cell r="I3027" t="str">
            <v>510DEVBLU</v>
          </cell>
        </row>
        <row r="3028">
          <cell r="D3028">
            <v>889289</v>
          </cell>
          <cell r="E3028" t="str">
            <v>EUR</v>
          </cell>
          <cell r="F3028">
            <v>24.9</v>
          </cell>
          <cell r="G3028" t="str">
            <v>EUR</v>
          </cell>
          <cell r="H3028" t="e">
            <v>#VALUE!</v>
          </cell>
          <cell r="I3028" t="str">
            <v>510DEVRED</v>
          </cell>
        </row>
        <row r="3029">
          <cell r="D3029">
            <v>887616</v>
          </cell>
          <cell r="E3029" t="str">
            <v>EUR</v>
          </cell>
          <cell r="F3029">
            <v>37.54</v>
          </cell>
          <cell r="G3029" t="e">
            <v>#N/A</v>
          </cell>
          <cell r="H3029" t="e">
            <v>#N/A</v>
          </cell>
          <cell r="I3029" t="str">
            <v>510TONBLAUK</v>
          </cell>
        </row>
        <row r="3030">
          <cell r="D3030">
            <v>889283</v>
          </cell>
          <cell r="E3030" t="str">
            <v>EUR</v>
          </cell>
          <cell r="F3030">
            <v>44.42</v>
          </cell>
          <cell r="G3030" t="str">
            <v>EUR</v>
          </cell>
          <cell r="H3030" t="e">
            <v>#VALUE!</v>
          </cell>
          <cell r="I3030" t="str">
            <v>510TONERBLU</v>
          </cell>
        </row>
        <row r="3031">
          <cell r="D3031">
            <v>889286</v>
          </cell>
          <cell r="E3031" t="str">
            <v>EUR</v>
          </cell>
          <cell r="F3031">
            <v>44.42</v>
          </cell>
          <cell r="G3031" t="str">
            <v>EUR</v>
          </cell>
          <cell r="H3031" t="e">
            <v>#VALUE!</v>
          </cell>
          <cell r="I3031" t="str">
            <v>510TONERGRE</v>
          </cell>
        </row>
        <row r="3032">
          <cell r="D3032">
            <v>889280</v>
          </cell>
          <cell r="E3032" t="str">
            <v>EUR</v>
          </cell>
          <cell r="F3032">
            <v>44.42</v>
          </cell>
          <cell r="G3032" t="str">
            <v>EUR</v>
          </cell>
          <cell r="H3032" t="e">
            <v>#VALUE!</v>
          </cell>
          <cell r="I3032" t="str">
            <v>510TONERRED</v>
          </cell>
        </row>
        <row r="3033">
          <cell r="D3033">
            <v>887741</v>
          </cell>
          <cell r="E3033" t="str">
            <v>EUR</v>
          </cell>
          <cell r="F3033">
            <v>125.66</v>
          </cell>
          <cell r="G3033" t="e">
            <v>#N/A</v>
          </cell>
          <cell r="H3033" t="e">
            <v>#N/A</v>
          </cell>
          <cell r="I3033" t="str">
            <v>5200DTONER</v>
          </cell>
        </row>
        <row r="3034">
          <cell r="D3034">
            <v>885190</v>
          </cell>
          <cell r="E3034" t="str">
            <v>EUR</v>
          </cell>
          <cell r="F3034">
            <v>117.3</v>
          </cell>
          <cell r="G3034" t="e">
            <v>#N/A</v>
          </cell>
          <cell r="H3034" t="e">
            <v>#N/A</v>
          </cell>
          <cell r="I3034" t="str">
            <v>5200DTONFRA</v>
          </cell>
        </row>
        <row r="3035">
          <cell r="D3035">
            <v>887995</v>
          </cell>
          <cell r="E3035" t="str">
            <v>EUR</v>
          </cell>
          <cell r="F3035">
            <v>130.72</v>
          </cell>
          <cell r="G3035" t="e">
            <v>#N/A</v>
          </cell>
          <cell r="H3035" t="e">
            <v>#N/A</v>
          </cell>
          <cell r="I3035" t="str">
            <v>5205DTONER</v>
          </cell>
        </row>
        <row r="3036">
          <cell r="D3036">
            <v>885241</v>
          </cell>
          <cell r="E3036" t="str">
            <v>EUR</v>
          </cell>
          <cell r="F3036">
            <v>123.32</v>
          </cell>
          <cell r="G3036" t="e">
            <v>#N/A</v>
          </cell>
          <cell r="H3036" t="e">
            <v>#N/A</v>
          </cell>
          <cell r="I3036" t="str">
            <v>5205DTONER2</v>
          </cell>
        </row>
        <row r="3037">
          <cell r="D3037">
            <v>887642</v>
          </cell>
          <cell r="E3037" t="str">
            <v>EUR</v>
          </cell>
          <cell r="F3037">
            <v>113.22</v>
          </cell>
          <cell r="G3037" t="e">
            <v>#N/A</v>
          </cell>
          <cell r="H3037" t="e">
            <v>#N/A</v>
          </cell>
          <cell r="I3037" t="str">
            <v>610TONERUK</v>
          </cell>
        </row>
        <row r="3038">
          <cell r="D3038">
            <v>885274</v>
          </cell>
          <cell r="E3038" t="str">
            <v>EUR</v>
          </cell>
          <cell r="F3038">
            <v>31.58</v>
          </cell>
          <cell r="G3038" t="e">
            <v>#N/A</v>
          </cell>
          <cell r="H3038" t="e">
            <v>#N/A</v>
          </cell>
          <cell r="I3038" t="str">
            <v>6210DTONER</v>
          </cell>
        </row>
        <row r="3039">
          <cell r="D3039">
            <v>887576</v>
          </cell>
          <cell r="E3039" t="str">
            <v>EUR</v>
          </cell>
          <cell r="F3039">
            <v>67.430000000000007</v>
          </cell>
          <cell r="G3039" t="str">
            <v>EUR</v>
          </cell>
          <cell r="H3039" t="e">
            <v>#VALUE!</v>
          </cell>
          <cell r="I3039" t="str">
            <v>670DEV</v>
          </cell>
        </row>
        <row r="3040">
          <cell r="D3040">
            <v>887571</v>
          </cell>
          <cell r="E3040" t="str">
            <v>EUR</v>
          </cell>
          <cell r="F3040">
            <v>47.81</v>
          </cell>
          <cell r="G3040" t="e">
            <v>#N/A</v>
          </cell>
          <cell r="H3040" t="e">
            <v>#N/A</v>
          </cell>
          <cell r="I3040" t="str">
            <v>670TONERUSA</v>
          </cell>
        </row>
        <row r="3041">
          <cell r="D3041">
            <v>887656</v>
          </cell>
          <cell r="E3041" t="str">
            <v>EUR</v>
          </cell>
          <cell r="F3041">
            <v>69.62</v>
          </cell>
          <cell r="G3041" t="e">
            <v>#N/A</v>
          </cell>
          <cell r="H3041" t="e">
            <v>#N/A</v>
          </cell>
          <cell r="I3041" t="str">
            <v>7770TONERUK</v>
          </cell>
        </row>
        <row r="3042">
          <cell r="D3042">
            <v>887447</v>
          </cell>
          <cell r="E3042" t="str">
            <v>EUR</v>
          </cell>
          <cell r="F3042">
            <v>495.57</v>
          </cell>
          <cell r="G3042" t="str">
            <v>EUR</v>
          </cell>
          <cell r="H3042" t="e">
            <v>#VALUE!</v>
          </cell>
          <cell r="I3042" t="str">
            <v>800TONERBLA</v>
          </cell>
        </row>
        <row r="3043">
          <cell r="D3043">
            <v>889553</v>
          </cell>
          <cell r="E3043" t="str">
            <v>EUR</v>
          </cell>
          <cell r="F3043">
            <v>32.01</v>
          </cell>
          <cell r="G3043" t="str">
            <v>EUR</v>
          </cell>
          <cell r="H3043" t="e">
            <v>#VALUE!</v>
          </cell>
          <cell r="I3043" t="str">
            <v>8015DEVBLA</v>
          </cell>
        </row>
        <row r="3044">
          <cell r="D3044">
            <v>889556</v>
          </cell>
          <cell r="E3044" t="str">
            <v>EUR</v>
          </cell>
          <cell r="F3044">
            <v>32.01</v>
          </cell>
          <cell r="G3044" t="str">
            <v>EUR</v>
          </cell>
          <cell r="H3044" t="e">
            <v>#VALUE!</v>
          </cell>
          <cell r="I3044" t="str">
            <v>8015DEVYLW</v>
          </cell>
        </row>
        <row r="3045">
          <cell r="D3045">
            <v>889541</v>
          </cell>
          <cell r="E3045" t="str">
            <v>EUR</v>
          </cell>
          <cell r="F3045">
            <v>182.98</v>
          </cell>
          <cell r="G3045" t="str">
            <v>EUR</v>
          </cell>
          <cell r="H3045" t="e">
            <v>#VALUE!</v>
          </cell>
          <cell r="I3045" t="str">
            <v>8015TONBLA</v>
          </cell>
        </row>
        <row r="3046">
          <cell r="D3046">
            <v>889550</v>
          </cell>
          <cell r="E3046" t="str">
            <v>EUR</v>
          </cell>
          <cell r="F3046">
            <v>182.98</v>
          </cell>
          <cell r="G3046" t="str">
            <v>EUR</v>
          </cell>
          <cell r="H3046" t="e">
            <v>#VALUE!</v>
          </cell>
          <cell r="I3046" t="str">
            <v>8015TONCYN</v>
          </cell>
        </row>
        <row r="3047">
          <cell r="D3047">
            <v>889547</v>
          </cell>
          <cell r="E3047" t="str">
            <v>EUR</v>
          </cell>
          <cell r="F3047">
            <v>182.98</v>
          </cell>
          <cell r="G3047" t="str">
            <v>EUR</v>
          </cell>
          <cell r="H3047" t="e">
            <v>#VALUE!</v>
          </cell>
          <cell r="I3047" t="str">
            <v>8015TONMAG</v>
          </cell>
        </row>
        <row r="3048">
          <cell r="D3048">
            <v>889544</v>
          </cell>
          <cell r="E3048" t="str">
            <v>EUR</v>
          </cell>
          <cell r="F3048">
            <v>182.98</v>
          </cell>
          <cell r="G3048" t="str">
            <v>EUR</v>
          </cell>
          <cell r="H3048" t="e">
            <v>#VALUE!</v>
          </cell>
          <cell r="I3048" t="str">
            <v>8015TONYLW</v>
          </cell>
        </row>
        <row r="3049">
          <cell r="D3049">
            <v>887188</v>
          </cell>
          <cell r="E3049" t="str">
            <v>EUR</v>
          </cell>
          <cell r="F3049">
            <v>162.25</v>
          </cell>
          <cell r="G3049" t="str">
            <v>EUR</v>
          </cell>
          <cell r="H3049" t="e">
            <v>#VALUE!</v>
          </cell>
          <cell r="I3049" t="str">
            <v>820DEV</v>
          </cell>
        </row>
        <row r="3050">
          <cell r="D3050">
            <v>888009</v>
          </cell>
          <cell r="E3050" t="str">
            <v>EUR</v>
          </cell>
          <cell r="F3050">
            <v>139.9</v>
          </cell>
          <cell r="G3050" t="str">
            <v>EUR</v>
          </cell>
          <cell r="H3050" t="e">
            <v>#VALUE!</v>
          </cell>
          <cell r="I3050" t="str">
            <v>8200DTONER</v>
          </cell>
        </row>
        <row r="3051">
          <cell r="D3051">
            <v>888157</v>
          </cell>
          <cell r="E3051" t="str">
            <v>EUR</v>
          </cell>
          <cell r="F3051">
            <v>36.28</v>
          </cell>
          <cell r="G3051" t="e">
            <v>#N/A</v>
          </cell>
          <cell r="H3051" t="e">
            <v>#N/A</v>
          </cell>
          <cell r="I3051" t="str">
            <v>8205DTONER</v>
          </cell>
        </row>
        <row r="3052">
          <cell r="D3052">
            <v>885344</v>
          </cell>
          <cell r="E3052" t="str">
            <v>EUR</v>
          </cell>
          <cell r="F3052">
            <v>34.229999999999997</v>
          </cell>
          <cell r="G3052" t="e">
            <v>#N/A</v>
          </cell>
          <cell r="H3052" t="e">
            <v>#N/A</v>
          </cell>
          <cell r="I3052" t="str">
            <v>8205DTONFRA</v>
          </cell>
        </row>
        <row r="3053">
          <cell r="D3053">
            <v>889580</v>
          </cell>
          <cell r="E3053" t="str">
            <v>EUR</v>
          </cell>
          <cell r="F3053">
            <v>145.87</v>
          </cell>
          <cell r="G3053" t="str">
            <v>EUR</v>
          </cell>
          <cell r="H3053" t="e">
            <v>#VALUE!</v>
          </cell>
          <cell r="I3053" t="str">
            <v>8800DEVBLA</v>
          </cell>
        </row>
        <row r="3054">
          <cell r="D3054">
            <v>887695</v>
          </cell>
          <cell r="E3054" t="str">
            <v>EUR</v>
          </cell>
          <cell r="F3054">
            <v>238.17</v>
          </cell>
          <cell r="G3054" t="e">
            <v>#N/A</v>
          </cell>
          <cell r="H3054" t="e">
            <v>#N/A</v>
          </cell>
          <cell r="I3054" t="str">
            <v>8800TONERUK</v>
          </cell>
        </row>
        <row r="3055">
          <cell r="D3055">
            <v>209890</v>
          </cell>
          <cell r="E3055" t="str">
            <v>EUR</v>
          </cell>
          <cell r="F3055">
            <v>104.21</v>
          </cell>
          <cell r="G3055" t="str">
            <v>EUR</v>
          </cell>
          <cell r="H3055" t="e">
            <v>#VALUE!</v>
          </cell>
          <cell r="I3055" t="str">
            <v>AF251MAST</v>
          </cell>
        </row>
        <row r="3056">
          <cell r="D3056">
            <v>400398</v>
          </cell>
          <cell r="E3056" t="str">
            <v>EUR</v>
          </cell>
          <cell r="F3056">
            <v>58.52</v>
          </cell>
          <cell r="G3056" t="str">
            <v>EUR</v>
          </cell>
          <cell r="H3056" t="e">
            <v>#VALUE!</v>
          </cell>
          <cell r="I3056" t="str">
            <v>AP1400TONER</v>
          </cell>
        </row>
        <row r="3057">
          <cell r="D3057">
            <v>400679</v>
          </cell>
          <cell r="E3057" t="str">
            <v>EUR</v>
          </cell>
          <cell r="F3057">
            <v>143.82</v>
          </cell>
          <cell r="G3057" t="e">
            <v>#N/A</v>
          </cell>
          <cell r="H3057" t="e">
            <v>#N/A</v>
          </cell>
          <cell r="I3057" t="str">
            <v>AP200TONCHN</v>
          </cell>
        </row>
        <row r="3058">
          <cell r="D3058">
            <v>400395</v>
          </cell>
          <cell r="E3058" t="str">
            <v>EUR</v>
          </cell>
          <cell r="F3058">
            <v>95.43</v>
          </cell>
          <cell r="G3058" t="str">
            <v>EUR</v>
          </cell>
          <cell r="H3058" t="e">
            <v>#VALUE!</v>
          </cell>
          <cell r="I3058" t="str">
            <v>AP2000TONER</v>
          </cell>
        </row>
        <row r="3059">
          <cell r="D3059">
            <v>400321</v>
          </cell>
          <cell r="E3059" t="str">
            <v>EUR</v>
          </cell>
          <cell r="F3059">
            <v>25.22</v>
          </cell>
          <cell r="G3059" t="str">
            <v>EUR</v>
          </cell>
          <cell r="H3059" t="e">
            <v>#VALUE!</v>
          </cell>
          <cell r="I3059" t="str">
            <v>AP204OIL</v>
          </cell>
        </row>
        <row r="3060">
          <cell r="D3060">
            <v>400320</v>
          </cell>
          <cell r="E3060" t="str">
            <v>EUR</v>
          </cell>
          <cell r="F3060">
            <v>136.46</v>
          </cell>
          <cell r="G3060" t="str">
            <v>EUR</v>
          </cell>
          <cell r="H3060" t="e">
            <v>#VALUE!</v>
          </cell>
          <cell r="I3060" t="str">
            <v>AP204PCU</v>
          </cell>
        </row>
        <row r="3061">
          <cell r="D3061">
            <v>400316</v>
          </cell>
          <cell r="E3061" t="str">
            <v>EUR</v>
          </cell>
          <cell r="F3061">
            <v>63.16</v>
          </cell>
          <cell r="G3061" t="str">
            <v>EUR</v>
          </cell>
          <cell r="H3061" t="e">
            <v>#VALUE!</v>
          </cell>
          <cell r="I3061" t="str">
            <v>AP204TONBLA</v>
          </cell>
        </row>
        <row r="3062">
          <cell r="D3062">
            <v>400317</v>
          </cell>
          <cell r="E3062" t="str">
            <v>EUR</v>
          </cell>
          <cell r="F3062">
            <v>56.38</v>
          </cell>
          <cell r="G3062" t="str">
            <v>EUR</v>
          </cell>
          <cell r="H3062" t="e">
            <v>#VALUE!</v>
          </cell>
          <cell r="I3062" t="str">
            <v>AP204TONCYN</v>
          </cell>
        </row>
        <row r="3063">
          <cell r="D3063">
            <v>400318</v>
          </cell>
          <cell r="E3063" t="str">
            <v>EUR</v>
          </cell>
          <cell r="F3063">
            <v>56.38</v>
          </cell>
          <cell r="G3063" t="str">
            <v>EUR</v>
          </cell>
          <cell r="H3063" t="e">
            <v>#VALUE!</v>
          </cell>
          <cell r="I3063" t="str">
            <v>AP204TONMAG</v>
          </cell>
        </row>
        <row r="3064">
          <cell r="D3064">
            <v>400319</v>
          </cell>
          <cell r="E3064" t="str">
            <v>EUR</v>
          </cell>
          <cell r="F3064">
            <v>56.38</v>
          </cell>
          <cell r="G3064" t="str">
            <v>EUR</v>
          </cell>
          <cell r="H3064" t="e">
            <v>#VALUE!</v>
          </cell>
          <cell r="I3064" t="str">
            <v>AP204TONYLW</v>
          </cell>
        </row>
        <row r="3065">
          <cell r="D3065">
            <v>400322</v>
          </cell>
          <cell r="E3065" t="str">
            <v>EUR</v>
          </cell>
          <cell r="F3065">
            <v>8.2799999999999994</v>
          </cell>
          <cell r="G3065" t="str">
            <v>EUR</v>
          </cell>
          <cell r="H3065" t="e">
            <v>#VALUE!</v>
          </cell>
          <cell r="I3065" t="str">
            <v>AP204WASTE</v>
          </cell>
        </row>
        <row r="3066">
          <cell r="D3066">
            <v>400511</v>
          </cell>
          <cell r="E3066" t="str">
            <v>EUR</v>
          </cell>
          <cell r="F3066">
            <v>151.63</v>
          </cell>
          <cell r="G3066" t="e">
            <v>#N/A</v>
          </cell>
          <cell r="H3066" t="e">
            <v>#N/A</v>
          </cell>
          <cell r="I3066" t="str">
            <v>AP206PCU</v>
          </cell>
        </row>
        <row r="3067">
          <cell r="D3067">
            <v>400507</v>
          </cell>
          <cell r="E3067" t="str">
            <v>EUR</v>
          </cell>
          <cell r="F3067">
            <v>73.680000000000007</v>
          </cell>
          <cell r="G3067" t="str">
            <v>EUR</v>
          </cell>
          <cell r="H3067" t="e">
            <v>#VALUE!</v>
          </cell>
          <cell r="I3067" t="str">
            <v>AP206TONBLA</v>
          </cell>
        </row>
        <row r="3068">
          <cell r="D3068">
            <v>400508</v>
          </cell>
          <cell r="E3068" t="str">
            <v>EUR</v>
          </cell>
          <cell r="F3068">
            <v>69.739999999999995</v>
          </cell>
          <cell r="G3068" t="str">
            <v>EUR</v>
          </cell>
          <cell r="H3068" t="e">
            <v>#VALUE!</v>
          </cell>
          <cell r="I3068" t="str">
            <v>AP206TONCYN</v>
          </cell>
        </row>
        <row r="3069">
          <cell r="D3069">
            <v>400509</v>
          </cell>
          <cell r="E3069" t="str">
            <v>EUR</v>
          </cell>
          <cell r="F3069">
            <v>69.739999999999995</v>
          </cell>
          <cell r="G3069" t="str">
            <v>EUR</v>
          </cell>
          <cell r="H3069" t="e">
            <v>#VALUE!</v>
          </cell>
          <cell r="I3069" t="str">
            <v>AP206TONMAG</v>
          </cell>
        </row>
        <row r="3070">
          <cell r="D3070">
            <v>400510</v>
          </cell>
          <cell r="E3070" t="str">
            <v>EUR</v>
          </cell>
          <cell r="F3070">
            <v>69.739999999999995</v>
          </cell>
          <cell r="G3070" t="str">
            <v>EUR</v>
          </cell>
          <cell r="H3070" t="e">
            <v>#VALUE!</v>
          </cell>
          <cell r="I3070" t="str">
            <v>AP206TONYLW</v>
          </cell>
        </row>
        <row r="3071">
          <cell r="D3071">
            <v>400760</v>
          </cell>
          <cell r="E3071" t="str">
            <v>EUR</v>
          </cell>
          <cell r="F3071">
            <v>147.27000000000001</v>
          </cell>
          <cell r="G3071" t="str">
            <v>EUR</v>
          </cell>
          <cell r="H3071" t="e">
            <v>#VALUE!</v>
          </cell>
          <cell r="I3071" t="str">
            <v>AP215TONCHN</v>
          </cell>
        </row>
        <row r="3072">
          <cell r="D3072">
            <v>400344</v>
          </cell>
          <cell r="E3072" t="str">
            <v>EUR</v>
          </cell>
          <cell r="F3072">
            <v>231.68</v>
          </cell>
          <cell r="G3072" t="str">
            <v>EUR</v>
          </cell>
          <cell r="H3072" t="e">
            <v>#VALUE!</v>
          </cell>
          <cell r="I3072" t="str">
            <v>AP305PCU</v>
          </cell>
        </row>
        <row r="3073">
          <cell r="D3073">
            <v>400343</v>
          </cell>
          <cell r="E3073" t="str">
            <v>EUR</v>
          </cell>
          <cell r="F3073">
            <v>10.66</v>
          </cell>
          <cell r="G3073" t="str">
            <v>EUR</v>
          </cell>
          <cell r="H3073" t="e">
            <v>#VALUE!</v>
          </cell>
          <cell r="I3073" t="str">
            <v>AP305WASTE</v>
          </cell>
        </row>
        <row r="3074">
          <cell r="D3074">
            <v>400496</v>
          </cell>
          <cell r="E3074" t="str">
            <v>EUR</v>
          </cell>
          <cell r="F3074">
            <v>14.96</v>
          </cell>
          <cell r="G3074" t="str">
            <v>EUR</v>
          </cell>
          <cell r="H3074" t="e">
            <v>#VALUE!</v>
          </cell>
          <cell r="I3074" t="str">
            <v>AP306CHARGER</v>
          </cell>
        </row>
        <row r="3075">
          <cell r="D3075">
            <v>400497</v>
          </cell>
          <cell r="E3075" t="str">
            <v>EUR</v>
          </cell>
          <cell r="F3075">
            <v>16.7</v>
          </cell>
          <cell r="G3075" t="str">
            <v>EUR</v>
          </cell>
          <cell r="H3075" t="e">
            <v>#VALUE!</v>
          </cell>
          <cell r="I3075" t="str">
            <v>AP306OIL</v>
          </cell>
        </row>
        <row r="3076">
          <cell r="D3076">
            <v>400490</v>
          </cell>
          <cell r="E3076" t="str">
            <v>EUR</v>
          </cell>
          <cell r="F3076">
            <v>272.57</v>
          </cell>
          <cell r="G3076" t="str">
            <v>EUR</v>
          </cell>
          <cell r="H3076" t="e">
            <v>#VALUE!</v>
          </cell>
          <cell r="I3076" t="str">
            <v>AP306PCU</v>
          </cell>
        </row>
        <row r="3077">
          <cell r="D3077">
            <v>400491</v>
          </cell>
          <cell r="E3077" t="str">
            <v>EUR</v>
          </cell>
          <cell r="F3077">
            <v>89.65</v>
          </cell>
          <cell r="G3077" t="str">
            <v>EUR</v>
          </cell>
          <cell r="H3077" t="e">
            <v>#VALUE!</v>
          </cell>
          <cell r="I3077" t="str">
            <v>AP306TONBLA</v>
          </cell>
        </row>
        <row r="3078">
          <cell r="D3078">
            <v>400492</v>
          </cell>
          <cell r="E3078" t="str">
            <v>EUR</v>
          </cell>
          <cell r="F3078">
            <v>110.67</v>
          </cell>
          <cell r="G3078" t="str">
            <v>EUR</v>
          </cell>
          <cell r="H3078" t="e">
            <v>#VALUE!</v>
          </cell>
          <cell r="I3078" t="str">
            <v>AP306TONCYN</v>
          </cell>
        </row>
        <row r="3079">
          <cell r="D3079">
            <v>400493</v>
          </cell>
          <cell r="E3079" t="str">
            <v>EUR</v>
          </cell>
          <cell r="F3079">
            <v>110.67</v>
          </cell>
          <cell r="G3079" t="str">
            <v>EUR</v>
          </cell>
          <cell r="H3079" t="e">
            <v>#VALUE!</v>
          </cell>
          <cell r="I3079" t="str">
            <v>AP306TONMAG</v>
          </cell>
        </row>
        <row r="3080">
          <cell r="D3080">
            <v>400494</v>
          </cell>
          <cell r="E3080" t="str">
            <v>EUR</v>
          </cell>
          <cell r="F3080">
            <v>110.67</v>
          </cell>
          <cell r="G3080" t="str">
            <v>EUR</v>
          </cell>
          <cell r="H3080" t="e">
            <v>#VALUE!</v>
          </cell>
          <cell r="I3080" t="str">
            <v>AP306TONYLW</v>
          </cell>
        </row>
        <row r="3081">
          <cell r="D3081">
            <v>400495</v>
          </cell>
          <cell r="E3081" t="str">
            <v>EUR</v>
          </cell>
          <cell r="F3081">
            <v>10.45</v>
          </cell>
          <cell r="G3081" t="str">
            <v>EUR</v>
          </cell>
          <cell r="H3081" t="e">
            <v>#VALUE!</v>
          </cell>
          <cell r="I3081" t="str">
            <v>AP306WASTE</v>
          </cell>
        </row>
        <row r="3082">
          <cell r="D3082">
            <v>889409</v>
          </cell>
          <cell r="E3082" t="str">
            <v>EUR</v>
          </cell>
          <cell r="F3082">
            <v>28.91</v>
          </cell>
          <cell r="G3082" t="str">
            <v>EUR</v>
          </cell>
          <cell r="H3082" t="e">
            <v>#VALUE!</v>
          </cell>
          <cell r="I3082" t="str">
            <v>CLEANCARRIER</v>
          </cell>
        </row>
        <row r="3083">
          <cell r="D3083">
            <v>886907</v>
          </cell>
          <cell r="E3083" t="str">
            <v>EUR</v>
          </cell>
          <cell r="F3083">
            <v>30.79</v>
          </cell>
          <cell r="G3083" t="e">
            <v>#N/A</v>
          </cell>
          <cell r="H3083" t="e">
            <v>#N/A</v>
          </cell>
          <cell r="I3083" t="str">
            <v>DEVTYPEDMAG</v>
          </cell>
        </row>
        <row r="3084">
          <cell r="D3084">
            <v>889762</v>
          </cell>
          <cell r="E3084" t="str">
            <v>EUR</v>
          </cell>
          <cell r="F3084">
            <v>27.9</v>
          </cell>
          <cell r="G3084" t="str">
            <v>EUR</v>
          </cell>
          <cell r="H3084" t="e">
            <v>#VALUE!</v>
          </cell>
          <cell r="I3084" t="str">
            <v>DEVTYPEFCYN</v>
          </cell>
        </row>
        <row r="3085">
          <cell r="D3085">
            <v>889761</v>
          </cell>
          <cell r="E3085" t="str">
            <v>EUR</v>
          </cell>
          <cell r="F3085">
            <v>27.9</v>
          </cell>
          <cell r="G3085" t="str">
            <v>EUR</v>
          </cell>
          <cell r="H3085" t="e">
            <v>#VALUE!</v>
          </cell>
          <cell r="I3085" t="str">
            <v>DEVTYPEFMAG</v>
          </cell>
        </row>
        <row r="3086">
          <cell r="D3086">
            <v>889760</v>
          </cell>
          <cell r="E3086" t="str">
            <v>EUR</v>
          </cell>
          <cell r="F3086">
            <v>27.9</v>
          </cell>
          <cell r="G3086" t="str">
            <v>EUR</v>
          </cell>
          <cell r="H3086" t="e">
            <v>#VALUE!</v>
          </cell>
          <cell r="I3086" t="str">
            <v>DEVTYPEFYLW</v>
          </cell>
        </row>
        <row r="3087">
          <cell r="D3087">
            <v>889882</v>
          </cell>
          <cell r="E3087" t="str">
            <v>EUR</v>
          </cell>
          <cell r="F3087">
            <v>27.9</v>
          </cell>
          <cell r="G3087" t="str">
            <v>EUR</v>
          </cell>
          <cell r="H3087" t="e">
            <v>#VALUE!</v>
          </cell>
          <cell r="I3087" t="str">
            <v>DEVTYPEGCYN</v>
          </cell>
        </row>
        <row r="3088">
          <cell r="D3088">
            <v>889881</v>
          </cell>
          <cell r="E3088" t="str">
            <v>EUR</v>
          </cell>
          <cell r="F3088">
            <v>27.9</v>
          </cell>
          <cell r="G3088" t="str">
            <v>EUR</v>
          </cell>
          <cell r="H3088" t="e">
            <v>#VALUE!</v>
          </cell>
          <cell r="I3088" t="str">
            <v>DEVTYPEGMAG</v>
          </cell>
        </row>
        <row r="3089">
          <cell r="D3089">
            <v>889880</v>
          </cell>
          <cell r="E3089" t="str">
            <v>EUR</v>
          </cell>
          <cell r="F3089">
            <v>27.9</v>
          </cell>
          <cell r="G3089" t="str">
            <v>EUR</v>
          </cell>
          <cell r="H3089" t="e">
            <v>#VALUE!</v>
          </cell>
          <cell r="I3089" t="str">
            <v>DEVTYPEGYLW</v>
          </cell>
        </row>
        <row r="3090">
          <cell r="D3090">
            <v>887880</v>
          </cell>
          <cell r="E3090" t="str">
            <v>EUR</v>
          </cell>
          <cell r="F3090">
            <v>22.82</v>
          </cell>
          <cell r="G3090" t="str">
            <v>EUR</v>
          </cell>
          <cell r="H3090" t="e">
            <v>#VALUE!</v>
          </cell>
          <cell r="I3090" t="str">
            <v>DEVTYPEKBLA</v>
          </cell>
        </row>
        <row r="3091">
          <cell r="D3091">
            <v>887883</v>
          </cell>
          <cell r="E3091" t="str">
            <v>EUR</v>
          </cell>
          <cell r="F3091">
            <v>57.22</v>
          </cell>
          <cell r="G3091" t="str">
            <v>EUR</v>
          </cell>
          <cell r="H3091" t="e">
            <v>#VALUE!</v>
          </cell>
          <cell r="I3091" t="str">
            <v>DEVTYPEKCYN</v>
          </cell>
        </row>
        <row r="3092">
          <cell r="D3092">
            <v>887882</v>
          </cell>
          <cell r="E3092" t="str">
            <v>EUR</v>
          </cell>
          <cell r="F3092">
            <v>57.22</v>
          </cell>
          <cell r="G3092" t="str">
            <v>EUR</v>
          </cell>
          <cell r="H3092" t="e">
            <v>#VALUE!</v>
          </cell>
          <cell r="I3092" t="str">
            <v>DEVTYPEKMAG</v>
          </cell>
        </row>
        <row r="3093">
          <cell r="D3093">
            <v>887881</v>
          </cell>
          <cell r="E3093" t="str">
            <v>EUR</v>
          </cell>
          <cell r="F3093">
            <v>57.22</v>
          </cell>
          <cell r="G3093" t="str">
            <v>EUR</v>
          </cell>
          <cell r="H3093" t="e">
            <v>#VALUE!</v>
          </cell>
          <cell r="I3093" t="str">
            <v>DEVTYPEKYLW</v>
          </cell>
        </row>
        <row r="3094">
          <cell r="D3094">
            <v>887951</v>
          </cell>
          <cell r="E3094" t="str">
            <v>EUR</v>
          </cell>
          <cell r="F3094">
            <v>78.94</v>
          </cell>
          <cell r="G3094" t="str">
            <v>EUR</v>
          </cell>
          <cell r="H3094" t="e">
            <v>#VALUE!</v>
          </cell>
          <cell r="I3094" t="str">
            <v>DEVTYPELBLA</v>
          </cell>
        </row>
        <row r="3095">
          <cell r="D3095">
            <v>887954</v>
          </cell>
          <cell r="E3095" t="str">
            <v>EUR</v>
          </cell>
          <cell r="F3095">
            <v>63.14</v>
          </cell>
          <cell r="G3095" t="str">
            <v>EUR</v>
          </cell>
          <cell r="H3095" t="e">
            <v>#VALUE!</v>
          </cell>
          <cell r="I3095" t="str">
            <v>DEVTYPELCYN</v>
          </cell>
        </row>
        <row r="3096">
          <cell r="D3096">
            <v>887953</v>
          </cell>
          <cell r="E3096" t="str">
            <v>EUR</v>
          </cell>
          <cell r="F3096">
            <v>63.14</v>
          </cell>
          <cell r="G3096" t="str">
            <v>EUR</v>
          </cell>
          <cell r="H3096" t="e">
            <v>#VALUE!</v>
          </cell>
          <cell r="I3096" t="str">
            <v>DEVTYPELMAG</v>
          </cell>
        </row>
        <row r="3097">
          <cell r="D3097">
            <v>887952</v>
          </cell>
          <cell r="E3097" t="str">
            <v>EUR</v>
          </cell>
          <cell r="F3097">
            <v>63.14</v>
          </cell>
          <cell r="G3097" t="str">
            <v>EUR</v>
          </cell>
          <cell r="H3097" t="e">
            <v>#VALUE!</v>
          </cell>
          <cell r="I3097" t="str">
            <v>DEVTYPELYLW</v>
          </cell>
        </row>
        <row r="3098">
          <cell r="D3098">
            <v>885176</v>
          </cell>
          <cell r="E3098" t="str">
            <v>EUR</v>
          </cell>
          <cell r="F3098">
            <v>77.14</v>
          </cell>
          <cell r="G3098" t="e">
            <v>#N/A</v>
          </cell>
          <cell r="H3098" t="e">
            <v>#N/A</v>
          </cell>
          <cell r="I3098" t="str">
            <v>DEVTYPE1USA</v>
          </cell>
        </row>
        <row r="3099">
          <cell r="D3099">
            <v>888010</v>
          </cell>
          <cell r="E3099" t="str">
            <v>EUR</v>
          </cell>
          <cell r="F3099">
            <v>81.510000000000005</v>
          </cell>
          <cell r="G3099" t="str">
            <v>EUR</v>
          </cell>
          <cell r="H3099" t="e">
            <v>#VALUE!</v>
          </cell>
          <cell r="I3099" t="str">
            <v>DEVTYPE14</v>
          </cell>
        </row>
        <row r="3100">
          <cell r="D3100">
            <v>888002</v>
          </cell>
          <cell r="E3100" t="str">
            <v>EUR</v>
          </cell>
          <cell r="F3100">
            <v>197.91</v>
          </cell>
          <cell r="G3100" t="str">
            <v>EUR</v>
          </cell>
          <cell r="H3100" t="e">
            <v>#VALUE!</v>
          </cell>
          <cell r="I3100" t="str">
            <v>DEVTYPE15</v>
          </cell>
        </row>
        <row r="3101">
          <cell r="D3101">
            <v>888073</v>
          </cell>
          <cell r="E3101" t="str">
            <v>EUR</v>
          </cell>
          <cell r="F3101">
            <v>52</v>
          </cell>
          <cell r="G3101" t="str">
            <v>EUR</v>
          </cell>
          <cell r="H3101" t="e">
            <v>#VALUE!</v>
          </cell>
          <cell r="I3101" t="str">
            <v>DEVTYPE18</v>
          </cell>
        </row>
        <row r="3102">
          <cell r="D3102">
            <v>888095</v>
          </cell>
          <cell r="E3102" t="str">
            <v>EUR</v>
          </cell>
          <cell r="F3102">
            <v>20.88</v>
          </cell>
          <cell r="G3102" t="str">
            <v>EUR</v>
          </cell>
          <cell r="H3102" t="e">
            <v>#VALUE!</v>
          </cell>
          <cell r="I3102" t="str">
            <v>DEVTYPE19</v>
          </cell>
        </row>
        <row r="3103">
          <cell r="D3103">
            <v>887637</v>
          </cell>
          <cell r="E3103" t="str">
            <v>EUR</v>
          </cell>
          <cell r="F3103">
            <v>247.17</v>
          </cell>
          <cell r="G3103" t="str">
            <v>EUR</v>
          </cell>
          <cell r="H3103" t="e">
            <v>#VALUE!</v>
          </cell>
          <cell r="I3103" t="str">
            <v>DEVTYPE2</v>
          </cell>
        </row>
        <row r="3104">
          <cell r="D3104">
            <v>888164</v>
          </cell>
          <cell r="E3104" t="str">
            <v>EUR</v>
          </cell>
          <cell r="F3104">
            <v>15.67</v>
          </cell>
          <cell r="G3104" t="str">
            <v>EUR</v>
          </cell>
          <cell r="H3104" t="e">
            <v>#VALUE!</v>
          </cell>
          <cell r="I3104" t="str">
            <v>DEVTYPE21</v>
          </cell>
        </row>
        <row r="3105">
          <cell r="D3105">
            <v>889855</v>
          </cell>
          <cell r="E3105" t="str">
            <v>EUR</v>
          </cell>
          <cell r="F3105">
            <v>51.12</v>
          </cell>
          <cell r="G3105" t="str">
            <v>EUR</v>
          </cell>
          <cell r="H3105" t="e">
            <v>#VALUE!</v>
          </cell>
          <cell r="I3105" t="str">
            <v>DEVTYPE3</v>
          </cell>
        </row>
        <row r="3106">
          <cell r="D3106">
            <v>887733</v>
          </cell>
          <cell r="E3106" t="str">
            <v>EUR</v>
          </cell>
          <cell r="F3106">
            <v>200.15</v>
          </cell>
          <cell r="G3106" t="str">
            <v>EUR</v>
          </cell>
          <cell r="H3106" t="e">
            <v>#VALUE!</v>
          </cell>
          <cell r="I3106" t="str">
            <v>DEVTYPE5</v>
          </cell>
        </row>
        <row r="3107">
          <cell r="D3107">
            <v>887748</v>
          </cell>
          <cell r="E3107" t="str">
            <v>EUR</v>
          </cell>
          <cell r="F3107">
            <v>201.42</v>
          </cell>
          <cell r="G3107" t="str">
            <v>EUR</v>
          </cell>
          <cell r="H3107" t="e">
            <v>#VALUE!</v>
          </cell>
          <cell r="I3107" t="str">
            <v>DEVTYPE7</v>
          </cell>
        </row>
        <row r="3108">
          <cell r="D3108">
            <v>887797</v>
          </cell>
          <cell r="E3108" t="str">
            <v>EUR</v>
          </cell>
          <cell r="F3108">
            <v>209.48</v>
          </cell>
          <cell r="G3108" t="str">
            <v>EUR</v>
          </cell>
          <cell r="H3108" t="e">
            <v>#VALUE!</v>
          </cell>
          <cell r="I3108" t="str">
            <v>DEVTYPE9</v>
          </cell>
        </row>
        <row r="3109">
          <cell r="D3109">
            <v>339032</v>
          </cell>
          <cell r="E3109" t="str">
            <v>EUR</v>
          </cell>
          <cell r="F3109">
            <v>49.68</v>
          </cell>
          <cell r="G3109" t="e">
            <v>#N/A</v>
          </cell>
          <cell r="H3109" t="e">
            <v>#N/A</v>
          </cell>
          <cell r="I3109" t="str">
            <v>FAXCART1200</v>
          </cell>
        </row>
        <row r="3110">
          <cell r="D3110">
            <v>923180</v>
          </cell>
          <cell r="E3110" t="str">
            <v>EUR</v>
          </cell>
          <cell r="F3110">
            <v>86.59</v>
          </cell>
          <cell r="G3110" t="e">
            <v>#N/A</v>
          </cell>
          <cell r="H3110" t="e">
            <v>#N/A</v>
          </cell>
          <cell r="I3110" t="str">
            <v>FAXCART61BLA</v>
          </cell>
        </row>
        <row r="3111">
          <cell r="D3111">
            <v>923181</v>
          </cell>
          <cell r="E3111" t="str">
            <v>EUR</v>
          </cell>
          <cell r="F3111">
            <v>86.59</v>
          </cell>
          <cell r="G3111" t="e">
            <v>#N/A</v>
          </cell>
          <cell r="H3111" t="e">
            <v>#N/A</v>
          </cell>
          <cell r="I3111" t="str">
            <v>FAXCART61CLR</v>
          </cell>
        </row>
        <row r="3112">
          <cell r="D3112">
            <v>430013</v>
          </cell>
          <cell r="E3112" t="str">
            <v>EUR</v>
          </cell>
          <cell r="F3112">
            <v>17.38</v>
          </cell>
          <cell r="G3112" t="str">
            <v>EUR</v>
          </cell>
          <cell r="H3112" t="e">
            <v>#VALUE!</v>
          </cell>
          <cell r="I3112" t="str">
            <v>FAXCART68BLA</v>
          </cell>
        </row>
        <row r="3113">
          <cell r="D3113">
            <v>430014</v>
          </cell>
          <cell r="E3113" t="str">
            <v>EUR</v>
          </cell>
          <cell r="F3113">
            <v>24.84</v>
          </cell>
          <cell r="G3113" t="str">
            <v>EUR</v>
          </cell>
          <cell r="H3113" t="e">
            <v>#VALUE!</v>
          </cell>
          <cell r="I3113" t="str">
            <v>FAXCART68CLR</v>
          </cell>
        </row>
        <row r="3114">
          <cell r="D3114">
            <v>334238</v>
          </cell>
          <cell r="E3114" t="str">
            <v>EUR</v>
          </cell>
          <cell r="F3114">
            <v>670.99</v>
          </cell>
          <cell r="G3114" t="e">
            <v>#N/A</v>
          </cell>
          <cell r="H3114" t="e">
            <v>#N/A</v>
          </cell>
          <cell r="I3114" t="str">
            <v>FAXCART800</v>
          </cell>
        </row>
        <row r="3115">
          <cell r="D3115">
            <v>339353</v>
          </cell>
          <cell r="E3115" t="str">
            <v>EUR</v>
          </cell>
          <cell r="F3115">
            <v>857.58</v>
          </cell>
          <cell r="G3115" t="e">
            <v>#N/A</v>
          </cell>
          <cell r="H3115" t="e">
            <v>#N/A</v>
          </cell>
          <cell r="I3115" t="str">
            <v>FAXCART88BLA</v>
          </cell>
        </row>
        <row r="3116">
          <cell r="D3116">
            <v>894716</v>
          </cell>
          <cell r="E3116" t="str">
            <v>EUR</v>
          </cell>
          <cell r="F3116">
            <v>239.38</v>
          </cell>
          <cell r="G3116" t="str">
            <v>EUR</v>
          </cell>
          <cell r="H3116" t="e">
            <v>#VALUE!</v>
          </cell>
          <cell r="I3116" t="str">
            <v>FAXMASTER100</v>
          </cell>
        </row>
        <row r="3117">
          <cell r="D3117">
            <v>889347</v>
          </cell>
          <cell r="E3117" t="str">
            <v>EUR</v>
          </cell>
          <cell r="F3117">
            <v>238.47</v>
          </cell>
          <cell r="G3117" t="str">
            <v>EUR</v>
          </cell>
          <cell r="H3117" t="e">
            <v>#VALUE!</v>
          </cell>
          <cell r="I3117" t="str">
            <v>FAXMASTER30</v>
          </cell>
        </row>
        <row r="3118">
          <cell r="D3118">
            <v>593928</v>
          </cell>
          <cell r="E3118" t="str">
            <v>EUR</v>
          </cell>
          <cell r="F3118">
            <v>450.76</v>
          </cell>
          <cell r="G3118" t="str">
            <v>EUR</v>
          </cell>
          <cell r="H3118" t="e">
            <v>#VALUE!</v>
          </cell>
          <cell r="I3118" t="str">
            <v>FAXMAST1000L</v>
          </cell>
        </row>
        <row r="3119">
          <cell r="D3119">
            <v>339472</v>
          </cell>
          <cell r="E3119" t="str">
            <v>EUR</v>
          </cell>
          <cell r="F3119">
            <v>177.42</v>
          </cell>
          <cell r="G3119" t="str">
            <v>EUR</v>
          </cell>
          <cell r="H3119" t="e">
            <v>#VALUE!</v>
          </cell>
          <cell r="I3119" t="str">
            <v>FAXMAST70</v>
          </cell>
        </row>
        <row r="3120">
          <cell r="D3120">
            <v>920616</v>
          </cell>
          <cell r="E3120" t="str">
            <v>EUR</v>
          </cell>
          <cell r="F3120">
            <v>140.30000000000001</v>
          </cell>
          <cell r="G3120" t="e">
            <v>#N/A</v>
          </cell>
          <cell r="H3120" t="e">
            <v>#N/A</v>
          </cell>
          <cell r="I3120" t="str">
            <v>FAXRIBBON500</v>
          </cell>
        </row>
        <row r="3121">
          <cell r="D3121">
            <v>430244</v>
          </cell>
          <cell r="E3121" t="str">
            <v>EUR</v>
          </cell>
          <cell r="F3121">
            <v>41.02</v>
          </cell>
          <cell r="G3121" t="str">
            <v>EUR</v>
          </cell>
          <cell r="H3121" t="e">
            <v>#VALUE!</v>
          </cell>
          <cell r="I3121" t="str">
            <v>FAXTNR1435CN</v>
          </cell>
        </row>
        <row r="3122">
          <cell r="D3122">
            <v>430400</v>
          </cell>
          <cell r="E3122" t="str">
            <v>EUR</v>
          </cell>
          <cell r="F3122">
            <v>54.83</v>
          </cell>
          <cell r="G3122" t="e">
            <v>#N/A</v>
          </cell>
          <cell r="H3122" t="e">
            <v>#N/A</v>
          </cell>
          <cell r="I3122" t="str">
            <v>FAXTN1265KOR</v>
          </cell>
        </row>
        <row r="3123">
          <cell r="D3123">
            <v>430245</v>
          </cell>
          <cell r="E3123" t="str">
            <v>EUR</v>
          </cell>
          <cell r="F3123">
            <v>74.95</v>
          </cell>
          <cell r="G3123" t="str">
            <v>EUR</v>
          </cell>
          <cell r="H3123" t="e">
            <v>#VALUE!</v>
          </cell>
          <cell r="I3123" t="str">
            <v>FAXTONER5210</v>
          </cell>
        </row>
        <row r="3124">
          <cell r="D3124">
            <v>339474</v>
          </cell>
          <cell r="E3124" t="str">
            <v>EUR</v>
          </cell>
          <cell r="F3124">
            <v>202.86</v>
          </cell>
          <cell r="G3124" t="str">
            <v>EUR</v>
          </cell>
          <cell r="H3124" t="e">
            <v>#VALUE!</v>
          </cell>
          <cell r="I3124" t="str">
            <v>FAXTONER70</v>
          </cell>
        </row>
        <row r="3125">
          <cell r="D3125">
            <v>593901</v>
          </cell>
          <cell r="E3125" t="str">
            <v>EUR</v>
          </cell>
          <cell r="F3125">
            <v>45.42</v>
          </cell>
          <cell r="G3125" t="e">
            <v>#N/A</v>
          </cell>
          <cell r="H3125" t="e">
            <v>#N/A</v>
          </cell>
          <cell r="I3125" t="str">
            <v>FAXTON1000L</v>
          </cell>
        </row>
        <row r="3126">
          <cell r="D3126">
            <v>430278</v>
          </cell>
          <cell r="E3126" t="str">
            <v>EUR</v>
          </cell>
          <cell r="F3126">
            <v>43.76</v>
          </cell>
          <cell r="G3126" t="str">
            <v>EUR</v>
          </cell>
          <cell r="H3126" t="e">
            <v>#VALUE!</v>
          </cell>
          <cell r="I3126" t="str">
            <v>FAXTON1240CN</v>
          </cell>
        </row>
        <row r="3127">
          <cell r="D3127">
            <v>430351</v>
          </cell>
          <cell r="E3127" t="str">
            <v>EUR</v>
          </cell>
          <cell r="F3127">
            <v>36.21</v>
          </cell>
          <cell r="G3127" t="str">
            <v>EUR</v>
          </cell>
          <cell r="H3127" t="e">
            <v>#VALUE!</v>
          </cell>
          <cell r="I3127" t="str">
            <v>FAXTON1260CN</v>
          </cell>
        </row>
        <row r="3128">
          <cell r="D3128">
            <v>339481</v>
          </cell>
          <cell r="E3128" t="str">
            <v>EUR</v>
          </cell>
          <cell r="F3128">
            <v>177.61</v>
          </cell>
          <cell r="G3128" t="e">
            <v>#N/A</v>
          </cell>
          <cell r="H3128" t="e">
            <v>#N/A</v>
          </cell>
          <cell r="I3128" t="str">
            <v>FAXTON150FRA</v>
          </cell>
        </row>
        <row r="3129">
          <cell r="D3129">
            <v>889878</v>
          </cell>
          <cell r="E3129" t="str">
            <v>EUR</v>
          </cell>
          <cell r="F3129">
            <v>148.43</v>
          </cell>
          <cell r="G3129" t="str">
            <v>EUR</v>
          </cell>
          <cell r="H3129" t="e">
            <v>#VALUE!</v>
          </cell>
          <cell r="I3129" t="str">
            <v>FAXTON30TWN</v>
          </cell>
        </row>
        <row r="3130">
          <cell r="D3130">
            <v>400323</v>
          </cell>
          <cell r="E3130" t="str">
            <v>EUR</v>
          </cell>
          <cell r="F3130">
            <v>25.32</v>
          </cell>
          <cell r="G3130" t="str">
            <v>EUR</v>
          </cell>
          <cell r="H3130" t="e">
            <v>#VALUE!</v>
          </cell>
          <cell r="I3130" t="str">
            <v>FUSER204</v>
          </cell>
        </row>
        <row r="3131">
          <cell r="D3131">
            <v>889782</v>
          </cell>
          <cell r="E3131" t="str">
            <v>EUR</v>
          </cell>
          <cell r="F3131">
            <v>111.27</v>
          </cell>
          <cell r="G3131" t="str">
            <v>EUR</v>
          </cell>
          <cell r="H3131" t="e">
            <v>#VALUE!</v>
          </cell>
          <cell r="I3131" t="str">
            <v>IMAGEUNIT1</v>
          </cell>
        </row>
        <row r="3132">
          <cell r="D3132">
            <v>208050</v>
          </cell>
          <cell r="E3132" t="str">
            <v>EUR</v>
          </cell>
          <cell r="F3132">
            <v>310</v>
          </cell>
          <cell r="G3132" t="e">
            <v>#N/A</v>
          </cell>
          <cell r="H3132" t="e">
            <v>#N/A</v>
          </cell>
          <cell r="I3132" t="str">
            <v>LR1TONERBLA</v>
          </cell>
        </row>
        <row r="3133">
          <cell r="D3133">
            <v>400404</v>
          </cell>
          <cell r="E3133" t="str">
            <v>EUR</v>
          </cell>
          <cell r="F3133">
            <v>83.61</v>
          </cell>
          <cell r="G3133" t="str">
            <v>EUR</v>
          </cell>
          <cell r="H3133" t="e">
            <v>#VALUE!</v>
          </cell>
          <cell r="I3133" t="str">
            <v>MAINTEN1400</v>
          </cell>
        </row>
        <row r="3134">
          <cell r="D3134">
            <v>400401</v>
          </cell>
          <cell r="E3134" t="str">
            <v>EUR</v>
          </cell>
          <cell r="F3134">
            <v>96.4</v>
          </cell>
          <cell r="G3134" t="str">
            <v>EUR</v>
          </cell>
          <cell r="H3134" t="e">
            <v>#VALUE!</v>
          </cell>
          <cell r="I3134" t="str">
            <v>MAINTEN2000</v>
          </cell>
        </row>
        <row r="3135">
          <cell r="D3135">
            <v>400620</v>
          </cell>
          <cell r="E3135" t="str">
            <v>EUR</v>
          </cell>
          <cell r="F3135">
            <v>106.22</v>
          </cell>
          <cell r="G3135" t="str">
            <v>EUR</v>
          </cell>
          <cell r="H3135" t="e">
            <v>#VALUE!</v>
          </cell>
          <cell r="I3135" t="str">
            <v>MAINT2600CHN</v>
          </cell>
        </row>
        <row r="3136">
          <cell r="D3136">
            <v>400594</v>
          </cell>
          <cell r="E3136" t="str">
            <v>EUR</v>
          </cell>
          <cell r="F3136">
            <v>93.2</v>
          </cell>
          <cell r="G3136" t="str">
            <v>EUR</v>
          </cell>
          <cell r="H3136" t="e">
            <v>#VALUE!</v>
          </cell>
          <cell r="I3136" t="str">
            <v>MAINT3800A</v>
          </cell>
        </row>
        <row r="3137">
          <cell r="D3137">
            <v>400595</v>
          </cell>
          <cell r="E3137" t="str">
            <v>EUR</v>
          </cell>
          <cell r="F3137">
            <v>177.55</v>
          </cell>
          <cell r="G3137" t="str">
            <v>EUR</v>
          </cell>
          <cell r="H3137" t="e">
            <v>#VALUE!</v>
          </cell>
          <cell r="I3137" t="str">
            <v>MAINT3800B</v>
          </cell>
        </row>
        <row r="3138">
          <cell r="D3138">
            <v>400569</v>
          </cell>
          <cell r="E3138" t="str">
            <v>EUR</v>
          </cell>
          <cell r="F3138">
            <v>195.76</v>
          </cell>
          <cell r="G3138" t="str">
            <v>EUR</v>
          </cell>
          <cell r="H3138" t="e">
            <v>#VALUE!</v>
          </cell>
          <cell r="I3138" t="str">
            <v>MAINT3800C</v>
          </cell>
        </row>
        <row r="3139">
          <cell r="D3139">
            <v>400661</v>
          </cell>
          <cell r="E3139" t="str">
            <v>EUR</v>
          </cell>
          <cell r="F3139">
            <v>54.36</v>
          </cell>
          <cell r="G3139" t="str">
            <v>EUR</v>
          </cell>
          <cell r="H3139" t="e">
            <v>#VALUE!</v>
          </cell>
          <cell r="I3139" t="str">
            <v>MAINT3800D</v>
          </cell>
        </row>
        <row r="3140">
          <cell r="D3140">
            <v>400662</v>
          </cell>
          <cell r="E3140" t="str">
            <v>EUR</v>
          </cell>
          <cell r="F3140">
            <v>5.19</v>
          </cell>
          <cell r="G3140" t="str">
            <v>EUR</v>
          </cell>
          <cell r="H3140" t="e">
            <v>#VALUE!</v>
          </cell>
          <cell r="I3140" t="str">
            <v>MAINT3800E</v>
          </cell>
        </row>
        <row r="3141">
          <cell r="D3141">
            <v>400548</v>
          </cell>
          <cell r="E3141" t="str">
            <v>EUR</v>
          </cell>
          <cell r="F3141">
            <v>29.44</v>
          </cell>
          <cell r="G3141" t="str">
            <v>EUR</v>
          </cell>
          <cell r="H3141" t="e">
            <v>#VALUE!</v>
          </cell>
          <cell r="I3141" t="str">
            <v>MAINT3800F</v>
          </cell>
        </row>
        <row r="3142">
          <cell r="D3142">
            <v>400549</v>
          </cell>
          <cell r="E3142" t="str">
            <v>EUR</v>
          </cell>
          <cell r="F3142">
            <v>27.51</v>
          </cell>
          <cell r="G3142" t="str">
            <v>EUR</v>
          </cell>
          <cell r="H3142" t="e">
            <v>#VALUE!</v>
          </cell>
          <cell r="I3142" t="str">
            <v>MAINT3800G</v>
          </cell>
        </row>
        <row r="3143">
          <cell r="D3143">
            <v>400576</v>
          </cell>
          <cell r="E3143" t="str">
            <v>EUR</v>
          </cell>
          <cell r="F3143">
            <v>2.68</v>
          </cell>
          <cell r="G3143" t="str">
            <v>EUR</v>
          </cell>
          <cell r="H3143" t="e">
            <v>#VALUE!</v>
          </cell>
          <cell r="I3143" t="str">
            <v>MAINT3800H</v>
          </cell>
        </row>
        <row r="3144">
          <cell r="D3144">
            <v>209911</v>
          </cell>
          <cell r="E3144" t="str">
            <v>EUR</v>
          </cell>
          <cell r="F3144">
            <v>104.21</v>
          </cell>
          <cell r="G3144" t="str">
            <v>EUR</v>
          </cell>
          <cell r="H3144" t="e">
            <v>#VALUE!</v>
          </cell>
          <cell r="I3144" t="str">
            <v>MV250MAST</v>
          </cell>
        </row>
        <row r="3145">
          <cell r="D3145">
            <v>894718</v>
          </cell>
          <cell r="E3145" t="str">
            <v>EUR</v>
          </cell>
          <cell r="F3145">
            <v>239.38</v>
          </cell>
          <cell r="G3145" t="str">
            <v>EUR</v>
          </cell>
          <cell r="H3145" t="e">
            <v>#VALUE!</v>
          </cell>
          <cell r="I3145" t="str">
            <v>MV300MAST</v>
          </cell>
        </row>
        <row r="3146">
          <cell r="D3146">
            <v>887675</v>
          </cell>
          <cell r="E3146" t="str">
            <v>EUR</v>
          </cell>
          <cell r="F3146">
            <v>222.79</v>
          </cell>
          <cell r="G3146" t="str">
            <v>EUR</v>
          </cell>
          <cell r="H3146" t="e">
            <v>#VALUE!</v>
          </cell>
          <cell r="I3146" t="str">
            <v>MV300TONER</v>
          </cell>
        </row>
        <row r="3147">
          <cell r="D3147">
            <v>889606</v>
          </cell>
          <cell r="E3147" t="str">
            <v>EUR</v>
          </cell>
          <cell r="F3147">
            <v>104.03</v>
          </cell>
          <cell r="G3147" t="str">
            <v>EUR</v>
          </cell>
          <cell r="H3147" t="e">
            <v>#VALUE!</v>
          </cell>
          <cell r="I3147" t="str">
            <v>MV80MAST</v>
          </cell>
        </row>
        <row r="3148">
          <cell r="D3148">
            <v>889744</v>
          </cell>
          <cell r="E3148" t="str">
            <v>EUR</v>
          </cell>
          <cell r="F3148">
            <v>55.01</v>
          </cell>
          <cell r="G3148" t="str">
            <v>EUR</v>
          </cell>
          <cell r="H3148" t="e">
            <v>#VALUE!</v>
          </cell>
          <cell r="I3148" t="str">
            <v>MV80TONER</v>
          </cell>
        </row>
        <row r="3149">
          <cell r="D3149">
            <v>889351</v>
          </cell>
          <cell r="E3149" t="str">
            <v>EUR</v>
          </cell>
          <cell r="F3149">
            <v>128.18</v>
          </cell>
          <cell r="G3149" t="str">
            <v>EUR</v>
          </cell>
          <cell r="H3149" t="e">
            <v>#VALUE!</v>
          </cell>
          <cell r="I3149" t="str">
            <v>M100MASTUNT2</v>
          </cell>
        </row>
        <row r="3150">
          <cell r="D3150">
            <v>889260</v>
          </cell>
          <cell r="E3150" t="str">
            <v>EUR</v>
          </cell>
          <cell r="F3150">
            <v>118.13</v>
          </cell>
          <cell r="G3150" t="str">
            <v>EUR</v>
          </cell>
          <cell r="H3150" t="e">
            <v>#VALUE!</v>
          </cell>
          <cell r="I3150" t="str">
            <v>M5MASTUNT2</v>
          </cell>
        </row>
        <row r="3151">
          <cell r="D3151">
            <v>887659</v>
          </cell>
          <cell r="E3151" t="str">
            <v>EUR</v>
          </cell>
          <cell r="F3151">
            <v>23.59</v>
          </cell>
          <cell r="G3151" t="e">
            <v>#N/A</v>
          </cell>
          <cell r="H3151" t="e">
            <v>#N/A</v>
          </cell>
          <cell r="I3151" t="str">
            <v>M5TONERBLAUK</v>
          </cell>
        </row>
        <row r="3152">
          <cell r="D3152">
            <v>889207</v>
          </cell>
          <cell r="E3152" t="str">
            <v>EUR</v>
          </cell>
          <cell r="F3152">
            <v>40.51</v>
          </cell>
          <cell r="G3152" t="str">
            <v>EUR</v>
          </cell>
          <cell r="H3152" t="e">
            <v>#VALUE!</v>
          </cell>
          <cell r="I3152" t="str">
            <v>M5TONERRED</v>
          </cell>
        </row>
        <row r="3153">
          <cell r="D3153">
            <v>887664</v>
          </cell>
          <cell r="E3153" t="str">
            <v>EUR</v>
          </cell>
          <cell r="F3153">
            <v>26.21</v>
          </cell>
          <cell r="G3153" t="e">
            <v>#N/A</v>
          </cell>
          <cell r="H3153" t="e">
            <v>#N/A</v>
          </cell>
          <cell r="I3153" t="str">
            <v>M6TONERGER</v>
          </cell>
        </row>
        <row r="3154">
          <cell r="D3154">
            <v>889408</v>
          </cell>
          <cell r="E3154" t="str">
            <v>EUR</v>
          </cell>
          <cell r="F3154">
            <v>48.52</v>
          </cell>
          <cell r="G3154" t="str">
            <v>EUR</v>
          </cell>
          <cell r="H3154" t="e">
            <v>#VALUE!</v>
          </cell>
          <cell r="I3154" t="str">
            <v>NC11DEVCYN</v>
          </cell>
        </row>
        <row r="3155">
          <cell r="D3155">
            <v>889407</v>
          </cell>
          <cell r="E3155" t="str">
            <v>EUR</v>
          </cell>
          <cell r="F3155">
            <v>48.52</v>
          </cell>
          <cell r="G3155" t="str">
            <v>EUR</v>
          </cell>
          <cell r="H3155" t="e">
            <v>#VALUE!</v>
          </cell>
          <cell r="I3155" t="str">
            <v>NC11DEVMAG</v>
          </cell>
        </row>
        <row r="3156">
          <cell r="D3156">
            <v>889406</v>
          </cell>
          <cell r="E3156" t="str">
            <v>EUR</v>
          </cell>
          <cell r="F3156">
            <v>48.52</v>
          </cell>
          <cell r="G3156" t="str">
            <v>EUR</v>
          </cell>
          <cell r="H3156" t="e">
            <v>#VALUE!</v>
          </cell>
          <cell r="I3156" t="str">
            <v>NC11DEVYLW</v>
          </cell>
        </row>
        <row r="3157">
          <cell r="D3157">
            <v>887481</v>
          </cell>
          <cell r="E3157" t="str">
            <v>EUR</v>
          </cell>
          <cell r="F3157">
            <v>134.29</v>
          </cell>
          <cell r="G3157" t="e">
            <v>#N/A</v>
          </cell>
          <cell r="H3157" t="e">
            <v>#N/A</v>
          </cell>
          <cell r="I3157" t="str">
            <v>NC11TONERBLA</v>
          </cell>
        </row>
        <row r="3158">
          <cell r="D3158">
            <v>887487</v>
          </cell>
          <cell r="E3158" t="str">
            <v>EUR</v>
          </cell>
          <cell r="F3158">
            <v>75.459999999999994</v>
          </cell>
          <cell r="G3158" t="str">
            <v>EUR</v>
          </cell>
          <cell r="H3158" t="e">
            <v>#VALUE!</v>
          </cell>
          <cell r="I3158" t="str">
            <v>NC11TONERCYN</v>
          </cell>
        </row>
        <row r="3159">
          <cell r="D3159">
            <v>887485</v>
          </cell>
          <cell r="E3159" t="str">
            <v>EUR</v>
          </cell>
          <cell r="F3159">
            <v>75.459999999999994</v>
          </cell>
          <cell r="G3159" t="str">
            <v>EUR</v>
          </cell>
          <cell r="H3159" t="e">
            <v>#VALUE!</v>
          </cell>
          <cell r="I3159" t="str">
            <v>NC11TONERMAG</v>
          </cell>
        </row>
        <row r="3160">
          <cell r="D3160">
            <v>887483</v>
          </cell>
          <cell r="E3160" t="str">
            <v>EUR</v>
          </cell>
          <cell r="F3160">
            <v>75.459999999999994</v>
          </cell>
          <cell r="G3160" t="str">
            <v>EUR</v>
          </cell>
          <cell r="H3160" t="e">
            <v>#VALUE!</v>
          </cell>
          <cell r="I3160" t="str">
            <v>NC11TONERYLW</v>
          </cell>
        </row>
        <row r="3161">
          <cell r="D3161">
            <v>889526</v>
          </cell>
          <cell r="E3161" t="str">
            <v>EUR</v>
          </cell>
          <cell r="F3161">
            <v>98.77</v>
          </cell>
          <cell r="G3161" t="str">
            <v>EUR</v>
          </cell>
          <cell r="H3161" t="e">
            <v>#VALUE!</v>
          </cell>
          <cell r="I3161" t="str">
            <v>NC305DEVBLA</v>
          </cell>
        </row>
        <row r="3162">
          <cell r="D3162">
            <v>411113</v>
          </cell>
          <cell r="E3162" t="str">
            <v>EUR</v>
          </cell>
          <cell r="F3162">
            <v>62.01</v>
          </cell>
          <cell r="G3162" t="str">
            <v>EUR</v>
          </cell>
          <cell r="H3162" t="e">
            <v>#VALUE!</v>
          </cell>
          <cell r="I3162" t="str">
            <v>PCU1013CHN</v>
          </cell>
        </row>
        <row r="3163">
          <cell r="D3163">
            <v>411018</v>
          </cell>
          <cell r="E3163" t="str">
            <v>EUR</v>
          </cell>
          <cell r="F3163">
            <v>117.67</v>
          </cell>
          <cell r="G3163" t="str">
            <v>EUR</v>
          </cell>
          <cell r="H3163" t="e">
            <v>#VALUE!</v>
          </cell>
          <cell r="I3163" t="str">
            <v>PCU1027</v>
          </cell>
        </row>
        <row r="3164">
          <cell r="D3164">
            <v>400633</v>
          </cell>
          <cell r="E3164" t="str">
            <v>EUR</v>
          </cell>
          <cell r="F3164">
            <v>117.67</v>
          </cell>
          <cell r="G3164" t="str">
            <v>EUR</v>
          </cell>
          <cell r="H3164" t="e">
            <v>#VALUE!</v>
          </cell>
          <cell r="I3164" t="str">
            <v>PCU320</v>
          </cell>
        </row>
        <row r="3165">
          <cell r="D3165">
            <v>410509</v>
          </cell>
          <cell r="E3165" t="str">
            <v>EUR</v>
          </cell>
          <cell r="F3165">
            <v>57.52</v>
          </cell>
          <cell r="G3165" t="str">
            <v>EUR</v>
          </cell>
          <cell r="H3165" t="e">
            <v>#VALUE!</v>
          </cell>
          <cell r="I3165" t="str">
            <v>STAPLEREFH</v>
          </cell>
        </row>
        <row r="3166">
          <cell r="D3166">
            <v>410802</v>
          </cell>
          <cell r="E3166" t="str">
            <v>EUR</v>
          </cell>
          <cell r="F3166">
            <v>27.48</v>
          </cell>
          <cell r="G3166" t="str">
            <v>EUR</v>
          </cell>
          <cell r="H3166" t="e">
            <v>#VALUE!</v>
          </cell>
          <cell r="I3166" t="str">
            <v>STAPLEREFK</v>
          </cell>
        </row>
        <row r="3167">
          <cell r="D3167">
            <v>207866</v>
          </cell>
          <cell r="E3167" t="str">
            <v>EUR</v>
          </cell>
          <cell r="F3167">
            <v>29.36</v>
          </cell>
          <cell r="G3167" t="e">
            <v>#N/A</v>
          </cell>
          <cell r="H3167" t="e">
            <v>#N/A</v>
          </cell>
          <cell r="I3167" t="str">
            <v>STAPLETYPEB</v>
          </cell>
        </row>
        <row r="3168">
          <cell r="D3168">
            <v>208171</v>
          </cell>
          <cell r="E3168" t="str">
            <v>EUR</v>
          </cell>
          <cell r="F3168">
            <v>22.06</v>
          </cell>
          <cell r="G3168" t="str">
            <v>EUR</v>
          </cell>
          <cell r="H3168" t="e">
            <v>#VALUE!</v>
          </cell>
          <cell r="I3168" t="str">
            <v>STAPLETYPEC</v>
          </cell>
        </row>
        <row r="3169">
          <cell r="D3169">
            <v>208532</v>
          </cell>
          <cell r="E3169" t="str">
            <v>EUR</v>
          </cell>
          <cell r="F3169">
            <v>17.64</v>
          </cell>
          <cell r="G3169" t="str">
            <v>EUR</v>
          </cell>
          <cell r="H3169" t="e">
            <v>#VALUE!</v>
          </cell>
          <cell r="I3169" t="str">
            <v>STAPLETYPED</v>
          </cell>
        </row>
        <row r="3170">
          <cell r="D3170">
            <v>317927</v>
          </cell>
          <cell r="E3170" t="str">
            <v>EUR</v>
          </cell>
          <cell r="F3170">
            <v>16.03</v>
          </cell>
          <cell r="G3170" t="str">
            <v>EUR</v>
          </cell>
          <cell r="H3170" t="e">
            <v>#VALUE!</v>
          </cell>
          <cell r="I3170" t="str">
            <v>STAPLETYPEE</v>
          </cell>
        </row>
        <row r="3171">
          <cell r="D3171">
            <v>209307</v>
          </cell>
          <cell r="E3171" t="str">
            <v>EUR</v>
          </cell>
          <cell r="F3171">
            <v>24.08</v>
          </cell>
          <cell r="G3171" t="str">
            <v>EUR</v>
          </cell>
          <cell r="H3171" t="e">
            <v>#VALUE!</v>
          </cell>
          <cell r="I3171" t="str">
            <v>STAPLETYPEF</v>
          </cell>
        </row>
        <row r="3172">
          <cell r="D3172">
            <v>410133</v>
          </cell>
          <cell r="E3172" t="str">
            <v>EUR</v>
          </cell>
          <cell r="F3172">
            <v>24.08</v>
          </cell>
          <cell r="G3172" t="str">
            <v>EUR</v>
          </cell>
          <cell r="H3172" t="e">
            <v>#VALUE!</v>
          </cell>
          <cell r="I3172" t="str">
            <v>STAPLETYPEG</v>
          </cell>
        </row>
        <row r="3173">
          <cell r="D3173">
            <v>410508</v>
          </cell>
          <cell r="E3173" t="str">
            <v>EUR</v>
          </cell>
          <cell r="F3173">
            <v>25.55</v>
          </cell>
          <cell r="G3173" t="str">
            <v>EUR</v>
          </cell>
          <cell r="H3173" t="e">
            <v>#VALUE!</v>
          </cell>
          <cell r="I3173" t="str">
            <v>STAPLETYPEH</v>
          </cell>
        </row>
        <row r="3174">
          <cell r="D3174">
            <v>410597</v>
          </cell>
          <cell r="E3174" t="str">
            <v>EUR</v>
          </cell>
          <cell r="F3174">
            <v>29.56</v>
          </cell>
          <cell r="G3174" t="str">
            <v>EUR</v>
          </cell>
          <cell r="H3174" t="e">
            <v>#VALUE!</v>
          </cell>
          <cell r="I3174" t="str">
            <v>STAPLETYPEJ</v>
          </cell>
        </row>
        <row r="3175">
          <cell r="D3175">
            <v>410801</v>
          </cell>
          <cell r="E3175" t="str">
            <v>EUR</v>
          </cell>
          <cell r="F3175">
            <v>15.7</v>
          </cell>
          <cell r="G3175" t="str">
            <v>EUR</v>
          </cell>
          <cell r="H3175" t="e">
            <v>#VALUE!</v>
          </cell>
          <cell r="I3175" t="str">
            <v>STAPLETYPEK</v>
          </cell>
        </row>
        <row r="3176">
          <cell r="D3176">
            <v>922479</v>
          </cell>
          <cell r="E3176" t="str">
            <v>EUR</v>
          </cell>
          <cell r="F3176">
            <v>37</v>
          </cell>
          <cell r="G3176" t="e">
            <v>#N/A</v>
          </cell>
          <cell r="H3176" t="e">
            <v>#N/A</v>
          </cell>
          <cell r="I3176" t="str">
            <v>STAPLE85SWE</v>
          </cell>
        </row>
        <row r="3177">
          <cell r="D3177">
            <v>889341</v>
          </cell>
          <cell r="E3177" t="str">
            <v>EUR</v>
          </cell>
          <cell r="F3177">
            <v>70.180000000000007</v>
          </cell>
          <cell r="G3177" t="str">
            <v>EUR</v>
          </cell>
          <cell r="H3177" t="e">
            <v>#VALUE!</v>
          </cell>
          <cell r="I3177" t="str">
            <v>TONCOLLUN</v>
          </cell>
        </row>
        <row r="3178">
          <cell r="D3178">
            <v>885104</v>
          </cell>
          <cell r="E3178" t="str">
            <v>EUR</v>
          </cell>
          <cell r="F3178">
            <v>65.459999999999994</v>
          </cell>
          <cell r="G3178" t="e">
            <v>#N/A</v>
          </cell>
          <cell r="H3178" t="e">
            <v>#N/A</v>
          </cell>
          <cell r="I3178" t="str">
            <v>TONER10DFRA</v>
          </cell>
        </row>
        <row r="3179">
          <cell r="D3179">
            <v>888037</v>
          </cell>
          <cell r="E3179" t="str">
            <v>EUR</v>
          </cell>
          <cell r="F3179">
            <v>104.94</v>
          </cell>
          <cell r="G3179" t="str">
            <v>EUR</v>
          </cell>
          <cell r="H3179" t="e">
            <v>#VALUE!</v>
          </cell>
          <cell r="I3179" t="str">
            <v>TONER105CYN</v>
          </cell>
        </row>
        <row r="3180">
          <cell r="D3180">
            <v>888036</v>
          </cell>
          <cell r="E3180" t="str">
            <v>EUR</v>
          </cell>
          <cell r="F3180">
            <v>104.94</v>
          </cell>
          <cell r="G3180" t="str">
            <v>EUR</v>
          </cell>
          <cell r="H3180" t="e">
            <v>#VALUE!</v>
          </cell>
          <cell r="I3180" t="str">
            <v>TONER105MAG</v>
          </cell>
        </row>
        <row r="3181">
          <cell r="D3181">
            <v>888035</v>
          </cell>
          <cell r="E3181" t="str">
            <v>EUR</v>
          </cell>
          <cell r="F3181">
            <v>104.94</v>
          </cell>
          <cell r="G3181" t="str">
            <v>EUR</v>
          </cell>
          <cell r="H3181" t="e">
            <v>#VALUE!</v>
          </cell>
          <cell r="I3181" t="str">
            <v>TONER105YLW</v>
          </cell>
        </row>
        <row r="3182">
          <cell r="D3182">
            <v>885109</v>
          </cell>
          <cell r="E3182" t="str">
            <v>EUR</v>
          </cell>
          <cell r="F3182">
            <v>47.4</v>
          </cell>
          <cell r="G3182" t="e">
            <v>#N/A</v>
          </cell>
          <cell r="H3182" t="e">
            <v>#N/A</v>
          </cell>
          <cell r="I3182" t="str">
            <v>TONER20DEFRA</v>
          </cell>
        </row>
        <row r="3183">
          <cell r="D3183">
            <v>888032</v>
          </cell>
          <cell r="E3183" t="str">
            <v>EUR</v>
          </cell>
          <cell r="F3183">
            <v>41.79</v>
          </cell>
          <cell r="G3183" t="str">
            <v>EUR</v>
          </cell>
          <cell r="H3183" t="e">
            <v>#VALUE!</v>
          </cell>
          <cell r="I3183" t="str">
            <v>TONER205BLA</v>
          </cell>
        </row>
        <row r="3184">
          <cell r="D3184">
            <v>887849</v>
          </cell>
          <cell r="E3184" t="str">
            <v>EUR</v>
          </cell>
          <cell r="F3184">
            <v>75.05</v>
          </cell>
          <cell r="G3184" t="str">
            <v>EUR</v>
          </cell>
          <cell r="H3184" t="e">
            <v>#VALUE!</v>
          </cell>
          <cell r="I3184" t="str">
            <v>TONTYPEHCYN</v>
          </cell>
        </row>
        <row r="3185">
          <cell r="D3185">
            <v>887848</v>
          </cell>
          <cell r="E3185" t="str">
            <v>EUR</v>
          </cell>
          <cell r="F3185">
            <v>75.05</v>
          </cell>
          <cell r="G3185" t="str">
            <v>EUR</v>
          </cell>
          <cell r="H3185" t="e">
            <v>#VALUE!</v>
          </cell>
          <cell r="I3185" t="str">
            <v>TONTYPEHMAG</v>
          </cell>
        </row>
        <row r="3186">
          <cell r="D3186">
            <v>887845</v>
          </cell>
          <cell r="E3186" t="str">
            <v>EUR</v>
          </cell>
          <cell r="F3186">
            <v>79.05</v>
          </cell>
          <cell r="G3186" t="str">
            <v>EUR</v>
          </cell>
          <cell r="H3186" t="e">
            <v>#VALUE!</v>
          </cell>
          <cell r="I3186" t="str">
            <v>TONTYPEHXBLA</v>
          </cell>
        </row>
        <row r="3187">
          <cell r="D3187">
            <v>887847</v>
          </cell>
          <cell r="E3187" t="str">
            <v>EUR</v>
          </cell>
          <cell r="F3187">
            <v>75.05</v>
          </cell>
          <cell r="G3187" t="str">
            <v>EUR</v>
          </cell>
          <cell r="H3187" t="e">
            <v>#VALUE!</v>
          </cell>
          <cell r="I3187" t="str">
            <v>TONTYPEHYLW</v>
          </cell>
        </row>
        <row r="3188">
          <cell r="D3188">
            <v>887813</v>
          </cell>
          <cell r="E3188" t="str">
            <v>EUR</v>
          </cell>
          <cell r="F3188">
            <v>86.89</v>
          </cell>
          <cell r="G3188" t="str">
            <v>EUR</v>
          </cell>
          <cell r="H3188" t="e">
            <v>#VALUE!</v>
          </cell>
          <cell r="I3188" t="str">
            <v>TONTYPEJBLA</v>
          </cell>
        </row>
        <row r="3189">
          <cell r="D3189">
            <v>887816</v>
          </cell>
          <cell r="E3189" t="str">
            <v>EUR</v>
          </cell>
          <cell r="F3189">
            <v>96.57</v>
          </cell>
          <cell r="G3189" t="str">
            <v>EUR</v>
          </cell>
          <cell r="H3189" t="e">
            <v>#VALUE!</v>
          </cell>
          <cell r="I3189" t="str">
            <v>TONTYPEJCYN</v>
          </cell>
        </row>
        <row r="3190">
          <cell r="D3190">
            <v>887815</v>
          </cell>
          <cell r="E3190" t="str">
            <v>EUR</v>
          </cell>
          <cell r="F3190">
            <v>96.57</v>
          </cell>
          <cell r="G3190" t="str">
            <v>EUR</v>
          </cell>
          <cell r="H3190" t="e">
            <v>#VALUE!</v>
          </cell>
          <cell r="I3190" t="str">
            <v>TONTYPEJMAG</v>
          </cell>
        </row>
        <row r="3191">
          <cell r="D3191">
            <v>887814</v>
          </cell>
          <cell r="E3191" t="str">
            <v>EUR</v>
          </cell>
          <cell r="F3191">
            <v>96.57</v>
          </cell>
          <cell r="G3191" t="str">
            <v>EUR</v>
          </cell>
          <cell r="H3191" t="e">
            <v>#VALUE!</v>
          </cell>
          <cell r="I3191" t="str">
            <v>TONTYPEJYLW</v>
          </cell>
        </row>
        <row r="3192">
          <cell r="D3192">
            <v>887914</v>
          </cell>
          <cell r="E3192" t="str">
            <v>EUR</v>
          </cell>
          <cell r="F3192">
            <v>49.16</v>
          </cell>
          <cell r="G3192" t="str">
            <v>EUR</v>
          </cell>
          <cell r="H3192" t="e">
            <v>#VALUE!</v>
          </cell>
          <cell r="I3192" t="str">
            <v>TONTYPEK1BLA</v>
          </cell>
        </row>
        <row r="3193">
          <cell r="D3193">
            <v>887933</v>
          </cell>
          <cell r="E3193" t="str">
            <v>EUR</v>
          </cell>
          <cell r="F3193">
            <v>125.61</v>
          </cell>
          <cell r="G3193" t="str">
            <v>EUR</v>
          </cell>
          <cell r="H3193" t="e">
            <v>#VALUE!</v>
          </cell>
          <cell r="I3193" t="str">
            <v>TONTYPEK1CYN</v>
          </cell>
        </row>
        <row r="3194">
          <cell r="D3194">
            <v>887927</v>
          </cell>
          <cell r="E3194" t="str">
            <v>EUR</v>
          </cell>
          <cell r="F3194">
            <v>125.61</v>
          </cell>
          <cell r="G3194" t="str">
            <v>EUR</v>
          </cell>
          <cell r="H3194" t="e">
            <v>#VALUE!</v>
          </cell>
          <cell r="I3194" t="str">
            <v>TONTYPEK1MAG</v>
          </cell>
        </row>
        <row r="3195">
          <cell r="D3195">
            <v>887921</v>
          </cell>
          <cell r="E3195" t="str">
            <v>EUR</v>
          </cell>
          <cell r="F3195">
            <v>125.61</v>
          </cell>
          <cell r="G3195" t="str">
            <v>EUR</v>
          </cell>
          <cell r="H3195" t="e">
            <v>#VALUE!</v>
          </cell>
          <cell r="I3195" t="str">
            <v>TONTYPEK1YLW</v>
          </cell>
        </row>
        <row r="3196">
          <cell r="D3196">
            <v>887890</v>
          </cell>
          <cell r="E3196" t="str">
            <v>EUR</v>
          </cell>
          <cell r="F3196">
            <v>131.54</v>
          </cell>
          <cell r="G3196" t="str">
            <v>EUR</v>
          </cell>
          <cell r="H3196" t="e">
            <v>#VALUE!</v>
          </cell>
          <cell r="I3196" t="str">
            <v>TONTYPEL1BLA</v>
          </cell>
        </row>
        <row r="3197">
          <cell r="D3197">
            <v>887908</v>
          </cell>
          <cell r="E3197" t="str">
            <v>EUR</v>
          </cell>
          <cell r="F3197">
            <v>149.5</v>
          </cell>
          <cell r="G3197" t="str">
            <v>EUR</v>
          </cell>
          <cell r="H3197" t="e">
            <v>#VALUE!</v>
          </cell>
          <cell r="I3197" t="str">
            <v>TONTYPEL1CYN</v>
          </cell>
        </row>
        <row r="3198">
          <cell r="D3198">
            <v>887902</v>
          </cell>
          <cell r="E3198" t="str">
            <v>EUR</v>
          </cell>
          <cell r="F3198">
            <v>149.5</v>
          </cell>
          <cell r="G3198" t="str">
            <v>EUR</v>
          </cell>
          <cell r="H3198" t="e">
            <v>#VALUE!</v>
          </cell>
          <cell r="I3198" t="str">
            <v>TONTYPEL1MAG</v>
          </cell>
        </row>
        <row r="3199">
          <cell r="D3199">
            <v>887896</v>
          </cell>
          <cell r="E3199" t="str">
            <v>EUR</v>
          </cell>
          <cell r="F3199">
            <v>149.5</v>
          </cell>
          <cell r="G3199" t="str">
            <v>EUR</v>
          </cell>
          <cell r="H3199" t="e">
            <v>#VALUE!</v>
          </cell>
          <cell r="I3199" t="str">
            <v>TONTYPEL1YLW</v>
          </cell>
        </row>
        <row r="3200">
          <cell r="D3200">
            <v>410303</v>
          </cell>
          <cell r="E3200" t="str">
            <v>EUR</v>
          </cell>
          <cell r="F3200">
            <v>73.39</v>
          </cell>
          <cell r="G3200" t="str">
            <v>EUR</v>
          </cell>
          <cell r="H3200" t="e">
            <v>#VALUE!</v>
          </cell>
          <cell r="I3200" t="str">
            <v>TONTYPE185</v>
          </cell>
        </row>
        <row r="3201">
          <cell r="D3201">
            <v>401129</v>
          </cell>
          <cell r="E3201" t="str">
            <v>EUR</v>
          </cell>
          <cell r="F3201">
            <v>56.73</v>
          </cell>
          <cell r="G3201" t="e">
            <v>#N/A</v>
          </cell>
          <cell r="H3201" t="e">
            <v>#N/A</v>
          </cell>
          <cell r="I3201" t="str">
            <v>1125DTONUK</v>
          </cell>
        </row>
        <row r="3202">
          <cell r="D3202">
            <v>885122</v>
          </cell>
          <cell r="E3202" t="str">
            <v>EUR</v>
          </cell>
          <cell r="F3202">
            <v>45.24</v>
          </cell>
          <cell r="G3202" t="e">
            <v>#N/A</v>
          </cell>
          <cell r="H3202" t="e">
            <v>#N/A</v>
          </cell>
          <cell r="I3202" t="str">
            <v>1205TONERUK</v>
          </cell>
        </row>
        <row r="3203">
          <cell r="D3203">
            <v>339588</v>
          </cell>
          <cell r="E3203" t="str">
            <v>EUR</v>
          </cell>
          <cell r="F3203">
            <v>150.01</v>
          </cell>
          <cell r="G3203" t="str">
            <v>EUR</v>
          </cell>
          <cell r="H3203" t="e">
            <v>#VALUE!</v>
          </cell>
          <cell r="I3203" t="str">
            <v>1210DTONER</v>
          </cell>
        </row>
        <row r="3204">
          <cell r="D3204">
            <v>888078</v>
          </cell>
          <cell r="E3204" t="str">
            <v>EUR</v>
          </cell>
          <cell r="F3204">
            <v>39.21</v>
          </cell>
          <cell r="G3204" t="str">
            <v>EUR</v>
          </cell>
          <cell r="H3204" t="e">
            <v>#VALUE!</v>
          </cell>
          <cell r="I3204" t="str">
            <v>1215TONERKOR</v>
          </cell>
        </row>
        <row r="3205">
          <cell r="D3205">
            <v>888087</v>
          </cell>
          <cell r="E3205" t="str">
            <v>EUR</v>
          </cell>
          <cell r="F3205">
            <v>13.03</v>
          </cell>
          <cell r="G3205" t="str">
            <v>EUR</v>
          </cell>
          <cell r="H3205" t="e">
            <v>#VALUE!</v>
          </cell>
          <cell r="I3205" t="str">
            <v>1220DTONER</v>
          </cell>
        </row>
        <row r="3206">
          <cell r="D3206">
            <v>885258</v>
          </cell>
          <cell r="E3206" t="str">
            <v>EUR</v>
          </cell>
          <cell r="F3206">
            <v>9.33</v>
          </cell>
          <cell r="G3206" t="e">
            <v>#N/A</v>
          </cell>
          <cell r="H3206" t="e">
            <v>#N/A</v>
          </cell>
          <cell r="I3206" t="str">
            <v>1250DTONER</v>
          </cell>
        </row>
        <row r="3207">
          <cell r="D3207">
            <v>411073</v>
          </cell>
          <cell r="E3207" t="str">
            <v>EUR</v>
          </cell>
          <cell r="F3207">
            <v>45.56</v>
          </cell>
          <cell r="G3207" t="str">
            <v>EUR</v>
          </cell>
          <cell r="H3207" t="e">
            <v>#VALUE!</v>
          </cell>
          <cell r="I3207" t="str">
            <v>1255DTONCHN</v>
          </cell>
        </row>
        <row r="3208">
          <cell r="D3208">
            <v>887661</v>
          </cell>
          <cell r="E3208" t="str">
            <v>EUR</v>
          </cell>
          <cell r="F3208">
            <v>25.3</v>
          </cell>
          <cell r="G3208" t="e">
            <v>#N/A</v>
          </cell>
          <cell r="H3208" t="e">
            <v>#N/A</v>
          </cell>
          <cell r="I3208" t="str">
            <v>2050TONBLAUK</v>
          </cell>
        </row>
        <row r="3209">
          <cell r="D3209">
            <v>889776</v>
          </cell>
          <cell r="E3209" t="str">
            <v>EUR</v>
          </cell>
          <cell r="F3209">
            <v>195.44</v>
          </cell>
          <cell r="G3209" t="str">
            <v>EUR</v>
          </cell>
          <cell r="H3209" t="e">
            <v>#VALUE!</v>
          </cell>
          <cell r="I3209" t="str">
            <v>2200EXTONER</v>
          </cell>
        </row>
        <row r="3210">
          <cell r="D3210">
            <v>889614</v>
          </cell>
          <cell r="E3210" t="str">
            <v>EUR</v>
          </cell>
          <cell r="F3210">
            <v>50.52</v>
          </cell>
          <cell r="G3210" t="str">
            <v>EUR</v>
          </cell>
          <cell r="H3210" t="e">
            <v>#VALUE!</v>
          </cell>
          <cell r="I3210" t="str">
            <v>2205DTONER</v>
          </cell>
        </row>
        <row r="3211">
          <cell r="D3211">
            <v>885266</v>
          </cell>
          <cell r="E3211" t="str">
            <v>EUR</v>
          </cell>
          <cell r="F3211">
            <v>12.21</v>
          </cell>
          <cell r="G3211" t="e">
            <v>#N/A</v>
          </cell>
          <cell r="H3211" t="e">
            <v>#N/A</v>
          </cell>
          <cell r="I3211" t="str">
            <v>2220DTONFRA</v>
          </cell>
        </row>
        <row r="3212">
          <cell r="D3212">
            <v>889268</v>
          </cell>
          <cell r="E3212" t="str">
            <v>EUR</v>
          </cell>
          <cell r="F3212">
            <v>34.42</v>
          </cell>
          <cell r="G3212" t="str">
            <v>EUR</v>
          </cell>
          <cell r="H3212" t="e">
            <v>#VALUE!</v>
          </cell>
          <cell r="I3212" t="str">
            <v>310DEV</v>
          </cell>
        </row>
        <row r="3213">
          <cell r="D3213">
            <v>887612</v>
          </cell>
          <cell r="E3213" t="str">
            <v>EUR</v>
          </cell>
          <cell r="F3213">
            <v>18.05</v>
          </cell>
          <cell r="G3213" t="e">
            <v>#N/A</v>
          </cell>
          <cell r="H3213" t="e">
            <v>#N/A</v>
          </cell>
          <cell r="I3213" t="str">
            <v>310TONERUK</v>
          </cell>
        </row>
        <row r="3214">
          <cell r="D3214">
            <v>887681</v>
          </cell>
          <cell r="E3214" t="str">
            <v>EUR</v>
          </cell>
          <cell r="F3214">
            <v>18.05</v>
          </cell>
          <cell r="G3214" t="e">
            <v>#N/A</v>
          </cell>
          <cell r="H3214" t="e">
            <v>#N/A</v>
          </cell>
          <cell r="I3214" t="str">
            <v>320TONERUK</v>
          </cell>
        </row>
        <row r="3215">
          <cell r="D3215">
            <v>885180</v>
          </cell>
          <cell r="E3215" t="str">
            <v>EUR</v>
          </cell>
          <cell r="F3215">
            <v>97.05</v>
          </cell>
          <cell r="G3215" t="e">
            <v>#N/A</v>
          </cell>
          <cell r="H3215" t="e">
            <v>#N/A</v>
          </cell>
          <cell r="I3215" t="str">
            <v>3200DTONUK</v>
          </cell>
        </row>
        <row r="3216">
          <cell r="D3216">
            <v>888063</v>
          </cell>
          <cell r="E3216" t="str">
            <v>EUR</v>
          </cell>
          <cell r="F3216">
            <v>21.92</v>
          </cell>
          <cell r="G3216" t="e">
            <v>#N/A</v>
          </cell>
          <cell r="H3216" t="e">
            <v>#N/A</v>
          </cell>
          <cell r="I3216" t="str">
            <v>3205DTONER</v>
          </cell>
        </row>
        <row r="3217">
          <cell r="D3217">
            <v>889415</v>
          </cell>
          <cell r="E3217" t="str">
            <v>EUR</v>
          </cell>
          <cell r="F3217">
            <v>35.96</v>
          </cell>
          <cell r="G3217" t="e">
            <v>#N/A</v>
          </cell>
          <cell r="H3217" t="e">
            <v>#N/A</v>
          </cell>
          <cell r="I3217" t="str">
            <v>3300DEVUSA</v>
          </cell>
        </row>
        <row r="3218">
          <cell r="D3218">
            <v>889411</v>
          </cell>
          <cell r="E3218" t="str">
            <v>EUR</v>
          </cell>
          <cell r="F3218">
            <v>43.24</v>
          </cell>
          <cell r="G3218" t="e">
            <v>#N/A</v>
          </cell>
          <cell r="H3218" t="e">
            <v>#N/A</v>
          </cell>
          <cell r="I3218" t="str">
            <v>3300TONERUK</v>
          </cell>
        </row>
        <row r="3219">
          <cell r="D3219">
            <v>887133</v>
          </cell>
          <cell r="E3219" t="str">
            <v>EUR</v>
          </cell>
          <cell r="F3219">
            <v>51.95</v>
          </cell>
          <cell r="G3219" t="e">
            <v>#N/A</v>
          </cell>
          <cell r="H3219" t="e">
            <v>#N/A</v>
          </cell>
          <cell r="I3219" t="str">
            <v>4000DEVUSA</v>
          </cell>
        </row>
        <row r="3220">
          <cell r="D3220">
            <v>887564</v>
          </cell>
          <cell r="E3220" t="str">
            <v>EUR</v>
          </cell>
          <cell r="F3220">
            <v>32.520000000000003</v>
          </cell>
          <cell r="G3220" t="str">
            <v>EUR</v>
          </cell>
          <cell r="H3220" t="e">
            <v>#VALUE!</v>
          </cell>
          <cell r="I3220" t="str">
            <v>4418DEVBLA</v>
          </cell>
        </row>
        <row r="3221">
          <cell r="D3221">
            <v>887566</v>
          </cell>
          <cell r="E3221" t="str">
            <v>EUR</v>
          </cell>
          <cell r="F3221">
            <v>67.45</v>
          </cell>
          <cell r="G3221" t="str">
            <v>EUR</v>
          </cell>
          <cell r="H3221" t="e">
            <v>#VALUE!</v>
          </cell>
          <cell r="I3221" t="str">
            <v>4418DEVBLU</v>
          </cell>
        </row>
        <row r="3222">
          <cell r="D3222">
            <v>887567</v>
          </cell>
          <cell r="E3222" t="str">
            <v>EUR</v>
          </cell>
          <cell r="F3222">
            <v>67.45</v>
          </cell>
          <cell r="G3222" t="str">
            <v>EUR</v>
          </cell>
          <cell r="H3222" t="e">
            <v>#VALUE!</v>
          </cell>
          <cell r="I3222" t="str">
            <v>4418DEVGRE</v>
          </cell>
        </row>
        <row r="3223">
          <cell r="D3223">
            <v>887565</v>
          </cell>
          <cell r="E3223" t="str">
            <v>EUR</v>
          </cell>
          <cell r="F3223">
            <v>64.11</v>
          </cell>
          <cell r="G3223" t="str">
            <v>EUR</v>
          </cell>
          <cell r="H3223" t="e">
            <v>#VALUE!</v>
          </cell>
          <cell r="I3223" t="str">
            <v>4418DEVRED</v>
          </cell>
        </row>
        <row r="3224">
          <cell r="D3224">
            <v>887610</v>
          </cell>
          <cell r="E3224" t="str">
            <v>EUR</v>
          </cell>
          <cell r="F3224">
            <v>37.83</v>
          </cell>
          <cell r="G3224" t="e">
            <v>#N/A</v>
          </cell>
          <cell r="H3224" t="e">
            <v>#N/A</v>
          </cell>
          <cell r="I3224" t="str">
            <v>4418TONBLAUK</v>
          </cell>
        </row>
        <row r="3225">
          <cell r="D3225">
            <v>887530</v>
          </cell>
          <cell r="E3225" t="str">
            <v>EUR</v>
          </cell>
          <cell r="F3225">
            <v>45.58</v>
          </cell>
          <cell r="G3225" t="str">
            <v>EUR</v>
          </cell>
          <cell r="H3225" t="e">
            <v>#VALUE!</v>
          </cell>
          <cell r="I3225" t="str">
            <v>4418TONERBLU</v>
          </cell>
        </row>
        <row r="3226">
          <cell r="D3226">
            <v>887533</v>
          </cell>
          <cell r="E3226" t="str">
            <v>EUR</v>
          </cell>
          <cell r="F3226">
            <v>45.58</v>
          </cell>
          <cell r="G3226" t="str">
            <v>EUR</v>
          </cell>
          <cell r="H3226" t="e">
            <v>#VALUE!</v>
          </cell>
          <cell r="I3226" t="str">
            <v>4418TONERGRE</v>
          </cell>
        </row>
        <row r="3227">
          <cell r="D3227">
            <v>887527</v>
          </cell>
          <cell r="E3227" t="str">
            <v>EUR</v>
          </cell>
          <cell r="F3227">
            <v>45.58</v>
          </cell>
          <cell r="G3227" t="str">
            <v>EUR</v>
          </cell>
          <cell r="H3227" t="e">
            <v>#VALUE!</v>
          </cell>
          <cell r="I3227" t="str">
            <v>4418TONERRED</v>
          </cell>
        </row>
        <row r="3228">
          <cell r="D3228">
            <v>887453</v>
          </cell>
          <cell r="E3228" t="str">
            <v>EUR</v>
          </cell>
          <cell r="F3228">
            <v>39.21</v>
          </cell>
          <cell r="G3228" t="str">
            <v>EUR</v>
          </cell>
          <cell r="H3228" t="e">
            <v>#VALUE!</v>
          </cell>
          <cell r="I3228" t="str">
            <v>4460TONERBLU</v>
          </cell>
        </row>
        <row r="3229">
          <cell r="D3229">
            <v>887454</v>
          </cell>
          <cell r="E3229" t="str">
            <v>EUR</v>
          </cell>
          <cell r="F3229">
            <v>39.21</v>
          </cell>
          <cell r="G3229" t="str">
            <v>EUR</v>
          </cell>
          <cell r="H3229" t="e">
            <v>#VALUE!</v>
          </cell>
          <cell r="I3229" t="str">
            <v>4460TONERGRE</v>
          </cell>
        </row>
        <row r="3230">
          <cell r="D3230">
            <v>887452</v>
          </cell>
          <cell r="E3230" t="str">
            <v>EUR</v>
          </cell>
          <cell r="F3230">
            <v>39.21</v>
          </cell>
          <cell r="G3230" t="str">
            <v>EUR</v>
          </cell>
          <cell r="H3230" t="e">
            <v>#VALUE!</v>
          </cell>
          <cell r="I3230" t="str">
            <v>4460TONERRED</v>
          </cell>
        </row>
        <row r="3231">
          <cell r="D3231">
            <v>887622</v>
          </cell>
          <cell r="E3231" t="str">
            <v>EUR</v>
          </cell>
          <cell r="F3231">
            <v>33.9</v>
          </cell>
          <cell r="G3231" t="e">
            <v>#N/A</v>
          </cell>
          <cell r="H3231" t="e">
            <v>#N/A</v>
          </cell>
          <cell r="I3231" t="str">
            <v>5000TONERUK</v>
          </cell>
        </row>
        <row r="3232">
          <cell r="D3232">
            <v>887655</v>
          </cell>
          <cell r="E3232" t="str">
            <v>EUR</v>
          </cell>
          <cell r="F3232">
            <v>56.51</v>
          </cell>
          <cell r="G3232" t="e">
            <v>#N/A</v>
          </cell>
          <cell r="H3232" t="e">
            <v>#N/A</v>
          </cell>
          <cell r="I3232" t="str">
            <v>5010TONBLUK</v>
          </cell>
        </row>
        <row r="3233">
          <cell r="D3233">
            <v>889292</v>
          </cell>
          <cell r="E3233" t="str">
            <v>EUR</v>
          </cell>
          <cell r="F3233">
            <v>24.9</v>
          </cell>
          <cell r="G3233" t="str">
            <v>EUR</v>
          </cell>
          <cell r="H3233" t="e">
            <v>#VALUE!</v>
          </cell>
          <cell r="I3233" t="str">
            <v>510DEVBLU</v>
          </cell>
        </row>
        <row r="3234">
          <cell r="D3234">
            <v>889289</v>
          </cell>
          <cell r="E3234" t="str">
            <v>EUR</v>
          </cell>
          <cell r="F3234">
            <v>24.9</v>
          </cell>
          <cell r="G3234" t="str">
            <v>EUR</v>
          </cell>
          <cell r="H3234" t="e">
            <v>#VALUE!</v>
          </cell>
          <cell r="I3234" t="str">
            <v>510DEVRED</v>
          </cell>
        </row>
        <row r="3235">
          <cell r="D3235">
            <v>887616</v>
          </cell>
          <cell r="E3235" t="str">
            <v>EUR</v>
          </cell>
          <cell r="F3235">
            <v>37.54</v>
          </cell>
          <cell r="G3235" t="e">
            <v>#N/A</v>
          </cell>
          <cell r="H3235" t="e">
            <v>#N/A</v>
          </cell>
          <cell r="I3235" t="str">
            <v>510TONBLAUK</v>
          </cell>
        </row>
        <row r="3236">
          <cell r="D3236">
            <v>889283</v>
          </cell>
          <cell r="E3236" t="str">
            <v>EUR</v>
          </cell>
          <cell r="F3236">
            <v>44.42</v>
          </cell>
          <cell r="G3236" t="str">
            <v>EUR</v>
          </cell>
          <cell r="H3236" t="e">
            <v>#VALUE!</v>
          </cell>
          <cell r="I3236" t="str">
            <v>510TONERBLU</v>
          </cell>
        </row>
        <row r="3237">
          <cell r="D3237">
            <v>889286</v>
          </cell>
          <cell r="E3237" t="str">
            <v>EUR</v>
          </cell>
          <cell r="F3237">
            <v>44.42</v>
          </cell>
          <cell r="G3237" t="str">
            <v>EUR</v>
          </cell>
          <cell r="H3237" t="e">
            <v>#VALUE!</v>
          </cell>
          <cell r="I3237" t="str">
            <v>510TONERGRE</v>
          </cell>
        </row>
        <row r="3238">
          <cell r="D3238">
            <v>889280</v>
          </cell>
          <cell r="E3238" t="str">
            <v>EUR</v>
          </cell>
          <cell r="F3238">
            <v>44.42</v>
          </cell>
          <cell r="G3238" t="str">
            <v>EUR</v>
          </cell>
          <cell r="H3238" t="e">
            <v>#VALUE!</v>
          </cell>
          <cell r="I3238" t="str">
            <v>510TONERRED</v>
          </cell>
        </row>
        <row r="3239">
          <cell r="D3239">
            <v>885190</v>
          </cell>
          <cell r="E3239" t="str">
            <v>EUR</v>
          </cell>
          <cell r="F3239">
            <v>117.3</v>
          </cell>
          <cell r="G3239" t="e">
            <v>#N/A</v>
          </cell>
          <cell r="H3239" t="e">
            <v>#N/A</v>
          </cell>
          <cell r="I3239" t="str">
            <v>5200DTONFRA</v>
          </cell>
        </row>
        <row r="3240">
          <cell r="D3240">
            <v>885241</v>
          </cell>
          <cell r="E3240" t="str">
            <v>EUR</v>
          </cell>
          <cell r="F3240">
            <v>123.32</v>
          </cell>
          <cell r="G3240" t="e">
            <v>#N/A</v>
          </cell>
          <cell r="H3240" t="e">
            <v>#N/A</v>
          </cell>
          <cell r="I3240" t="str">
            <v>5205DTONER2</v>
          </cell>
        </row>
        <row r="3241">
          <cell r="D3241">
            <v>887642</v>
          </cell>
          <cell r="E3241" t="str">
            <v>EUR</v>
          </cell>
          <cell r="F3241">
            <v>113.22</v>
          </cell>
          <cell r="G3241" t="e">
            <v>#N/A</v>
          </cell>
          <cell r="H3241" t="e">
            <v>#N/A</v>
          </cell>
          <cell r="I3241" t="str">
            <v>610TONERUK</v>
          </cell>
        </row>
        <row r="3242">
          <cell r="D3242">
            <v>887576</v>
          </cell>
          <cell r="E3242" t="str">
            <v>EUR</v>
          </cell>
          <cell r="F3242">
            <v>67.430000000000007</v>
          </cell>
          <cell r="G3242" t="str">
            <v>EUR</v>
          </cell>
          <cell r="H3242" t="e">
            <v>#VALUE!</v>
          </cell>
          <cell r="I3242" t="str">
            <v>670DEV</v>
          </cell>
        </row>
        <row r="3243">
          <cell r="D3243">
            <v>887571</v>
          </cell>
          <cell r="E3243" t="str">
            <v>EUR</v>
          </cell>
          <cell r="F3243">
            <v>47.81</v>
          </cell>
          <cell r="G3243" t="e">
            <v>#N/A</v>
          </cell>
          <cell r="H3243" t="e">
            <v>#N/A</v>
          </cell>
          <cell r="I3243" t="str">
            <v>670TONERUSA</v>
          </cell>
        </row>
        <row r="3244">
          <cell r="D3244">
            <v>889553</v>
          </cell>
          <cell r="E3244" t="str">
            <v>EUR</v>
          </cell>
          <cell r="F3244">
            <v>32.01</v>
          </cell>
          <cell r="G3244" t="str">
            <v>EUR</v>
          </cell>
          <cell r="H3244" t="e">
            <v>#VALUE!</v>
          </cell>
          <cell r="I3244" t="str">
            <v>8015DEVBLA</v>
          </cell>
        </row>
        <row r="3245">
          <cell r="D3245">
            <v>889556</v>
          </cell>
          <cell r="E3245" t="str">
            <v>EUR</v>
          </cell>
          <cell r="F3245">
            <v>32.01</v>
          </cell>
          <cell r="G3245" t="str">
            <v>EUR</v>
          </cell>
          <cell r="H3245" t="e">
            <v>#VALUE!</v>
          </cell>
          <cell r="I3245" t="str">
            <v>8015DEVYLW</v>
          </cell>
        </row>
        <row r="3246">
          <cell r="D3246">
            <v>889541</v>
          </cell>
          <cell r="E3246" t="str">
            <v>EUR</v>
          </cell>
          <cell r="F3246">
            <v>182.98</v>
          </cell>
          <cell r="G3246" t="str">
            <v>EUR</v>
          </cell>
          <cell r="H3246" t="e">
            <v>#VALUE!</v>
          </cell>
          <cell r="I3246" t="str">
            <v>8015TONBLA</v>
          </cell>
        </row>
        <row r="3247">
          <cell r="D3247">
            <v>889550</v>
          </cell>
          <cell r="E3247" t="str">
            <v>EUR</v>
          </cell>
          <cell r="F3247">
            <v>182.98</v>
          </cell>
          <cell r="G3247" t="str">
            <v>EUR</v>
          </cell>
          <cell r="H3247" t="e">
            <v>#VALUE!</v>
          </cell>
          <cell r="I3247" t="str">
            <v>8015TONCYN</v>
          </cell>
        </row>
        <row r="3248">
          <cell r="D3248">
            <v>889547</v>
          </cell>
          <cell r="E3248" t="str">
            <v>EUR</v>
          </cell>
          <cell r="F3248">
            <v>182.98</v>
          </cell>
          <cell r="G3248" t="str">
            <v>EUR</v>
          </cell>
          <cell r="H3248" t="e">
            <v>#VALUE!</v>
          </cell>
          <cell r="I3248" t="str">
            <v>8015TONMAG</v>
          </cell>
        </row>
        <row r="3249">
          <cell r="D3249">
            <v>887188</v>
          </cell>
          <cell r="E3249" t="str">
            <v>EUR</v>
          </cell>
          <cell r="F3249">
            <v>162.24</v>
          </cell>
          <cell r="G3249" t="str">
            <v>EUR</v>
          </cell>
          <cell r="H3249" t="e">
            <v>#VALUE!</v>
          </cell>
          <cell r="I3249" t="str">
            <v>820DEV</v>
          </cell>
        </row>
        <row r="3250">
          <cell r="D3250">
            <v>888009</v>
          </cell>
          <cell r="E3250" t="str">
            <v>EUR</v>
          </cell>
          <cell r="F3250">
            <v>139.9</v>
          </cell>
          <cell r="G3250" t="str">
            <v>EUR</v>
          </cell>
          <cell r="H3250" t="e">
            <v>#VALUE!</v>
          </cell>
          <cell r="I3250" t="str">
            <v>8200DTONER</v>
          </cell>
        </row>
        <row r="3251">
          <cell r="D3251">
            <v>888157</v>
          </cell>
          <cell r="E3251" t="str">
            <v>EUR</v>
          </cell>
          <cell r="F3251">
            <v>36.28</v>
          </cell>
          <cell r="G3251" t="e">
            <v>#N/A</v>
          </cell>
          <cell r="H3251" t="e">
            <v>#N/A</v>
          </cell>
          <cell r="I3251" t="str">
            <v>8205DTONER</v>
          </cell>
        </row>
        <row r="3252">
          <cell r="D3252">
            <v>889580</v>
          </cell>
          <cell r="E3252" t="str">
            <v>EUR</v>
          </cell>
          <cell r="F3252">
            <v>145.87</v>
          </cell>
          <cell r="G3252" t="str">
            <v>EUR</v>
          </cell>
          <cell r="H3252" t="e">
            <v>#VALUE!</v>
          </cell>
          <cell r="I3252" t="str">
            <v>8800DEVBLA</v>
          </cell>
        </row>
        <row r="3253">
          <cell r="D3253">
            <v>887695</v>
          </cell>
          <cell r="E3253" t="str">
            <v>EUR</v>
          </cell>
          <cell r="F3253">
            <v>238.17</v>
          </cell>
          <cell r="G3253" t="e">
            <v>#N/A</v>
          </cell>
          <cell r="H3253" t="e">
            <v>#N/A</v>
          </cell>
          <cell r="I3253" t="str">
            <v>8800TONERUK</v>
          </cell>
        </row>
      </sheetData>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gemeine Informationen"/>
      <sheetName val="Stückliste, Kalkulation"/>
      <sheetName val="Provisionsberechnung"/>
      <sheetName val="Refs"/>
      <sheetName val="PLNLEK"/>
      <sheetName val="PLWS"/>
      <sheetName val="PLWSA"/>
      <sheetName val="PLWC"/>
      <sheetName val="PLWCA"/>
      <sheetName val="Stückliste_ Kalkulation"/>
    </sheetNames>
    <sheetDataSet>
      <sheetData sheetId="0"/>
      <sheetData sheetId="1" refreshError="1">
        <row r="6">
          <cell r="AJ6" t="b">
            <v>0</v>
          </cell>
          <cell r="AK6" t="b">
            <v>0</v>
          </cell>
        </row>
      </sheetData>
      <sheetData sheetId="2" refreshError="1"/>
      <sheetData sheetId="3" refreshError="1">
        <row r="2">
          <cell r="A2" t="str">
            <v>von_Mindestabnahme</v>
          </cell>
        </row>
        <row r="8">
          <cell r="C8">
            <v>24</v>
          </cell>
        </row>
        <row r="9">
          <cell r="C9">
            <v>30</v>
          </cell>
        </row>
        <row r="10">
          <cell r="C10">
            <v>36</v>
          </cell>
        </row>
        <row r="11">
          <cell r="C11">
            <v>42</v>
          </cell>
        </row>
        <row r="12">
          <cell r="C12">
            <v>48</v>
          </cell>
        </row>
        <row r="13">
          <cell r="C13">
            <v>54</v>
          </cell>
        </row>
        <row r="14">
          <cell r="C14">
            <v>60</v>
          </cell>
        </row>
        <row r="15">
          <cell r="C15">
            <v>72</v>
          </cell>
        </row>
        <row r="22">
          <cell r="C22">
            <v>5</v>
          </cell>
        </row>
        <row r="28">
          <cell r="C28">
            <v>2</v>
          </cell>
        </row>
        <row r="29">
          <cell r="C29">
            <v>4</v>
          </cell>
        </row>
        <row r="30">
          <cell r="C30">
            <v>5</v>
          </cell>
        </row>
        <row r="31">
          <cell r="C31">
            <v>6</v>
          </cell>
        </row>
        <row r="32">
          <cell r="C32">
            <v>7</v>
          </cell>
        </row>
        <row r="33">
          <cell r="C33">
            <v>8</v>
          </cell>
        </row>
        <row r="34">
          <cell r="C34">
            <v>9</v>
          </cell>
        </row>
        <row r="35">
          <cell r="C35">
            <v>10</v>
          </cell>
        </row>
        <row r="36">
          <cell r="C36">
            <v>11</v>
          </cell>
        </row>
        <row r="37">
          <cell r="C37">
            <v>12</v>
          </cell>
        </row>
        <row r="38">
          <cell r="C38">
            <v>13</v>
          </cell>
        </row>
        <row r="40">
          <cell r="C40">
            <v>3</v>
          </cell>
        </row>
        <row r="49">
          <cell r="B49" t="str">
            <v>$J$2</v>
          </cell>
          <cell r="C49">
            <v>1</v>
          </cell>
          <cell r="D49" t="str">
            <v>Vol.Cat.1</v>
          </cell>
          <cell r="E49">
            <v>-30</v>
          </cell>
          <cell r="H49" t="str">
            <v>CA</v>
          </cell>
          <cell r="I49" t="str">
            <v>CA</v>
          </cell>
          <cell r="K49">
            <v>1</v>
          </cell>
          <cell r="L49">
            <v>1</v>
          </cell>
        </row>
        <row r="50">
          <cell r="B50" t="str">
            <v>$J$3</v>
          </cell>
          <cell r="C50">
            <v>2</v>
          </cell>
          <cell r="D50" t="str">
            <v>Vol.Cat.2</v>
          </cell>
          <cell r="E50">
            <v>-15</v>
          </cell>
          <cell r="H50" t="str">
            <v>CD</v>
          </cell>
          <cell r="I50" t="str">
            <v>CD</v>
          </cell>
          <cell r="K50">
            <v>6001</v>
          </cell>
          <cell r="L50">
            <v>2</v>
          </cell>
        </row>
        <row r="51">
          <cell r="B51" t="str">
            <v>$J$4</v>
          </cell>
          <cell r="C51">
            <v>3</v>
          </cell>
          <cell r="D51" t="str">
            <v>Vol.Cat.3</v>
          </cell>
          <cell r="E51">
            <v>-10</v>
          </cell>
          <cell r="H51" t="str">
            <v>P</v>
          </cell>
          <cell r="I51" t="str">
            <v>-</v>
          </cell>
          <cell r="K51">
            <v>9001</v>
          </cell>
          <cell r="L51">
            <v>3</v>
          </cell>
        </row>
        <row r="52">
          <cell r="B52" t="str">
            <v>$J$5</v>
          </cell>
          <cell r="C52">
            <v>4</v>
          </cell>
          <cell r="D52" t="str">
            <v>Vol.Cat.4</v>
          </cell>
          <cell r="E52">
            <v>-5</v>
          </cell>
          <cell r="H52" t="str">
            <v>F</v>
          </cell>
          <cell r="I52" t="str">
            <v>-</v>
          </cell>
          <cell r="K52">
            <v>35001</v>
          </cell>
          <cell r="L52">
            <v>4</v>
          </cell>
        </row>
        <row r="53">
          <cell r="B53" t="str">
            <v>$J$6</v>
          </cell>
          <cell r="C53">
            <v>5</v>
          </cell>
          <cell r="D53" t="str">
            <v>Sonstig.</v>
          </cell>
          <cell r="E53">
            <v>0</v>
          </cell>
          <cell r="H53" t="str">
            <v>-</v>
          </cell>
          <cell r="I53" t="str">
            <v>-</v>
          </cell>
          <cell r="K53">
            <v>100001</v>
          </cell>
          <cell r="L53">
            <v>5</v>
          </cell>
        </row>
        <row r="54">
          <cell r="G54">
            <v>5</v>
          </cell>
          <cell r="H54" t="str">
            <v>-</v>
          </cell>
          <cell r="I54" t="str">
            <v>-</v>
          </cell>
          <cell r="K54">
            <v>999992</v>
          </cell>
          <cell r="L54">
            <v>5</v>
          </cell>
        </row>
        <row r="62">
          <cell r="C62" t="str">
            <v>C</v>
          </cell>
          <cell r="D62" t="str">
            <v>Kopierer</v>
          </cell>
          <cell r="E62">
            <v>10</v>
          </cell>
          <cell r="F62">
            <v>50</v>
          </cell>
          <cell r="I62" t="str">
            <v>CD</v>
          </cell>
          <cell r="J62" t="str">
            <v>Kopierer digital</v>
          </cell>
        </row>
        <row r="63">
          <cell r="C63" t="str">
            <v>F</v>
          </cell>
          <cell r="D63" t="str">
            <v>Fax</v>
          </cell>
          <cell r="E63">
            <v>20</v>
          </cell>
          <cell r="F63">
            <v>999999</v>
          </cell>
          <cell r="I63" t="str">
            <v>P</v>
          </cell>
          <cell r="J63" t="str">
            <v>Drucker</v>
          </cell>
        </row>
        <row r="64">
          <cell r="C64" t="str">
            <v>M</v>
          </cell>
          <cell r="D64" t="str">
            <v>Priport</v>
          </cell>
          <cell r="E64">
            <v>10</v>
          </cell>
          <cell r="F64">
            <v>999999</v>
          </cell>
          <cell r="I64" t="str">
            <v>CA</v>
          </cell>
          <cell r="J64" t="str">
            <v>Kopierer analog</v>
          </cell>
        </row>
        <row r="65">
          <cell r="C65" t="str">
            <v>P</v>
          </cell>
          <cell r="D65" t="str">
            <v>Drucker</v>
          </cell>
          <cell r="E65">
            <v>50</v>
          </cell>
          <cell r="F65">
            <v>100</v>
          </cell>
          <cell r="I65" t="str">
            <v>F</v>
          </cell>
          <cell r="J65" t="str">
            <v>Fax</v>
          </cell>
        </row>
        <row r="66">
          <cell r="I66" t="str">
            <v>M</v>
          </cell>
          <cell r="J66" t="str">
            <v>Priport</v>
          </cell>
        </row>
        <row r="67">
          <cell r="I67" t="str">
            <v>O</v>
          </cell>
          <cell r="J67" t="str">
            <v>Optionen</v>
          </cell>
        </row>
        <row r="68">
          <cell r="C68" t="str">
            <v>~CD~P~</v>
          </cell>
          <cell r="I68" t="str">
            <v>X</v>
          </cell>
          <cell r="J68" t="str">
            <v>Anderes</v>
          </cell>
        </row>
      </sheetData>
      <sheetData sheetId="4" refreshError="1"/>
      <sheetData sheetId="5" refreshError="1">
        <row r="2">
          <cell r="A2" t="str">
            <v>von_Mindestabnahme</v>
          </cell>
          <cell r="B2" t="str">
            <v>bis_Mindestabnahme</v>
          </cell>
          <cell r="C2" t="str">
            <v>EK</v>
          </cell>
          <cell r="D2" t="str">
            <v>EKS1</v>
          </cell>
          <cell r="E2" t="str">
            <v>EKS10</v>
          </cell>
          <cell r="F2" t="str">
            <v>EKS11</v>
          </cell>
          <cell r="G2" t="str">
            <v>EKS12</v>
          </cell>
          <cell r="H2" t="str">
            <v>EKS13</v>
          </cell>
          <cell r="I2" t="str">
            <v>EKS14</v>
          </cell>
          <cell r="J2" t="str">
            <v>EKS15</v>
          </cell>
          <cell r="K2" t="str">
            <v>EKS16</v>
          </cell>
          <cell r="L2" t="str">
            <v>EKS17</v>
          </cell>
          <cell r="M2" t="str">
            <v>EKS18</v>
          </cell>
          <cell r="N2" t="str">
            <v>EKS19</v>
          </cell>
          <cell r="O2" t="str">
            <v>EKS2</v>
          </cell>
          <cell r="P2" t="str">
            <v>EKS20</v>
          </cell>
          <cell r="Q2" t="str">
            <v>EKS21</v>
          </cell>
          <cell r="R2" t="str">
            <v>EKS22</v>
          </cell>
          <cell r="S2" t="str">
            <v>EKS23</v>
          </cell>
          <cell r="T2" t="str">
            <v>EKS24</v>
          </cell>
          <cell r="U2" t="str">
            <v>EKS25</v>
          </cell>
          <cell r="V2" t="str">
            <v>EKS3</v>
          </cell>
          <cell r="W2" t="str">
            <v>EKS4</v>
          </cell>
          <cell r="X2" t="str">
            <v>EKS5</v>
          </cell>
          <cell r="Y2" t="str">
            <v>EKS6</v>
          </cell>
          <cell r="Z2" t="str">
            <v>EKS7</v>
          </cell>
          <cell r="AA2" t="str">
            <v>EKS8</v>
          </cell>
          <cell r="AB2" t="str">
            <v>EKS9</v>
          </cell>
          <cell r="AC2" t="str">
            <v>GEK</v>
          </cell>
          <cell r="AD2" t="str">
            <v>Ohne</v>
          </cell>
        </row>
      </sheetData>
      <sheetData sheetId="6" refreshError="1">
        <row r="2">
          <cell r="A2" t="str">
            <v>von_Mindestabnahme</v>
          </cell>
          <cell r="B2" t="str">
            <v>bis_Mindestabnahme</v>
          </cell>
          <cell r="C2" t="str">
            <v>EK</v>
          </cell>
          <cell r="D2" t="str">
            <v>EKS1</v>
          </cell>
          <cell r="E2" t="str">
            <v>EKS10</v>
          </cell>
          <cell r="F2" t="str">
            <v>EKS11</v>
          </cell>
          <cell r="G2" t="str">
            <v>EKS12</v>
          </cell>
          <cell r="H2" t="str">
            <v>EKS13</v>
          </cell>
          <cell r="I2" t="str">
            <v>EKS14</v>
          </cell>
          <cell r="J2" t="str">
            <v>EKS15</v>
          </cell>
          <cell r="K2" t="str">
            <v>EKS16</v>
          </cell>
          <cell r="L2" t="str">
            <v>EKS17</v>
          </cell>
          <cell r="M2" t="str">
            <v>EKS18</v>
          </cell>
          <cell r="N2" t="str">
            <v>EKS19</v>
          </cell>
          <cell r="O2" t="str">
            <v>EKS2</v>
          </cell>
          <cell r="P2" t="str">
            <v>EKS20</v>
          </cell>
          <cell r="Q2" t="str">
            <v>EKS21</v>
          </cell>
          <cell r="R2" t="str">
            <v>EKS22</v>
          </cell>
          <cell r="S2" t="str">
            <v>EKS23</v>
          </cell>
          <cell r="T2" t="str">
            <v>EKS24</v>
          </cell>
          <cell r="U2" t="str">
            <v>EKS25</v>
          </cell>
          <cell r="V2" t="str">
            <v>EKS3</v>
          </cell>
          <cell r="W2" t="str">
            <v>EKS4</v>
          </cell>
          <cell r="X2" t="str">
            <v>EKS5</v>
          </cell>
          <cell r="Y2" t="str">
            <v>EKS6</v>
          </cell>
          <cell r="Z2" t="str">
            <v>EKS7</v>
          </cell>
          <cell r="AA2" t="str">
            <v>EKS8</v>
          </cell>
          <cell r="AB2" t="str">
            <v>EKS9</v>
          </cell>
          <cell r="AC2" t="str">
            <v>GEK</v>
          </cell>
          <cell r="AD2" t="str">
            <v>Ohne</v>
          </cell>
        </row>
      </sheetData>
      <sheetData sheetId="7" refreshError="1">
        <row r="2">
          <cell r="A2" t="str">
            <v>von_Mindestabnahme</v>
          </cell>
          <cell r="B2" t="str">
            <v>bis_Mindestabnahme</v>
          </cell>
          <cell r="C2" t="str">
            <v>EK</v>
          </cell>
          <cell r="D2" t="str">
            <v>EKS1</v>
          </cell>
          <cell r="E2" t="str">
            <v>EKS10</v>
          </cell>
          <cell r="F2" t="str">
            <v>EKS11</v>
          </cell>
          <cell r="G2" t="str">
            <v>EKS12</v>
          </cell>
          <cell r="H2" t="str">
            <v>EKS13</v>
          </cell>
          <cell r="I2" t="str">
            <v>EKS14</v>
          </cell>
          <cell r="J2" t="str">
            <v>EKS15</v>
          </cell>
          <cell r="K2" t="str">
            <v>EKS16</v>
          </cell>
          <cell r="L2" t="str">
            <v>EKS17</v>
          </cell>
          <cell r="M2" t="str">
            <v>EKS18</v>
          </cell>
          <cell r="N2" t="str">
            <v>EKS19</v>
          </cell>
          <cell r="O2" t="str">
            <v>EKS2</v>
          </cell>
          <cell r="P2" t="str">
            <v>EKS20</v>
          </cell>
          <cell r="Q2" t="str">
            <v>EKS21</v>
          </cell>
          <cell r="R2" t="str">
            <v>EKS22</v>
          </cell>
          <cell r="S2" t="str">
            <v>EKS23</v>
          </cell>
          <cell r="T2" t="str">
            <v>EKS24</v>
          </cell>
          <cell r="U2" t="str">
            <v>EKS25</v>
          </cell>
          <cell r="V2" t="str">
            <v>EKS3</v>
          </cell>
          <cell r="W2" t="str">
            <v>EKS4</v>
          </cell>
          <cell r="X2" t="str">
            <v>EKS5</v>
          </cell>
          <cell r="Y2" t="str">
            <v>EKS6</v>
          </cell>
          <cell r="Z2" t="str">
            <v>EKS7</v>
          </cell>
          <cell r="AA2" t="str">
            <v>EKS8</v>
          </cell>
          <cell r="AB2" t="str">
            <v>EKS9</v>
          </cell>
          <cell r="AC2" t="str">
            <v>GEK</v>
          </cell>
          <cell r="AD2" t="str">
            <v>Ohne</v>
          </cell>
        </row>
      </sheetData>
      <sheetData sheetId="8" refreshError="1">
        <row r="2">
          <cell r="A2" t="str">
            <v>von_Mindestabnahme</v>
          </cell>
          <cell r="B2" t="str">
            <v>bis_Mindestabnahme</v>
          </cell>
          <cell r="C2" t="str">
            <v>EK</v>
          </cell>
          <cell r="D2" t="str">
            <v>EKS1</v>
          </cell>
          <cell r="E2" t="str">
            <v>EKS10</v>
          </cell>
          <cell r="F2" t="str">
            <v>EKS11</v>
          </cell>
          <cell r="G2" t="str">
            <v>EKS12</v>
          </cell>
          <cell r="H2" t="str">
            <v>EKS13</v>
          </cell>
          <cell r="I2" t="str">
            <v>EKS14</v>
          </cell>
          <cell r="J2" t="str">
            <v>EKS15</v>
          </cell>
          <cell r="K2" t="str">
            <v>EKS16</v>
          </cell>
          <cell r="L2" t="str">
            <v>EKS17</v>
          </cell>
          <cell r="M2" t="str">
            <v>EKS18</v>
          </cell>
          <cell r="N2" t="str">
            <v>EKS19</v>
          </cell>
          <cell r="O2" t="str">
            <v>EKS2</v>
          </cell>
          <cell r="P2" t="str">
            <v>EKS20</v>
          </cell>
          <cell r="Q2" t="str">
            <v>EKS21</v>
          </cell>
          <cell r="R2" t="str">
            <v>EKS22</v>
          </cell>
          <cell r="S2" t="str">
            <v>EKS23</v>
          </cell>
          <cell r="T2" t="str">
            <v>EKS24</v>
          </cell>
          <cell r="U2" t="str">
            <v>EKS25</v>
          </cell>
          <cell r="V2" t="str">
            <v>EKS3</v>
          </cell>
          <cell r="W2" t="str">
            <v>EKS4</v>
          </cell>
          <cell r="X2" t="str">
            <v>EKS5</v>
          </cell>
          <cell r="Y2" t="str">
            <v>EKS6</v>
          </cell>
          <cell r="Z2" t="str">
            <v>EKS7</v>
          </cell>
          <cell r="AA2" t="str">
            <v>EKS8</v>
          </cell>
          <cell r="AB2" t="str">
            <v>EKS9</v>
          </cell>
          <cell r="AC2" t="str">
            <v>GEK</v>
          </cell>
          <cell r="AD2" t="str">
            <v>Ohne</v>
          </cell>
        </row>
      </sheetData>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PA"/>
      <sheetName val="M12"/>
      <sheetName val="M11"/>
      <sheetName val="M10"/>
      <sheetName val="M9"/>
      <sheetName val="M8"/>
      <sheetName val="M7"/>
      <sheetName val="MP2550"/>
      <sheetName val="MP161spf"/>
      <sheetName val="GX3050"/>
      <sheetName val="SPC420DN"/>
      <sheetName val="MP4000"/>
      <sheetName val="MPC2500"/>
      <sheetName val="Onglet de saisie"/>
      <sheetName val="Sales co-efficient"/>
      <sheetName val="Dero"/>
      <sheetName val="Warranty"/>
      <sheetName val="Consommable"/>
      <sheetName val="CPP Table"/>
      <sheetName val="Base"/>
      <sheetName val="TDV"/>
      <sheetName val="MIF"/>
      <sheetName val="Détail annuel"/>
      <sheetName val="Guillaume"/>
      <sheetName val="Other costs"/>
      <sheetName val="Pénalités"/>
      <sheetName val="Outline"/>
      <sheetName val="PL"/>
      <sheetName val="Expenses"/>
      <sheetName val="SLA &amp; Risk Mgmt"/>
      <sheetName val="Feuil1"/>
      <sheetName val="DATA"/>
      <sheetName val="Detail Au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4">
          <cell r="C14">
            <v>2.1593399999999999E-2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row r="75">
          <cell r="R75">
            <v>-0.01</v>
          </cell>
          <cell r="X75">
            <v>60</v>
          </cell>
        </row>
        <row r="76">
          <cell r="R76">
            <v>-0.01</v>
          </cell>
          <cell r="X76">
            <v>60</v>
          </cell>
        </row>
        <row r="77">
          <cell r="R77">
            <v>1.0030110563259427E-3</v>
          </cell>
          <cell r="X77">
            <v>60</v>
          </cell>
        </row>
        <row r="78">
          <cell r="R78">
            <v>0.05</v>
          </cell>
          <cell r="T78">
            <v>1</v>
          </cell>
          <cell r="X78">
            <v>1</v>
          </cell>
        </row>
        <row r="79">
          <cell r="R79">
            <v>0.15</v>
          </cell>
          <cell r="T79">
            <v>0.35</v>
          </cell>
          <cell r="X79">
            <v>7.0000000000000007E-2</v>
          </cell>
        </row>
        <row r="80">
          <cell r="X80">
            <v>7.0000000000000007E-2</v>
          </cell>
        </row>
        <row r="82">
          <cell r="R82">
            <v>0</v>
          </cell>
        </row>
        <row r="84">
          <cell r="F84">
            <v>0.04</v>
          </cell>
        </row>
      </sheetData>
      <sheetData sheetId="28"/>
      <sheetData sheetId="29"/>
      <sheetData sheetId="30"/>
      <sheetData sheetId="31"/>
      <sheetData sheetId="3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customProperty" Target="../customProperty1.bin"/><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printerSettings" Target="../printerSettings/printerSettings1.bin"/><Relationship Id="rId16" Type="http://schemas.openxmlformats.org/officeDocument/2006/relationships/comments" Target="../comments1.xml"/><Relationship Id="rId1" Type="http://schemas.openxmlformats.org/officeDocument/2006/relationships/hyperlink" Target="mailto:fatimah.syam@corteva.com"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5" Type="http://schemas.openxmlformats.org/officeDocument/2006/relationships/ctrlProp" Target="../ctrlProps/ctrlProp10.xml"/><Relationship Id="rId10" Type="http://schemas.openxmlformats.org/officeDocument/2006/relationships/ctrlProp" Target="../ctrlProps/ctrlProp5.xml"/><Relationship Id="rId4" Type="http://schemas.openxmlformats.org/officeDocument/2006/relationships/drawing" Target="../drawings/drawing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50"/>
    <pageSetUpPr fitToPage="1"/>
  </sheetPr>
  <dimension ref="A1:L154"/>
  <sheetViews>
    <sheetView showGridLines="0" topLeftCell="A25" zoomScale="95" zoomScaleNormal="95" zoomScaleSheetLayoutView="90" workbookViewId="0">
      <selection activeCell="C27" sqref="C27"/>
    </sheetView>
  </sheetViews>
  <sheetFormatPr defaultColWidth="9.140625" defaultRowHeight="12.75"/>
  <cols>
    <col min="1" max="1" width="12.7109375" style="61" customWidth="1"/>
    <col min="2" max="2" width="23.5703125" style="61" customWidth="1"/>
    <col min="3" max="3" width="41.7109375" style="61" customWidth="1"/>
    <col min="4" max="4" width="3.140625" style="61" customWidth="1"/>
    <col min="5" max="5" width="26.7109375" style="61" customWidth="1"/>
    <col min="6" max="6" width="46" style="61" customWidth="1"/>
    <col min="7" max="7" width="41.28515625" style="61" customWidth="1"/>
    <col min="8" max="8" width="2.28515625" style="6" customWidth="1"/>
    <col min="9" max="9" width="9.140625" style="170"/>
    <col min="10" max="10" width="21.85546875" style="6" customWidth="1"/>
    <col min="11" max="11" width="19.5703125" style="6" customWidth="1"/>
    <col min="12" max="16384" width="9.140625" style="6"/>
  </cols>
  <sheetData>
    <row r="1" spans="1:9" ht="33.75" customHeight="1" thickBot="1">
      <c r="A1" s="413" t="s">
        <v>165</v>
      </c>
      <c r="B1" s="414"/>
      <c r="C1" s="414"/>
      <c r="D1" s="414"/>
      <c r="E1" s="414"/>
      <c r="F1" s="414"/>
      <c r="G1" s="415"/>
      <c r="H1" s="48"/>
    </row>
    <row r="2" spans="1:9" ht="18.75" customHeight="1">
      <c r="A2" s="374" t="s">
        <v>76</v>
      </c>
      <c r="B2" s="376" t="s">
        <v>78</v>
      </c>
      <c r="C2" s="376"/>
      <c r="D2" s="376"/>
      <c r="E2" s="377"/>
      <c r="F2" s="235" t="s">
        <v>75</v>
      </c>
      <c r="G2" s="145">
        <v>44488</v>
      </c>
    </row>
    <row r="3" spans="1:9" ht="18.75" customHeight="1" thickBot="1">
      <c r="A3" s="375"/>
      <c r="B3" s="378" t="s">
        <v>79</v>
      </c>
      <c r="C3" s="378"/>
      <c r="D3" s="378"/>
      <c r="E3" s="379"/>
      <c r="F3" s="234" t="s">
        <v>171</v>
      </c>
      <c r="G3" s="70" t="s">
        <v>285</v>
      </c>
    </row>
    <row r="4" spans="1:9" ht="90" customHeight="1">
      <c r="A4" s="388" t="s">
        <v>82</v>
      </c>
      <c r="B4" s="389"/>
      <c r="C4" s="389"/>
      <c r="D4" s="389"/>
      <c r="E4" s="390"/>
      <c r="F4" s="233" t="s">
        <v>83</v>
      </c>
      <c r="G4" s="69" t="s">
        <v>341</v>
      </c>
    </row>
    <row r="5" spans="1:9" ht="18" customHeight="1">
      <c r="A5" s="399" t="s">
        <v>288</v>
      </c>
      <c r="B5" s="400"/>
      <c r="C5" s="400"/>
      <c r="D5" s="400"/>
      <c r="E5" s="401"/>
      <c r="F5" s="232" t="s">
        <v>84</v>
      </c>
      <c r="G5" s="69" t="s">
        <v>162</v>
      </c>
    </row>
    <row r="6" spans="1:9" ht="18.75" customHeight="1" thickBot="1">
      <c r="A6" s="402" t="s">
        <v>289</v>
      </c>
      <c r="B6" s="403"/>
      <c r="C6" s="403"/>
      <c r="D6" s="403"/>
      <c r="E6" s="404"/>
      <c r="F6" s="336" t="s">
        <v>85</v>
      </c>
      <c r="G6" s="335" t="s">
        <v>46</v>
      </c>
    </row>
    <row r="7" spans="1:9" ht="13.5" customHeight="1" thickBot="1">
      <c r="A7" s="73"/>
      <c r="B7" s="7"/>
      <c r="C7" s="8"/>
      <c r="D7" s="8"/>
      <c r="E7" s="337"/>
      <c r="F7" s="334"/>
      <c r="G7" s="333"/>
      <c r="H7" s="48"/>
    </row>
    <row r="8" spans="1:9" ht="27" customHeight="1" thickBot="1">
      <c r="A8" s="391" t="s">
        <v>81</v>
      </c>
      <c r="B8" s="392"/>
      <c r="C8" s="392"/>
      <c r="D8" s="392"/>
      <c r="E8" s="392"/>
      <c r="F8" s="392"/>
      <c r="G8" s="393"/>
    </row>
    <row r="9" spans="1:9" ht="12.95" customHeight="1" thickBot="1">
      <c r="A9" s="9"/>
      <c r="B9" s="9"/>
      <c r="C9" s="9"/>
      <c r="D9" s="231"/>
      <c r="E9" s="9"/>
      <c r="F9" s="9"/>
      <c r="G9" s="9"/>
      <c r="H9" s="48"/>
    </row>
    <row r="10" spans="1:9" ht="20.25" customHeight="1" thickBot="1">
      <c r="A10" s="394" t="s">
        <v>14</v>
      </c>
      <c r="B10" s="395"/>
      <c r="C10" s="396"/>
      <c r="D10" s="10"/>
      <c r="E10" s="230" t="s">
        <v>284</v>
      </c>
      <c r="F10" s="397" t="s">
        <v>433</v>
      </c>
      <c r="G10" s="398"/>
    </row>
    <row r="11" spans="1:9" s="15" customFormat="1" ht="18" customHeight="1" thickBot="1">
      <c r="A11" s="344" t="s">
        <v>10</v>
      </c>
      <c r="B11" s="229" t="s">
        <v>6</v>
      </c>
      <c r="C11" s="11" t="s">
        <v>430</v>
      </c>
      <c r="D11" s="12"/>
      <c r="E11" s="13"/>
      <c r="F11" s="14"/>
      <c r="G11" s="72"/>
      <c r="H11" s="71"/>
      <c r="I11" s="171"/>
    </row>
    <row r="12" spans="1:9" ht="18" customHeight="1" thickBot="1">
      <c r="A12" s="345"/>
      <c r="B12" s="228" t="s">
        <v>1</v>
      </c>
      <c r="C12" s="16" t="s">
        <v>431</v>
      </c>
      <c r="D12" s="10"/>
      <c r="E12" s="380" t="s">
        <v>72</v>
      </c>
      <c r="F12" s="381"/>
      <c r="G12" s="382"/>
    </row>
    <row r="13" spans="1:9" ht="18" customHeight="1" thickBot="1">
      <c r="A13" s="346"/>
      <c r="B13" s="227" t="s">
        <v>2</v>
      </c>
      <c r="C13" s="74" t="s">
        <v>412</v>
      </c>
      <c r="D13" s="10"/>
      <c r="E13" s="383" t="s">
        <v>66</v>
      </c>
      <c r="F13" s="249" t="s">
        <v>77</v>
      </c>
      <c r="G13" s="125"/>
    </row>
    <row r="14" spans="1:9" ht="18" customHeight="1">
      <c r="A14" s="338" t="s">
        <v>52</v>
      </c>
      <c r="B14" s="226" t="s">
        <v>16</v>
      </c>
      <c r="C14" s="11" t="s">
        <v>378</v>
      </c>
      <c r="D14" s="10"/>
      <c r="E14" s="384"/>
      <c r="F14" s="405" t="s">
        <v>298</v>
      </c>
      <c r="G14" s="406"/>
    </row>
    <row r="15" spans="1:9" ht="18" customHeight="1">
      <c r="A15" s="339"/>
      <c r="B15" s="224" t="s">
        <v>64</v>
      </c>
      <c r="C15" s="11" t="s">
        <v>435</v>
      </c>
      <c r="D15" s="10"/>
      <c r="E15" s="384"/>
      <c r="F15" s="219"/>
      <c r="G15" s="218"/>
    </row>
    <row r="16" spans="1:9" ht="18" customHeight="1">
      <c r="A16" s="339"/>
      <c r="B16" s="224" t="s">
        <v>17</v>
      </c>
      <c r="C16" s="16" t="s">
        <v>379</v>
      </c>
      <c r="D16" s="10"/>
      <c r="E16" s="384"/>
      <c r="F16" s="217" t="s">
        <v>65</v>
      </c>
      <c r="G16" s="17"/>
    </row>
    <row r="17" spans="1:12" ht="36" customHeight="1">
      <c r="A17" s="339"/>
      <c r="B17" s="225" t="s">
        <v>238</v>
      </c>
      <c r="C17" s="67"/>
      <c r="D17" s="10"/>
      <c r="E17" s="384"/>
      <c r="F17" s="245" t="s">
        <v>291</v>
      </c>
      <c r="G17" s="18" t="s">
        <v>329</v>
      </c>
      <c r="I17" s="172"/>
      <c r="J17" s="59"/>
      <c r="K17" s="59"/>
    </row>
    <row r="18" spans="1:12" ht="25.5">
      <c r="A18" s="339"/>
      <c r="B18" s="224" t="s">
        <v>19</v>
      </c>
      <c r="C18" s="16" t="s">
        <v>380</v>
      </c>
      <c r="D18" s="10"/>
      <c r="E18" s="384"/>
      <c r="F18" s="216" t="s">
        <v>292</v>
      </c>
      <c r="G18" s="122"/>
      <c r="H18" s="123"/>
      <c r="I18" s="173"/>
      <c r="J18" s="124"/>
      <c r="K18" s="124"/>
      <c r="L18" s="48"/>
    </row>
    <row r="19" spans="1:12" ht="24.95" customHeight="1">
      <c r="A19" s="339"/>
      <c r="B19" s="224" t="s">
        <v>21</v>
      </c>
      <c r="C19" s="16"/>
      <c r="D19" s="10"/>
      <c r="E19" s="384"/>
      <c r="F19" s="215" t="s">
        <v>166</v>
      </c>
      <c r="G19" s="68">
        <f>_xlfn.IFNA(INDEX('Reference Data'!B5:M62,MATCH(C23,'Reference Data'!A5:A62,0),MATCH(G17,'Reference Data'!B2:M2,0)),0)</f>
        <v>0</v>
      </c>
      <c r="H19" s="123"/>
      <c r="I19" s="173" t="str">
        <f>VLOOKUP(C23,'Reference Data'!A82:B139,2,0)</f>
        <v>USD</v>
      </c>
      <c r="J19" s="124"/>
      <c r="K19" s="124"/>
      <c r="L19" s="48"/>
    </row>
    <row r="20" spans="1:12" ht="18" customHeight="1">
      <c r="A20" s="339"/>
      <c r="B20" s="224" t="s">
        <v>0</v>
      </c>
      <c r="C20" s="16" t="s">
        <v>379</v>
      </c>
      <c r="D20" s="10"/>
      <c r="E20" s="384"/>
      <c r="F20" s="215" t="s">
        <v>152</v>
      </c>
      <c r="G20" s="68">
        <f>_xlfn.IFNA(VLOOKUP(C23,'Reference Data'!A5:Q62,17,FALSE),0)</f>
        <v>10</v>
      </c>
      <c r="H20" s="123"/>
      <c r="I20" s="173"/>
      <c r="J20" s="124"/>
      <c r="K20" s="124"/>
      <c r="L20" s="48"/>
    </row>
    <row r="21" spans="1:12" ht="18" customHeight="1">
      <c r="A21" s="339"/>
      <c r="B21" s="228" t="s">
        <v>12</v>
      </c>
      <c r="C21" s="16" t="s">
        <v>381</v>
      </c>
      <c r="D21" s="10"/>
      <c r="E21" s="384"/>
      <c r="F21" s="215" t="s">
        <v>154</v>
      </c>
      <c r="G21" s="161" t="str">
        <f>_xlfn.IFNA(VLOOKUP(C23,'Reference Data'!A5:Q62,14,FALSE),0)</f>
        <v>Quote Locally</v>
      </c>
      <c r="H21" s="123"/>
      <c r="I21" s="174"/>
      <c r="J21" s="128"/>
      <c r="K21" s="124"/>
      <c r="L21" s="48"/>
    </row>
    <row r="22" spans="1:12" ht="18" customHeight="1">
      <c r="A22" s="339"/>
      <c r="B22" s="228" t="s">
        <v>22</v>
      </c>
      <c r="C22" s="16" t="s">
        <v>382</v>
      </c>
      <c r="D22" s="10"/>
      <c r="E22" s="384"/>
      <c r="F22" s="215" t="s">
        <v>153</v>
      </c>
      <c r="G22" s="161" t="str">
        <f>_xlfn.IFNA(VLOOKUP(C23,'Reference Data'!A5:Q62,15,FALSE),0)</f>
        <v>Quote Locally</v>
      </c>
      <c r="H22" s="123"/>
      <c r="I22" s="175"/>
      <c r="J22" s="61"/>
      <c r="K22" s="127"/>
      <c r="L22" s="48"/>
    </row>
    <row r="23" spans="1:12" ht="25.5">
      <c r="A23" s="339"/>
      <c r="B23" s="223" t="s">
        <v>24</v>
      </c>
      <c r="C23" s="19" t="s">
        <v>125</v>
      </c>
      <c r="D23" s="10"/>
      <c r="E23" s="384"/>
      <c r="F23" s="215" t="s">
        <v>306</v>
      </c>
      <c r="G23" s="68">
        <f>IF(G19=0,0,G19*60)</f>
        <v>0</v>
      </c>
      <c r="H23" s="123"/>
      <c r="I23" s="176"/>
      <c r="J23" s="129"/>
      <c r="K23" s="124"/>
      <c r="L23" s="48"/>
    </row>
    <row r="24" spans="1:12" ht="24.75" customHeight="1">
      <c r="A24" s="339"/>
      <c r="B24" s="224" t="s">
        <v>25</v>
      </c>
      <c r="C24" s="16"/>
      <c r="D24" s="10"/>
      <c r="E24" s="384"/>
      <c r="F24" s="251" t="s">
        <v>295</v>
      </c>
      <c r="G24" s="126" t="s">
        <v>308</v>
      </c>
      <c r="H24" s="123"/>
      <c r="I24" s="372"/>
      <c r="J24" s="373"/>
      <c r="K24" s="124"/>
      <c r="L24" s="48"/>
    </row>
    <row r="25" spans="1:12" ht="25.5">
      <c r="A25" s="339"/>
      <c r="B25" s="364" t="s">
        <v>26</v>
      </c>
      <c r="C25" s="386" t="s">
        <v>383</v>
      </c>
      <c r="D25" s="12"/>
      <c r="E25" s="384"/>
      <c r="F25" s="246" t="s">
        <v>307</v>
      </c>
      <c r="G25" s="180">
        <f>G19*63</f>
        <v>0</v>
      </c>
      <c r="H25" s="41"/>
      <c r="I25" s="177"/>
      <c r="J25" s="169"/>
      <c r="K25" s="169"/>
      <c r="L25" s="48"/>
    </row>
    <row r="26" spans="1:12" ht="18" customHeight="1" thickBot="1">
      <c r="A26" s="339"/>
      <c r="B26" s="365"/>
      <c r="C26" s="387"/>
      <c r="D26" s="12"/>
      <c r="E26" s="385"/>
      <c r="F26" s="214" t="s">
        <v>250</v>
      </c>
      <c r="G26" s="160" t="str">
        <f>_xlfn.IFNA(VLOOKUP(G17,'Reference Data'!A67:B78,2,FALSE),"")</f>
        <v/>
      </c>
      <c r="H26" s="48"/>
      <c r="I26" s="178"/>
      <c r="J26" s="60"/>
      <c r="K26" s="60"/>
    </row>
    <row r="27" spans="1:12" ht="18" customHeight="1" thickBot="1">
      <c r="A27" s="339"/>
      <c r="B27" s="224" t="s">
        <v>27</v>
      </c>
      <c r="C27" s="16" t="s">
        <v>383</v>
      </c>
      <c r="D27" s="146"/>
      <c r="E27" s="147"/>
      <c r="F27" s="147"/>
      <c r="G27" s="147"/>
      <c r="H27" s="48"/>
    </row>
    <row r="28" spans="1:12" ht="18" customHeight="1" thickBot="1">
      <c r="A28" s="339"/>
      <c r="B28" s="224" t="s">
        <v>28</v>
      </c>
      <c r="C28" s="16" t="s">
        <v>383</v>
      </c>
      <c r="D28" s="20"/>
      <c r="E28" s="407" t="s">
        <v>53</v>
      </c>
      <c r="F28" s="408"/>
      <c r="G28" s="409"/>
    </row>
    <row r="29" spans="1:12" ht="18" customHeight="1">
      <c r="A29" s="339"/>
      <c r="B29" s="224" t="s">
        <v>51</v>
      </c>
      <c r="C29" s="16" t="s">
        <v>383</v>
      </c>
      <c r="D29" s="20"/>
      <c r="E29" s="338" t="s">
        <v>13</v>
      </c>
      <c r="F29" s="226" t="s">
        <v>4</v>
      </c>
      <c r="G29" s="21" t="s">
        <v>383</v>
      </c>
    </row>
    <row r="30" spans="1:12" ht="18" customHeight="1">
      <c r="A30" s="339"/>
      <c r="B30" s="222" t="s">
        <v>50</v>
      </c>
      <c r="C30" s="16" t="s">
        <v>383</v>
      </c>
      <c r="D30" s="20"/>
      <c r="E30" s="339"/>
      <c r="F30" s="224" t="s">
        <v>23</v>
      </c>
      <c r="G30" s="22"/>
    </row>
    <row r="31" spans="1:12" ht="30" customHeight="1">
      <c r="A31" s="339"/>
      <c r="B31" s="358" t="s">
        <v>286</v>
      </c>
      <c r="C31" s="361"/>
      <c r="D31" s="20"/>
      <c r="E31" s="339"/>
      <c r="F31" s="366" t="s">
        <v>299</v>
      </c>
      <c r="G31" s="350" t="s">
        <v>383</v>
      </c>
    </row>
    <row r="32" spans="1:12" ht="11.25" customHeight="1">
      <c r="A32" s="339"/>
      <c r="B32" s="359"/>
      <c r="C32" s="362"/>
      <c r="D32" s="20"/>
      <c r="E32" s="339"/>
      <c r="F32" s="367"/>
      <c r="G32" s="351"/>
    </row>
    <row r="33" spans="1:10" ht="24.95" customHeight="1">
      <c r="A33" s="339"/>
      <c r="B33" s="359"/>
      <c r="C33" s="362"/>
      <c r="D33" s="20"/>
      <c r="E33" s="339"/>
      <c r="F33" s="224" t="s">
        <v>58</v>
      </c>
      <c r="G33" s="23"/>
    </row>
    <row r="34" spans="1:10" ht="18" customHeight="1">
      <c r="A34" s="339"/>
      <c r="B34" s="359"/>
      <c r="C34" s="362"/>
      <c r="D34" s="20"/>
      <c r="E34" s="339"/>
      <c r="F34" s="224" t="s">
        <v>62</v>
      </c>
      <c r="G34" s="23"/>
    </row>
    <row r="35" spans="1:10" ht="18" customHeight="1" thickBot="1">
      <c r="A35" s="339"/>
      <c r="B35" s="359"/>
      <c r="C35" s="362"/>
      <c r="D35" s="20"/>
      <c r="E35" s="340"/>
      <c r="F35" s="213" t="s">
        <v>63</v>
      </c>
      <c r="G35" s="75"/>
    </row>
    <row r="36" spans="1:10" ht="18" customHeight="1" thickBot="1">
      <c r="A36" s="340"/>
      <c r="B36" s="360"/>
      <c r="C36" s="363"/>
      <c r="D36" s="20"/>
      <c r="E36" s="338" t="s">
        <v>67</v>
      </c>
      <c r="F36" s="229" t="s">
        <v>68</v>
      </c>
      <c r="G36" s="21" t="s">
        <v>384</v>
      </c>
    </row>
    <row r="37" spans="1:10" ht="18" customHeight="1">
      <c r="A37" s="344" t="s">
        <v>11</v>
      </c>
      <c r="B37" s="221" t="s">
        <v>6</v>
      </c>
      <c r="C37" s="11" t="s">
        <v>434</v>
      </c>
      <c r="D37" s="20"/>
      <c r="E37" s="339"/>
      <c r="F37" s="228" t="s">
        <v>69</v>
      </c>
      <c r="G37" s="24" t="s">
        <v>385</v>
      </c>
    </row>
    <row r="38" spans="1:10" ht="18" customHeight="1">
      <c r="A38" s="345"/>
      <c r="B38" s="229" t="s">
        <v>293</v>
      </c>
      <c r="C38" s="16" t="s">
        <v>436</v>
      </c>
      <c r="D38" s="20"/>
      <c r="E38" s="339"/>
      <c r="F38" s="224" t="s">
        <v>70</v>
      </c>
      <c r="G38" s="22">
        <v>1</v>
      </c>
    </row>
    <row r="39" spans="1:10" ht="18" customHeight="1">
      <c r="A39" s="345"/>
      <c r="B39" s="228" t="s">
        <v>294</v>
      </c>
      <c r="C39" s="16"/>
      <c r="D39" s="20"/>
      <c r="E39" s="339"/>
      <c r="F39" s="228" t="s">
        <v>7</v>
      </c>
      <c r="G39" s="24" t="s">
        <v>386</v>
      </c>
    </row>
    <row r="40" spans="1:10" ht="18" customHeight="1" thickBot="1">
      <c r="A40" s="346"/>
      <c r="B40" s="220" t="s">
        <v>2</v>
      </c>
      <c r="C40" s="25" t="s">
        <v>412</v>
      </c>
      <c r="D40" s="20"/>
      <c r="E40" s="340"/>
      <c r="F40" s="220" t="s">
        <v>71</v>
      </c>
      <c r="G40" s="26" t="s">
        <v>386</v>
      </c>
      <c r="I40" s="489"/>
      <c r="J40" s="490"/>
    </row>
    <row r="41" spans="1:10" ht="13.5" customHeight="1" thickBot="1">
      <c r="A41" s="80"/>
      <c r="B41" s="27"/>
      <c r="C41" s="28"/>
      <c r="D41" s="29"/>
      <c r="E41" s="30"/>
      <c r="F41" s="4"/>
      <c r="G41" s="76"/>
      <c r="H41" s="48"/>
    </row>
    <row r="42" spans="1:10" ht="27.95" customHeight="1" thickBot="1">
      <c r="A42" s="347" t="s">
        <v>253</v>
      </c>
      <c r="B42" s="348"/>
      <c r="C42" s="348"/>
      <c r="D42" s="348"/>
      <c r="E42" s="348"/>
      <c r="F42" s="348"/>
      <c r="G42" s="349"/>
    </row>
    <row r="43" spans="1:10" ht="13.5" customHeight="1" thickBot="1">
      <c r="A43" s="31"/>
      <c r="B43" s="32"/>
      <c r="C43" s="33"/>
      <c r="D43" s="34"/>
      <c r="E43" s="35"/>
      <c r="F43" s="5"/>
      <c r="G43" s="77"/>
      <c r="H43" s="48"/>
    </row>
    <row r="44" spans="1:10" ht="18" customHeight="1">
      <c r="A44" s="370" t="s">
        <v>86</v>
      </c>
      <c r="B44" s="371"/>
      <c r="C44" s="81" t="s">
        <v>383</v>
      </c>
      <c r="D44" s="34"/>
      <c r="E44" s="370" t="s">
        <v>87</v>
      </c>
      <c r="F44" s="371"/>
      <c r="G44" s="99" t="s">
        <v>383</v>
      </c>
    </row>
    <row r="45" spans="1:10" ht="18" customHeight="1" thickBot="1">
      <c r="A45" s="495" t="s">
        <v>89</v>
      </c>
      <c r="B45" s="496"/>
      <c r="C45" s="82" t="s">
        <v>383</v>
      </c>
      <c r="D45" s="36"/>
      <c r="E45" s="368" t="s">
        <v>88</v>
      </c>
      <c r="F45" s="369"/>
      <c r="G45" s="100" t="s">
        <v>383</v>
      </c>
    </row>
    <row r="46" spans="1:10" ht="13.5" customHeight="1" thickBot="1">
      <c r="A46" s="79"/>
      <c r="B46" s="32"/>
      <c r="C46" s="33"/>
      <c r="D46" s="34"/>
      <c r="E46" s="35"/>
      <c r="F46" s="5"/>
      <c r="G46" s="77"/>
      <c r="H46" s="48"/>
    </row>
    <row r="47" spans="1:10" ht="27.95" customHeight="1" thickBot="1">
      <c r="A47" s="347" t="s">
        <v>60</v>
      </c>
      <c r="B47" s="348"/>
      <c r="C47" s="348"/>
      <c r="D47" s="348"/>
      <c r="E47" s="348"/>
      <c r="F47" s="348"/>
      <c r="G47" s="349"/>
    </row>
    <row r="48" spans="1:10" ht="12.95" customHeight="1" thickBot="1">
      <c r="A48" s="37"/>
      <c r="B48" s="37"/>
      <c r="C48" s="37"/>
      <c r="D48" s="38"/>
      <c r="E48" s="37"/>
      <c r="F48" s="37"/>
      <c r="G48" s="37"/>
      <c r="H48" s="48"/>
    </row>
    <row r="49" spans="1:8" ht="18" customHeight="1" thickBot="1">
      <c r="A49" s="394" t="s">
        <v>30</v>
      </c>
      <c r="B49" s="395"/>
      <c r="C49" s="396"/>
      <c r="D49" s="39"/>
      <c r="E49" s="394" t="s">
        <v>31</v>
      </c>
      <c r="F49" s="395"/>
      <c r="G49" s="396"/>
    </row>
    <row r="50" spans="1:8" ht="18" customHeight="1">
      <c r="A50" s="426" t="s">
        <v>32</v>
      </c>
      <c r="B50" s="212" t="s">
        <v>6</v>
      </c>
      <c r="C50" s="40"/>
      <c r="D50" s="41"/>
      <c r="E50" s="352" t="s">
        <v>296</v>
      </c>
      <c r="F50" s="212" t="s">
        <v>15</v>
      </c>
      <c r="G50" s="42"/>
    </row>
    <row r="51" spans="1:8" ht="18" customHeight="1">
      <c r="A51" s="427"/>
      <c r="B51" s="211" t="s">
        <v>1</v>
      </c>
      <c r="C51" s="43"/>
      <c r="D51" s="41"/>
      <c r="E51" s="424"/>
      <c r="F51" s="207" t="s">
        <v>80</v>
      </c>
      <c r="G51" s="44"/>
    </row>
    <row r="52" spans="1:8" ht="18" customHeight="1" thickBot="1">
      <c r="A52" s="428"/>
      <c r="B52" s="210" t="s">
        <v>2</v>
      </c>
      <c r="C52" s="53"/>
      <c r="D52" s="41"/>
      <c r="E52" s="424"/>
      <c r="F52" s="211" t="s">
        <v>7</v>
      </c>
      <c r="G52" s="45"/>
    </row>
    <row r="53" spans="1:8" ht="18" customHeight="1">
      <c r="A53" s="352" t="s">
        <v>33</v>
      </c>
      <c r="B53" s="209" t="s">
        <v>16</v>
      </c>
      <c r="C53" s="40"/>
      <c r="D53" s="41"/>
      <c r="E53" s="424"/>
      <c r="F53" s="211" t="s">
        <v>18</v>
      </c>
      <c r="G53" s="45"/>
    </row>
    <row r="54" spans="1:8" ht="18" customHeight="1">
      <c r="A54" s="353"/>
      <c r="B54" s="248" t="s">
        <v>64</v>
      </c>
      <c r="C54" s="43"/>
      <c r="D54" s="41"/>
      <c r="E54" s="424"/>
      <c r="F54" s="211" t="s">
        <v>5</v>
      </c>
      <c r="G54" s="45"/>
    </row>
    <row r="55" spans="1:8" ht="18" customHeight="1" thickBot="1">
      <c r="A55" s="353"/>
      <c r="B55" s="248" t="s">
        <v>17</v>
      </c>
      <c r="C55" s="46"/>
      <c r="D55" s="41"/>
      <c r="E55" s="425"/>
      <c r="F55" s="205" t="s">
        <v>20</v>
      </c>
      <c r="G55" s="47"/>
    </row>
    <row r="56" spans="1:8" ht="18" customHeight="1" thickBot="1">
      <c r="A56" s="353"/>
      <c r="B56" s="208" t="s">
        <v>178</v>
      </c>
      <c r="C56" s="43"/>
      <c r="D56" s="48"/>
      <c r="E56" s="29"/>
      <c r="F56" s="49"/>
      <c r="G56" s="78"/>
      <c r="H56" s="48"/>
    </row>
    <row r="57" spans="1:8" ht="18" customHeight="1" thickBot="1">
      <c r="A57" s="353"/>
      <c r="B57" s="248" t="s">
        <v>19</v>
      </c>
      <c r="C57" s="43"/>
      <c r="D57" s="41"/>
      <c r="E57" s="355" t="s">
        <v>53</v>
      </c>
      <c r="F57" s="356"/>
      <c r="G57" s="357"/>
    </row>
    <row r="58" spans="1:8" ht="18" customHeight="1">
      <c r="A58" s="353"/>
      <c r="B58" s="248" t="s">
        <v>21</v>
      </c>
      <c r="C58" s="43"/>
      <c r="D58" s="41"/>
      <c r="E58" s="352" t="s">
        <v>13</v>
      </c>
      <c r="F58" s="204" t="s">
        <v>4</v>
      </c>
      <c r="G58" s="50"/>
    </row>
    <row r="59" spans="1:8" ht="18" customHeight="1">
      <c r="A59" s="353"/>
      <c r="B59" s="211" t="s">
        <v>0</v>
      </c>
      <c r="C59" s="43"/>
      <c r="D59" s="51"/>
      <c r="E59" s="424"/>
      <c r="F59" s="208" t="s">
        <v>23</v>
      </c>
      <c r="G59" s="23"/>
    </row>
    <row r="60" spans="1:8" ht="18" customHeight="1">
      <c r="A60" s="353"/>
      <c r="B60" s="207" t="s">
        <v>12</v>
      </c>
      <c r="C60" s="43"/>
      <c r="D60" s="51"/>
      <c r="E60" s="424"/>
      <c r="F60" s="208" t="s">
        <v>55</v>
      </c>
      <c r="G60" s="23"/>
    </row>
    <row r="61" spans="1:8" ht="18" customHeight="1">
      <c r="A61" s="353"/>
      <c r="B61" s="207" t="s">
        <v>22</v>
      </c>
      <c r="C61" s="43"/>
      <c r="D61" s="51"/>
      <c r="E61" s="424"/>
      <c r="F61" s="208" t="s">
        <v>8</v>
      </c>
      <c r="G61" s="23"/>
    </row>
    <row r="62" spans="1:8" ht="18" customHeight="1">
      <c r="A62" s="353"/>
      <c r="B62" s="211" t="s">
        <v>24</v>
      </c>
      <c r="C62" s="43" t="s">
        <v>329</v>
      </c>
      <c r="D62" s="51"/>
      <c r="E62" s="424"/>
      <c r="F62" s="208" t="s">
        <v>9</v>
      </c>
      <c r="G62" s="52"/>
    </row>
    <row r="63" spans="1:8" ht="18" customHeight="1">
      <c r="A63" s="353"/>
      <c r="B63" s="248" t="s">
        <v>25</v>
      </c>
      <c r="C63" s="43"/>
      <c r="D63" s="51"/>
      <c r="E63" s="424"/>
      <c r="F63" s="208" t="s">
        <v>54</v>
      </c>
      <c r="G63" s="23"/>
    </row>
    <row r="64" spans="1:8" ht="24.95" customHeight="1">
      <c r="A64" s="353"/>
      <c r="B64" s="248" t="s">
        <v>26</v>
      </c>
      <c r="C64" s="43"/>
      <c r="D64" s="51"/>
      <c r="E64" s="424"/>
      <c r="F64" s="208" t="s">
        <v>252</v>
      </c>
      <c r="G64" s="23"/>
    </row>
    <row r="65" spans="1:9" ht="18" customHeight="1">
      <c r="A65" s="353"/>
      <c r="B65" s="248" t="s">
        <v>27</v>
      </c>
      <c r="C65" s="43"/>
      <c r="D65" s="51"/>
      <c r="E65" s="424"/>
      <c r="F65" s="208" t="s">
        <v>56</v>
      </c>
      <c r="G65" s="23"/>
    </row>
    <row r="66" spans="1:9" ht="18" customHeight="1" thickBot="1">
      <c r="A66" s="354"/>
      <c r="B66" s="206" t="s">
        <v>28</v>
      </c>
      <c r="C66" s="103"/>
      <c r="D66" s="51"/>
      <c r="E66" s="424"/>
      <c r="F66" s="208" t="s">
        <v>57</v>
      </c>
      <c r="G66" s="104"/>
    </row>
    <row r="67" spans="1:9" ht="24.95" customHeight="1">
      <c r="A67" s="435" t="s">
        <v>34</v>
      </c>
      <c r="B67" s="212" t="s">
        <v>6</v>
      </c>
      <c r="C67" s="40"/>
      <c r="D67" s="51"/>
      <c r="E67" s="424"/>
      <c r="F67" s="208" t="s">
        <v>58</v>
      </c>
      <c r="G67" s="104"/>
    </row>
    <row r="68" spans="1:9" ht="18" customHeight="1">
      <c r="A68" s="436"/>
      <c r="B68" s="211" t="s">
        <v>1</v>
      </c>
      <c r="C68" s="43"/>
      <c r="D68" s="51"/>
      <c r="E68" s="424"/>
      <c r="F68" s="208" t="s">
        <v>62</v>
      </c>
      <c r="G68" s="104"/>
    </row>
    <row r="69" spans="1:9" ht="18" customHeight="1" thickBot="1">
      <c r="A69" s="437"/>
      <c r="B69" s="205" t="s">
        <v>2</v>
      </c>
      <c r="C69" s="53"/>
      <c r="D69" s="51"/>
      <c r="E69" s="425"/>
      <c r="F69" s="203" t="s">
        <v>63</v>
      </c>
      <c r="G69" s="105"/>
    </row>
    <row r="70" spans="1:9" ht="13.5" customHeight="1" thickBot="1">
      <c r="A70" s="86"/>
      <c r="B70" s="27"/>
      <c r="C70" s="28"/>
      <c r="D70" s="54"/>
      <c r="E70" s="30"/>
      <c r="F70" s="55"/>
      <c r="G70" s="106"/>
      <c r="H70" s="48"/>
    </row>
    <row r="71" spans="1:9" ht="27.95" customHeight="1" thickBot="1">
      <c r="A71" s="347" t="s">
        <v>61</v>
      </c>
      <c r="B71" s="348"/>
      <c r="C71" s="348"/>
      <c r="D71" s="348"/>
      <c r="E71" s="348"/>
      <c r="F71" s="348"/>
      <c r="G71" s="349"/>
    </row>
    <row r="72" spans="1:9" s="56" customFormat="1" ht="12.95" customHeight="1" thickBot="1">
      <c r="A72" s="37"/>
      <c r="B72" s="37"/>
      <c r="C72" s="37"/>
      <c r="D72" s="37"/>
      <c r="E72" s="37"/>
      <c r="F72" s="37"/>
      <c r="G72" s="37"/>
      <c r="H72" s="83"/>
      <c r="I72" s="179"/>
    </row>
    <row r="73" spans="1:9" ht="18" customHeight="1">
      <c r="A73" s="429" t="s">
        <v>251</v>
      </c>
      <c r="B73" s="430"/>
      <c r="C73" s="202" t="s">
        <v>35</v>
      </c>
      <c r="D73" s="410"/>
      <c r="E73" s="411"/>
      <c r="F73" s="411"/>
      <c r="G73" s="412"/>
    </row>
    <row r="74" spans="1:9" ht="18" customHeight="1" thickBot="1">
      <c r="A74" s="431"/>
      <c r="B74" s="432"/>
      <c r="C74" s="201" t="s">
        <v>36</v>
      </c>
      <c r="D74" s="501"/>
      <c r="E74" s="502"/>
      <c r="F74" s="502"/>
      <c r="G74" s="503"/>
    </row>
    <row r="75" spans="1:9" ht="18" customHeight="1" thickBot="1">
      <c r="A75" s="433"/>
      <c r="B75" s="434"/>
      <c r="C75" s="200" t="s">
        <v>37</v>
      </c>
      <c r="D75" s="481" t="s">
        <v>432</v>
      </c>
      <c r="E75" s="482"/>
      <c r="F75" s="482"/>
      <c r="G75" s="483"/>
    </row>
    <row r="76" spans="1:9" ht="13.5" customHeight="1" thickBot="1">
      <c r="A76" s="85"/>
      <c r="B76" s="57"/>
      <c r="C76" s="58"/>
      <c r="D76" s="484"/>
      <c r="E76" s="485"/>
      <c r="F76" s="485"/>
      <c r="G76" s="486"/>
      <c r="H76" s="48"/>
    </row>
    <row r="77" spans="1:9" s="59" customFormat="1" ht="27" thickBot="1">
      <c r="A77" s="341" t="s">
        <v>49</v>
      </c>
      <c r="B77" s="342"/>
      <c r="C77" s="342"/>
      <c r="D77" s="342"/>
      <c r="E77" s="342"/>
      <c r="F77" s="342"/>
      <c r="G77" s="343"/>
      <c r="I77" s="172"/>
    </row>
    <row r="78" spans="1:9" s="56" customFormat="1" ht="12.95" customHeight="1" thickBot="1">
      <c r="A78" s="130"/>
      <c r="B78" s="130"/>
      <c r="C78" s="130"/>
      <c r="D78" s="130"/>
      <c r="E78" s="130"/>
      <c r="F78" s="130"/>
      <c r="G78" s="130"/>
      <c r="I78" s="179"/>
    </row>
    <row r="79" spans="1:9" s="60" customFormat="1" ht="18" customHeight="1" thickBot="1">
      <c r="A79" s="422" t="s">
        <v>10</v>
      </c>
      <c r="B79" s="212" t="s">
        <v>6</v>
      </c>
      <c r="C79" s="418"/>
      <c r="D79" s="418"/>
      <c r="E79" s="418"/>
      <c r="F79" s="418"/>
      <c r="G79" s="419"/>
      <c r="I79" s="178"/>
    </row>
    <row r="80" spans="1:9" ht="18" customHeight="1" thickBot="1">
      <c r="A80" s="423"/>
      <c r="B80" s="211" t="s">
        <v>1</v>
      </c>
      <c r="C80" s="420"/>
      <c r="D80" s="420"/>
      <c r="E80" s="420"/>
      <c r="F80" s="420"/>
      <c r="G80" s="421"/>
    </row>
    <row r="81" spans="1:9" ht="18" customHeight="1" thickBot="1">
      <c r="A81" s="423"/>
      <c r="B81" s="210" t="s">
        <v>2</v>
      </c>
      <c r="C81" s="416"/>
      <c r="D81" s="416"/>
      <c r="E81" s="416"/>
      <c r="F81" s="416"/>
      <c r="G81" s="417"/>
    </row>
    <row r="82" spans="1:9" ht="18" customHeight="1" thickBot="1">
      <c r="A82" s="500" t="s">
        <v>40</v>
      </c>
      <c r="B82" s="209" t="s">
        <v>17</v>
      </c>
      <c r="C82" s="418"/>
      <c r="D82" s="418"/>
      <c r="E82" s="418"/>
      <c r="F82" s="418"/>
      <c r="G82" s="419"/>
    </row>
    <row r="83" spans="1:9" ht="18" customHeight="1" thickBot="1">
      <c r="A83" s="500"/>
      <c r="B83" s="211" t="s">
        <v>24</v>
      </c>
      <c r="C83" s="420"/>
      <c r="D83" s="420"/>
      <c r="E83" s="420"/>
      <c r="F83" s="420"/>
      <c r="G83" s="421"/>
    </row>
    <row r="84" spans="1:9" ht="18" customHeight="1" thickBot="1">
      <c r="A84" s="500"/>
      <c r="B84" s="248" t="s">
        <v>3</v>
      </c>
      <c r="C84" s="420"/>
      <c r="D84" s="420"/>
      <c r="E84" s="420"/>
      <c r="F84" s="420"/>
      <c r="G84" s="421"/>
    </row>
    <row r="85" spans="1:9" ht="18" customHeight="1" thickBot="1">
      <c r="A85" s="500"/>
      <c r="B85" s="247" t="s">
        <v>29</v>
      </c>
      <c r="C85" s="420"/>
      <c r="D85" s="420"/>
      <c r="E85" s="420"/>
      <c r="F85" s="420"/>
      <c r="G85" s="421"/>
    </row>
    <row r="86" spans="1:9" ht="18" customHeight="1" thickBot="1">
      <c r="A86" s="500"/>
      <c r="B86" s="199" t="s">
        <v>4</v>
      </c>
      <c r="C86" s="416"/>
      <c r="D86" s="416"/>
      <c r="E86" s="416"/>
      <c r="F86" s="416"/>
      <c r="G86" s="417"/>
    </row>
    <row r="87" spans="1:9" ht="18" customHeight="1" thickBot="1">
      <c r="A87" s="423" t="s">
        <v>41</v>
      </c>
      <c r="B87" s="212" t="s">
        <v>6</v>
      </c>
      <c r="C87" s="418"/>
      <c r="D87" s="418"/>
      <c r="E87" s="418"/>
      <c r="F87" s="418"/>
      <c r="G87" s="419"/>
    </row>
    <row r="88" spans="1:9" ht="18" customHeight="1" thickBot="1">
      <c r="A88" s="423"/>
      <c r="B88" s="211" t="s">
        <v>1</v>
      </c>
      <c r="C88" s="420"/>
      <c r="D88" s="420"/>
      <c r="E88" s="420"/>
      <c r="F88" s="420"/>
      <c r="G88" s="421"/>
    </row>
    <row r="89" spans="1:9" ht="18" customHeight="1" thickBot="1">
      <c r="A89" s="423"/>
      <c r="B89" s="210" t="s">
        <v>2</v>
      </c>
      <c r="C89" s="416"/>
      <c r="D89" s="416"/>
      <c r="E89" s="416"/>
      <c r="F89" s="416"/>
      <c r="G89" s="417"/>
    </row>
    <row r="90" spans="1:9" ht="18" customHeight="1" thickBot="1">
      <c r="A90" s="423" t="s">
        <v>42</v>
      </c>
      <c r="B90" s="212" t="s">
        <v>6</v>
      </c>
      <c r="C90" s="418"/>
      <c r="D90" s="418"/>
      <c r="E90" s="418"/>
      <c r="F90" s="418"/>
      <c r="G90" s="419"/>
    </row>
    <row r="91" spans="1:9" ht="18" customHeight="1" thickBot="1">
      <c r="A91" s="423"/>
      <c r="B91" s="211" t="s">
        <v>1</v>
      </c>
      <c r="C91" s="420"/>
      <c r="D91" s="420"/>
      <c r="E91" s="420"/>
      <c r="F91" s="420"/>
      <c r="G91" s="421"/>
    </row>
    <row r="92" spans="1:9" ht="18" customHeight="1" thickBot="1">
      <c r="A92" s="423"/>
      <c r="B92" s="205" t="s">
        <v>2</v>
      </c>
      <c r="C92" s="416"/>
      <c r="D92" s="416"/>
      <c r="E92" s="416"/>
      <c r="F92" s="416"/>
      <c r="G92" s="417"/>
    </row>
    <row r="93" spans="1:9" ht="13.5" customHeight="1" thickBot="1">
      <c r="A93" s="85"/>
      <c r="B93" s="57"/>
      <c r="C93" s="58"/>
      <c r="D93" s="58"/>
      <c r="E93" s="58"/>
      <c r="F93" s="57"/>
      <c r="G93" s="84"/>
      <c r="H93" s="48"/>
    </row>
    <row r="94" spans="1:9" s="61" customFormat="1" ht="27" thickBot="1">
      <c r="A94" s="497" t="s">
        <v>38</v>
      </c>
      <c r="B94" s="498"/>
      <c r="C94" s="498"/>
      <c r="D94" s="498"/>
      <c r="E94" s="498"/>
      <c r="F94" s="498"/>
      <c r="G94" s="499"/>
      <c r="I94" s="175"/>
    </row>
    <row r="95" spans="1:9" s="56" customFormat="1" ht="12.95" customHeight="1" thickBot="1">
      <c r="A95" s="37"/>
      <c r="B95" s="37"/>
      <c r="C95" s="37"/>
      <c r="D95" s="37"/>
      <c r="E95" s="37"/>
      <c r="F95" s="37"/>
      <c r="G95" s="37"/>
      <c r="H95" s="83"/>
      <c r="I95" s="179"/>
    </row>
    <row r="96" spans="1:9" ht="18" customHeight="1">
      <c r="A96" s="469" t="s">
        <v>73</v>
      </c>
      <c r="B96" s="198" t="s">
        <v>51</v>
      </c>
      <c r="C96" s="477" t="s">
        <v>383</v>
      </c>
      <c r="D96" s="477"/>
      <c r="E96" s="477"/>
      <c r="F96" s="477"/>
      <c r="G96" s="478"/>
    </row>
    <row r="97" spans="1:8" ht="18" customHeight="1">
      <c r="A97" s="470"/>
      <c r="B97" s="197" t="s">
        <v>50</v>
      </c>
      <c r="C97" s="479" t="s">
        <v>383</v>
      </c>
      <c r="D97" s="479"/>
      <c r="E97" s="479"/>
      <c r="F97" s="479"/>
      <c r="G97" s="480"/>
    </row>
    <row r="98" spans="1:8" ht="18" customHeight="1">
      <c r="A98" s="470"/>
      <c r="B98" s="197" t="s">
        <v>4</v>
      </c>
      <c r="C98" s="479" t="s">
        <v>383</v>
      </c>
      <c r="D98" s="479"/>
      <c r="E98" s="479"/>
      <c r="F98" s="479"/>
      <c r="G98" s="480"/>
    </row>
    <row r="99" spans="1:8" ht="18" customHeight="1" thickBot="1">
      <c r="A99" s="471"/>
      <c r="B99" s="199" t="s">
        <v>74</v>
      </c>
      <c r="C99" s="475" t="s">
        <v>383</v>
      </c>
      <c r="D99" s="475"/>
      <c r="E99" s="475"/>
      <c r="F99" s="475"/>
      <c r="G99" s="476"/>
    </row>
    <row r="100" spans="1:8" ht="13.5" customHeight="1" thickBot="1">
      <c r="A100" s="88"/>
      <c r="B100" s="62"/>
      <c r="C100" s="63"/>
      <c r="D100" s="63"/>
      <c r="E100" s="63"/>
      <c r="F100" s="63"/>
      <c r="G100" s="87"/>
      <c r="H100" s="48"/>
    </row>
    <row r="101" spans="1:8" ht="16.5" customHeight="1" thickBot="1">
      <c r="A101" s="454" t="s">
        <v>290</v>
      </c>
      <c r="B101" s="455"/>
      <c r="C101" s="455"/>
      <c r="D101" s="455"/>
      <c r="E101" s="455"/>
      <c r="F101" s="455"/>
      <c r="G101" s="456"/>
    </row>
    <row r="102" spans="1:8" ht="12.75" customHeight="1">
      <c r="A102" s="463" t="s">
        <v>39</v>
      </c>
      <c r="B102" s="466"/>
      <c r="C102" s="466"/>
      <c r="D102" s="466"/>
      <c r="E102" s="466"/>
      <c r="F102" s="466"/>
      <c r="G102" s="466"/>
    </row>
    <row r="103" spans="1:8" ht="12.75" customHeight="1">
      <c r="A103" s="464"/>
      <c r="B103" s="467"/>
      <c r="C103" s="467"/>
      <c r="D103" s="467"/>
      <c r="E103" s="467"/>
      <c r="F103" s="467"/>
      <c r="G103" s="467"/>
    </row>
    <row r="104" spans="1:8" ht="13.5" customHeight="1" thickBot="1">
      <c r="A104" s="465"/>
      <c r="B104" s="468"/>
      <c r="C104" s="468"/>
      <c r="D104" s="468"/>
      <c r="E104" s="468"/>
      <c r="F104" s="468"/>
      <c r="G104" s="468"/>
    </row>
    <row r="105" spans="1:8" ht="13.5" customHeight="1" thickBot="1">
      <c r="A105" s="95"/>
      <c r="B105" s="94"/>
      <c r="C105" s="94"/>
      <c r="D105" s="94"/>
      <c r="E105" s="94"/>
      <c r="F105" s="94"/>
      <c r="G105" s="94"/>
      <c r="H105" s="48"/>
    </row>
    <row r="106" spans="1:8" ht="15" customHeight="1" thickBot="1">
      <c r="A106" s="491" t="s">
        <v>167</v>
      </c>
      <c r="B106" s="492"/>
      <c r="C106" s="493" t="s">
        <v>169</v>
      </c>
      <c r="D106" s="494"/>
      <c r="E106" s="98" t="s">
        <v>168</v>
      </c>
      <c r="F106" s="196" t="s">
        <v>170</v>
      </c>
      <c r="G106" s="97"/>
      <c r="H106" s="48"/>
    </row>
    <row r="107" spans="1:8" ht="13.5" customHeight="1" thickBot="1">
      <c r="A107" s="96"/>
      <c r="B107" s="65"/>
      <c r="C107" s="65"/>
      <c r="D107" s="65"/>
      <c r="E107" s="65"/>
      <c r="F107" s="487" t="s">
        <v>377</v>
      </c>
      <c r="G107" s="488"/>
      <c r="H107" s="48"/>
    </row>
    <row r="108" spans="1:8" ht="16.5" customHeight="1" thickBot="1">
      <c r="A108" s="454" t="s">
        <v>156</v>
      </c>
      <c r="B108" s="455"/>
      <c r="C108" s="455"/>
      <c r="D108" s="455"/>
      <c r="E108" s="455"/>
      <c r="F108" s="455"/>
      <c r="G108" s="456"/>
    </row>
    <row r="109" spans="1:8" ht="12.75" customHeight="1">
      <c r="A109" s="457" t="s">
        <v>156</v>
      </c>
      <c r="B109" s="460" t="s">
        <v>310</v>
      </c>
      <c r="C109" s="460"/>
      <c r="D109" s="460"/>
      <c r="E109" s="460"/>
      <c r="F109" s="460"/>
      <c r="G109" s="460"/>
    </row>
    <row r="110" spans="1:8" ht="12.75" customHeight="1">
      <c r="A110" s="458"/>
      <c r="B110" s="461"/>
      <c r="C110" s="461"/>
      <c r="D110" s="461"/>
      <c r="E110" s="461"/>
      <c r="F110" s="461"/>
      <c r="G110" s="461"/>
    </row>
    <row r="111" spans="1:8" ht="13.5" customHeight="1" thickBot="1">
      <c r="A111" s="459"/>
      <c r="B111" s="462"/>
      <c r="C111" s="462"/>
      <c r="D111" s="462"/>
      <c r="E111" s="462"/>
      <c r="F111" s="462"/>
      <c r="G111" s="462"/>
    </row>
    <row r="112" spans="1:8" ht="13.5" customHeight="1" thickBot="1">
      <c r="A112" s="64"/>
      <c r="B112" s="65"/>
      <c r="C112" s="65"/>
      <c r="D112" s="65"/>
      <c r="E112" s="65"/>
      <c r="F112" s="89"/>
      <c r="G112" s="90"/>
      <c r="H112" s="48"/>
    </row>
    <row r="113" spans="1:8" ht="16.5" customHeight="1" thickBot="1">
      <c r="A113" s="472" t="s">
        <v>163</v>
      </c>
      <c r="B113" s="473"/>
      <c r="C113" s="473"/>
      <c r="D113" s="473"/>
      <c r="E113" s="473"/>
      <c r="F113" s="473"/>
      <c r="G113" s="474"/>
    </row>
    <row r="114" spans="1:8" ht="12.75" customHeight="1">
      <c r="A114" s="438" t="s">
        <v>164</v>
      </c>
      <c r="B114" s="439"/>
      <c r="C114" s="448"/>
      <c r="D114" s="449"/>
      <c r="E114" s="442" t="s">
        <v>287</v>
      </c>
      <c r="F114" s="444"/>
      <c r="G114" s="445"/>
    </row>
    <row r="115" spans="1:8" ht="12.75" customHeight="1">
      <c r="A115" s="438"/>
      <c r="B115" s="439"/>
      <c r="C115" s="450"/>
      <c r="D115" s="451"/>
      <c r="E115" s="442"/>
      <c r="F115" s="444"/>
      <c r="G115" s="445"/>
    </row>
    <row r="116" spans="1:8" ht="19.5" customHeight="1" thickBot="1">
      <c r="A116" s="440"/>
      <c r="B116" s="441"/>
      <c r="C116" s="452"/>
      <c r="D116" s="453"/>
      <c r="E116" s="443"/>
      <c r="F116" s="446"/>
      <c r="G116" s="447"/>
    </row>
    <row r="117" spans="1:8">
      <c r="A117" s="91"/>
      <c r="B117" s="91"/>
      <c r="C117" s="92"/>
      <c r="D117" s="92"/>
      <c r="E117" s="92"/>
      <c r="F117" s="93"/>
      <c r="G117" s="195" t="s">
        <v>360</v>
      </c>
      <c r="H117" s="48"/>
    </row>
    <row r="118" spans="1:8" hidden="1">
      <c r="A118" s="65"/>
      <c r="B118" s="65"/>
      <c r="C118" s="65"/>
      <c r="D118" s="65"/>
      <c r="E118" s="65"/>
      <c r="F118" s="65"/>
      <c r="G118" s="66"/>
    </row>
    <row r="119" spans="1:8" hidden="1">
      <c r="A119" s="65"/>
      <c r="B119" s="65"/>
      <c r="C119" s="65"/>
      <c r="D119" s="65"/>
      <c r="E119" s="65"/>
      <c r="F119" s="65"/>
      <c r="G119" s="66"/>
    </row>
    <row r="120" spans="1:8" hidden="1">
      <c r="A120" s="65"/>
      <c r="B120" s="65"/>
      <c r="C120" s="65"/>
      <c r="D120" s="65"/>
      <c r="E120" s="65"/>
      <c r="F120" s="65"/>
      <c r="G120" s="66"/>
    </row>
    <row r="121" spans="1:8" hidden="1">
      <c r="A121" s="65"/>
      <c r="B121" s="65"/>
      <c r="C121" s="65"/>
      <c r="D121" s="65"/>
      <c r="E121" s="65"/>
      <c r="F121" s="65"/>
      <c r="G121" s="66"/>
    </row>
    <row r="122" spans="1:8" hidden="1">
      <c r="A122" s="65"/>
      <c r="B122" s="65"/>
      <c r="C122" s="65"/>
      <c r="D122" s="65"/>
      <c r="E122" s="65"/>
      <c r="F122" s="65"/>
      <c r="G122" s="66"/>
    </row>
    <row r="123" spans="1:8" hidden="1">
      <c r="A123" s="65"/>
      <c r="B123" s="65"/>
      <c r="C123" s="65"/>
      <c r="D123" s="65"/>
      <c r="E123" s="65"/>
      <c r="F123" s="65"/>
      <c r="G123" s="66"/>
    </row>
    <row r="124" spans="1:8" hidden="1">
      <c r="A124" s="65"/>
      <c r="B124" s="65"/>
      <c r="C124" s="65"/>
      <c r="D124" s="65"/>
      <c r="E124" s="65"/>
      <c r="F124" s="65"/>
      <c r="G124" s="66"/>
    </row>
    <row r="125" spans="1:8" hidden="1">
      <c r="A125" s="65"/>
      <c r="B125" s="65"/>
      <c r="C125" s="65"/>
      <c r="D125" s="65"/>
      <c r="E125" s="65"/>
      <c r="F125" s="65"/>
      <c r="G125" s="66"/>
    </row>
    <row r="126" spans="1:8" hidden="1">
      <c r="A126" s="65"/>
      <c r="B126" s="65"/>
      <c r="C126" s="65"/>
      <c r="D126" s="65"/>
      <c r="E126" s="65"/>
      <c r="F126" s="65"/>
      <c r="G126" s="66"/>
    </row>
    <row r="127" spans="1:8" hidden="1">
      <c r="A127" s="65"/>
      <c r="B127" s="65"/>
      <c r="C127" s="65"/>
      <c r="D127" s="65"/>
      <c r="E127" s="65"/>
      <c r="F127" s="65"/>
      <c r="G127" s="66"/>
    </row>
    <row r="128" spans="1:8" hidden="1">
      <c r="A128" s="65"/>
      <c r="B128" s="65"/>
      <c r="C128" s="65"/>
      <c r="D128" s="65"/>
      <c r="E128" s="65"/>
      <c r="F128" s="65"/>
      <c r="G128" s="66"/>
    </row>
    <row r="129" spans="1:7" hidden="1">
      <c r="A129" s="65"/>
      <c r="B129" s="65"/>
      <c r="C129" s="65"/>
      <c r="D129" s="65"/>
      <c r="E129" s="65"/>
      <c r="F129" s="65"/>
      <c r="G129" s="66"/>
    </row>
    <row r="130" spans="1:7" hidden="1">
      <c r="A130" s="65"/>
      <c r="B130" s="65"/>
      <c r="C130" s="65"/>
      <c r="D130" s="65"/>
      <c r="E130" s="65"/>
      <c r="F130" s="65"/>
      <c r="G130" s="66"/>
    </row>
    <row r="131" spans="1:7" hidden="1">
      <c r="A131" s="65"/>
      <c r="B131" s="65"/>
      <c r="C131" s="65"/>
      <c r="D131" s="65"/>
      <c r="E131" s="65"/>
      <c r="F131" s="65"/>
      <c r="G131" s="66"/>
    </row>
    <row r="132" spans="1:7" hidden="1">
      <c r="A132" s="65"/>
      <c r="B132" s="65"/>
      <c r="C132" s="65"/>
      <c r="D132" s="65"/>
      <c r="E132" s="65"/>
      <c r="F132" s="65"/>
      <c r="G132" s="66"/>
    </row>
    <row r="133" spans="1:7" hidden="1">
      <c r="A133" s="65"/>
      <c r="B133" s="65"/>
      <c r="C133" s="65"/>
      <c r="D133" s="65"/>
      <c r="E133" s="65"/>
      <c r="F133" s="65"/>
      <c r="G133" s="66"/>
    </row>
    <row r="134" spans="1:7" hidden="1">
      <c r="A134" s="65"/>
      <c r="B134" s="65"/>
      <c r="C134" s="65"/>
      <c r="D134" s="65"/>
      <c r="E134" s="65"/>
      <c r="F134" s="65"/>
      <c r="G134" s="66"/>
    </row>
    <row r="135" spans="1:7" hidden="1">
      <c r="A135" s="65"/>
      <c r="B135" s="65"/>
      <c r="C135" s="65"/>
      <c r="D135" s="65"/>
      <c r="E135" s="65"/>
      <c r="F135" s="65"/>
      <c r="G135" s="66"/>
    </row>
    <row r="136" spans="1:7" hidden="1"/>
    <row r="137" spans="1:7" hidden="1"/>
    <row r="138" spans="1:7" hidden="1"/>
    <row r="139" spans="1:7" hidden="1"/>
    <row r="140" spans="1:7" hidden="1"/>
    <row r="141" spans="1:7" hidden="1"/>
    <row r="142" spans="1:7" hidden="1"/>
    <row r="143" spans="1:7" hidden="1"/>
    <row r="144" spans="1:7" hidden="1"/>
    <row r="145" spans="10:11" hidden="1"/>
    <row r="146" spans="10:11" hidden="1"/>
    <row r="147" spans="10:11" hidden="1"/>
    <row r="148" spans="10:11" hidden="1"/>
    <row r="149" spans="10:11" hidden="1"/>
    <row r="150" spans="10:11" hidden="1"/>
    <row r="151" spans="10:11" hidden="1"/>
    <row r="152" spans="10:11" hidden="1"/>
    <row r="154" spans="10:11">
      <c r="J154" s="59"/>
      <c r="K154" s="59"/>
    </row>
  </sheetData>
  <sheetProtection algorithmName="SHA-512" hashValue="9zaC2BRi/MkfhnTW0RmQt5A3slcVdXF2DUayrq8Sb6gw7dEFLFYDZKqk6B4iRLhesXz0b2NBG1QM4cddvl+Hog==" saltValue="O1ePviSnz35g5Z7nC5UhtQ==" spinCount="100000" sheet="1" objects="1" scenarios="1" selectLockedCells="1"/>
  <protectedRanges>
    <protectedRange sqref="G24:G26" name="Range1"/>
  </protectedRanges>
  <mergeCells count="85">
    <mergeCell ref="F107:G107"/>
    <mergeCell ref="I40:J40"/>
    <mergeCell ref="A106:B106"/>
    <mergeCell ref="C106:D106"/>
    <mergeCell ref="E50:E55"/>
    <mergeCell ref="A42:G42"/>
    <mergeCell ref="A45:B45"/>
    <mergeCell ref="A44:B44"/>
    <mergeCell ref="A94:G94"/>
    <mergeCell ref="A82:A86"/>
    <mergeCell ref="A87:A89"/>
    <mergeCell ref="A90:A92"/>
    <mergeCell ref="C90:G90"/>
    <mergeCell ref="C91:G91"/>
    <mergeCell ref="D74:G74"/>
    <mergeCell ref="C92:G92"/>
    <mergeCell ref="C96:G96"/>
    <mergeCell ref="C97:G97"/>
    <mergeCell ref="C98:G98"/>
    <mergeCell ref="C84:G84"/>
    <mergeCell ref="D75:G76"/>
    <mergeCell ref="A114:B116"/>
    <mergeCell ref="E114:E116"/>
    <mergeCell ref="F114:G116"/>
    <mergeCell ref="C114:D116"/>
    <mergeCell ref="C85:G85"/>
    <mergeCell ref="A108:G108"/>
    <mergeCell ref="A109:A111"/>
    <mergeCell ref="B109:G111"/>
    <mergeCell ref="A102:A104"/>
    <mergeCell ref="B102:G104"/>
    <mergeCell ref="A101:G101"/>
    <mergeCell ref="A96:A99"/>
    <mergeCell ref="C86:G86"/>
    <mergeCell ref="C87:G87"/>
    <mergeCell ref="A113:G113"/>
    <mergeCell ref="C99:G99"/>
    <mergeCell ref="D73:G73"/>
    <mergeCell ref="A1:G1"/>
    <mergeCell ref="C89:G89"/>
    <mergeCell ref="C79:G79"/>
    <mergeCell ref="C80:G80"/>
    <mergeCell ref="C81:G81"/>
    <mergeCell ref="C82:G82"/>
    <mergeCell ref="C83:G83"/>
    <mergeCell ref="A79:A81"/>
    <mergeCell ref="E58:E69"/>
    <mergeCell ref="A49:C49"/>
    <mergeCell ref="E49:G49"/>
    <mergeCell ref="A50:A52"/>
    <mergeCell ref="C88:G88"/>
    <mergeCell ref="A73:B75"/>
    <mergeCell ref="A67:A69"/>
    <mergeCell ref="I24:J24"/>
    <mergeCell ref="A2:A3"/>
    <mergeCell ref="B2:E2"/>
    <mergeCell ref="B3:E3"/>
    <mergeCell ref="E12:G12"/>
    <mergeCell ref="E13:E26"/>
    <mergeCell ref="C25:C26"/>
    <mergeCell ref="A4:E4"/>
    <mergeCell ref="A8:G8"/>
    <mergeCell ref="A10:C10"/>
    <mergeCell ref="F10:G10"/>
    <mergeCell ref="A5:E5"/>
    <mergeCell ref="A6:E6"/>
    <mergeCell ref="A14:A36"/>
    <mergeCell ref="F14:G14"/>
    <mergeCell ref="E28:G28"/>
    <mergeCell ref="E36:E40"/>
    <mergeCell ref="A77:G77"/>
    <mergeCell ref="A11:A13"/>
    <mergeCell ref="A71:G71"/>
    <mergeCell ref="G31:G32"/>
    <mergeCell ref="A47:G47"/>
    <mergeCell ref="A53:A66"/>
    <mergeCell ref="E57:G57"/>
    <mergeCell ref="B31:B36"/>
    <mergeCell ref="C31:C36"/>
    <mergeCell ref="A37:A40"/>
    <mergeCell ref="E29:E35"/>
    <mergeCell ref="B25:B26"/>
    <mergeCell ref="F31:F32"/>
    <mergeCell ref="E45:F45"/>
    <mergeCell ref="E44:F44"/>
  </mergeCells>
  <conditionalFormatting sqref="I19">
    <cfRule type="expression" dxfId="6" priority="9">
      <formula>"EUR"</formula>
    </cfRule>
  </conditionalFormatting>
  <conditionalFormatting sqref="G19:G20 G23 G25">
    <cfRule type="expression" dxfId="5" priority="7">
      <formula>$I$19="EUR"</formula>
    </cfRule>
  </conditionalFormatting>
  <conditionalFormatting sqref="G19:G20 G23 G25">
    <cfRule type="expression" dxfId="4" priority="5">
      <formula>$I$19="USD"</formula>
    </cfRule>
  </conditionalFormatting>
  <conditionalFormatting sqref="G21:G22">
    <cfRule type="expression" dxfId="3" priority="1">
      <formula>$I$19="JPY"</formula>
    </cfRule>
    <cfRule type="expression" dxfId="2" priority="3">
      <formula>$I$19="EUR"</formula>
    </cfRule>
    <cfRule type="expression" dxfId="1" priority="4">
      <formula>$I$19="USD"</formula>
    </cfRule>
  </conditionalFormatting>
  <conditionalFormatting sqref="G19:G20 G23 G25">
    <cfRule type="expression" dxfId="0" priority="2">
      <formula>$I$19="JPY"</formula>
    </cfRule>
  </conditionalFormatting>
  <dataValidations count="1">
    <dataValidation allowBlank="1" showErrorMessage="1" sqref="F4:F7 G4" xr:uid="{00000000-0002-0000-0000-000000000000}"/>
  </dataValidations>
  <hyperlinks>
    <hyperlink ref="C13" r:id="rId1" xr:uid="{00000000-0004-0000-0000-000000000000}"/>
  </hyperlinks>
  <printOptions horizontalCentered="1" verticalCentered="1"/>
  <pageMargins left="3.9370078740157501E-2" right="3.9370078740157501E-2" top="0.25" bottom="0.25" header="0.11110236220472" footer="0.118110236220472"/>
  <pageSetup scale="56" fitToHeight="2" orientation="portrait" r:id="rId2"/>
  <headerFooter>
    <oddFooter>&amp;C&amp;1#&amp;"Arial"&amp;10&amp;K000000---Internal Use---</oddFooter>
  </headerFooter>
  <customProperties>
    <customPr name="Guid" r:id="rId3"/>
  </customProperties>
  <ignoredErrors>
    <ignoredError sqref="C12" numberStoredAsText="1"/>
  </ignoredErrors>
  <drawing r:id="rId4"/>
  <legacyDrawing r:id="rId5"/>
  <mc:AlternateContent xmlns:mc="http://schemas.openxmlformats.org/markup-compatibility/2006">
    <mc:Choice Requires="x14">
      <controls>
        <mc:AlternateContent xmlns:mc="http://schemas.openxmlformats.org/markup-compatibility/2006">
          <mc:Choice Requires="x14">
            <control shapeId="33829" r:id="rId6" name="Check Box 37">
              <controlPr defaultSize="0" autoFill="0" autoLine="0" autoPict="0">
                <anchor>
                  <from>
                    <xdr:col>5</xdr:col>
                    <xdr:colOff>1704975</xdr:colOff>
                    <xdr:row>12</xdr:row>
                    <xdr:rowOff>219075</xdr:rowOff>
                  </from>
                  <to>
                    <xdr:col>5</xdr:col>
                    <xdr:colOff>2152650</xdr:colOff>
                    <xdr:row>13</xdr:row>
                    <xdr:rowOff>219075</xdr:rowOff>
                  </to>
                </anchor>
              </controlPr>
            </control>
          </mc:Choice>
        </mc:AlternateContent>
        <mc:AlternateContent xmlns:mc="http://schemas.openxmlformats.org/markup-compatibility/2006">
          <mc:Choice Requires="x14">
            <control shapeId="33831" r:id="rId7" name="Check Box 39">
              <controlPr defaultSize="0" autoFill="0" autoLine="0" autoPict="0">
                <anchor>
                  <from>
                    <xdr:col>5</xdr:col>
                    <xdr:colOff>171450</xdr:colOff>
                    <xdr:row>13</xdr:row>
                    <xdr:rowOff>219075</xdr:rowOff>
                  </from>
                  <to>
                    <xdr:col>5</xdr:col>
                    <xdr:colOff>657225</xdr:colOff>
                    <xdr:row>14</xdr:row>
                    <xdr:rowOff>219075</xdr:rowOff>
                  </to>
                </anchor>
              </controlPr>
            </control>
          </mc:Choice>
        </mc:AlternateContent>
        <mc:AlternateContent xmlns:mc="http://schemas.openxmlformats.org/markup-compatibility/2006">
          <mc:Choice Requires="x14">
            <control shapeId="33832" r:id="rId8" name="Check Box 40">
              <controlPr defaultSize="0" autoFill="0" autoLine="0" autoPict="0">
                <anchor>
                  <from>
                    <xdr:col>5</xdr:col>
                    <xdr:colOff>876300</xdr:colOff>
                    <xdr:row>14</xdr:row>
                    <xdr:rowOff>0</xdr:rowOff>
                  </from>
                  <to>
                    <xdr:col>5</xdr:col>
                    <xdr:colOff>1343025</xdr:colOff>
                    <xdr:row>15</xdr:row>
                    <xdr:rowOff>0</xdr:rowOff>
                  </to>
                </anchor>
              </controlPr>
            </control>
          </mc:Choice>
        </mc:AlternateContent>
        <mc:AlternateContent xmlns:mc="http://schemas.openxmlformats.org/markup-compatibility/2006">
          <mc:Choice Requires="x14">
            <control shapeId="33833" r:id="rId9" name="Check Box 41">
              <controlPr defaultSize="0" autoFill="0" autoLine="0" autoPict="0">
                <anchor>
                  <from>
                    <xdr:col>5</xdr:col>
                    <xdr:colOff>1628775</xdr:colOff>
                    <xdr:row>13</xdr:row>
                    <xdr:rowOff>219075</xdr:rowOff>
                  </from>
                  <to>
                    <xdr:col>5</xdr:col>
                    <xdr:colOff>2047875</xdr:colOff>
                    <xdr:row>14</xdr:row>
                    <xdr:rowOff>219075</xdr:rowOff>
                  </to>
                </anchor>
              </controlPr>
            </control>
          </mc:Choice>
        </mc:AlternateContent>
        <mc:AlternateContent xmlns:mc="http://schemas.openxmlformats.org/markup-compatibility/2006">
          <mc:Choice Requires="x14">
            <control shapeId="33834" r:id="rId10" name="Check Box 42">
              <controlPr defaultSize="0" autoFill="0" autoLine="0" autoPict="0">
                <anchor>
                  <from>
                    <xdr:col>6</xdr:col>
                    <xdr:colOff>200025</xdr:colOff>
                    <xdr:row>14</xdr:row>
                    <xdr:rowOff>0</xdr:rowOff>
                  </from>
                  <to>
                    <xdr:col>6</xdr:col>
                    <xdr:colOff>1371600</xdr:colOff>
                    <xdr:row>15</xdr:row>
                    <xdr:rowOff>0</xdr:rowOff>
                  </to>
                </anchor>
              </controlPr>
            </control>
          </mc:Choice>
        </mc:AlternateContent>
        <mc:AlternateContent xmlns:mc="http://schemas.openxmlformats.org/markup-compatibility/2006">
          <mc:Choice Requires="x14">
            <control shapeId="33837" r:id="rId11" name="Check Box 45">
              <controlPr defaultSize="0" autoFill="0" autoLine="0" autoPict="0">
                <anchor>
                  <from>
                    <xdr:col>6</xdr:col>
                    <xdr:colOff>1600200</xdr:colOff>
                    <xdr:row>13</xdr:row>
                    <xdr:rowOff>219075</xdr:rowOff>
                  </from>
                  <to>
                    <xdr:col>6</xdr:col>
                    <xdr:colOff>2524125</xdr:colOff>
                    <xdr:row>15</xdr:row>
                    <xdr:rowOff>9525</xdr:rowOff>
                  </to>
                </anchor>
              </controlPr>
            </control>
          </mc:Choice>
        </mc:AlternateContent>
        <mc:AlternateContent xmlns:mc="http://schemas.openxmlformats.org/markup-compatibility/2006">
          <mc:Choice Requires="x14">
            <control shapeId="33841" r:id="rId12" name="Check Box 49">
              <controlPr defaultSize="0" autoFill="0" autoLine="0" autoPict="0">
                <anchor>
                  <from>
                    <xdr:col>5</xdr:col>
                    <xdr:colOff>2266950</xdr:colOff>
                    <xdr:row>13</xdr:row>
                    <xdr:rowOff>209550</xdr:rowOff>
                  </from>
                  <to>
                    <xdr:col>6</xdr:col>
                    <xdr:colOff>95250</xdr:colOff>
                    <xdr:row>15</xdr:row>
                    <xdr:rowOff>19050</xdr:rowOff>
                  </to>
                </anchor>
              </controlPr>
            </control>
          </mc:Choice>
        </mc:AlternateContent>
        <mc:AlternateContent xmlns:mc="http://schemas.openxmlformats.org/markup-compatibility/2006">
          <mc:Choice Requires="x14">
            <control shapeId="33901" r:id="rId13" name="Check Box 109">
              <controlPr defaultSize="0" autoFill="0" autoLine="0" autoPict="0">
                <anchor>
                  <from>
                    <xdr:col>5</xdr:col>
                    <xdr:colOff>2600325</xdr:colOff>
                    <xdr:row>13</xdr:row>
                    <xdr:rowOff>0</xdr:rowOff>
                  </from>
                  <to>
                    <xdr:col>6</xdr:col>
                    <xdr:colOff>0</xdr:colOff>
                    <xdr:row>14</xdr:row>
                    <xdr:rowOff>0</xdr:rowOff>
                  </to>
                </anchor>
              </controlPr>
            </control>
          </mc:Choice>
        </mc:AlternateContent>
        <mc:AlternateContent xmlns:mc="http://schemas.openxmlformats.org/markup-compatibility/2006">
          <mc:Choice Requires="x14">
            <control shapeId="33932" r:id="rId14" name="Check Box 140">
              <controlPr defaultSize="0" autoFill="0" autoLine="0" autoPict="0">
                <anchor>
                  <from>
                    <xdr:col>6</xdr:col>
                    <xdr:colOff>257175</xdr:colOff>
                    <xdr:row>23</xdr:row>
                    <xdr:rowOff>57150</xdr:rowOff>
                  </from>
                  <to>
                    <xdr:col>6</xdr:col>
                    <xdr:colOff>885825</xdr:colOff>
                    <xdr:row>23</xdr:row>
                    <xdr:rowOff>257175</xdr:rowOff>
                  </to>
                </anchor>
              </controlPr>
            </control>
          </mc:Choice>
        </mc:AlternateContent>
        <mc:AlternateContent xmlns:mc="http://schemas.openxmlformats.org/markup-compatibility/2006">
          <mc:Choice Requires="x14">
            <control shapeId="33933" r:id="rId15" name="Check Box 141">
              <controlPr defaultSize="0" autoFill="0" autoLine="0" autoPict="0">
                <anchor>
                  <from>
                    <xdr:col>6</xdr:col>
                    <xdr:colOff>1419225</xdr:colOff>
                    <xdr:row>23</xdr:row>
                    <xdr:rowOff>47625</xdr:rowOff>
                  </from>
                  <to>
                    <xdr:col>6</xdr:col>
                    <xdr:colOff>2047875</xdr:colOff>
                    <xdr:row>23</xdr:row>
                    <xdr:rowOff>257175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1000000}">
          <x14:formula1>
            <xm:f>'Reference Data'!$A$4:$A$62</xm:f>
          </x14:formula1>
          <xm:sqref>C62 C23</xm:sqref>
        </x14:dataValidation>
        <x14:dataValidation type="list" allowBlank="1" showInputMessage="1" showErrorMessage="1" xr:uid="{00000000-0002-0000-0000-000002000000}">
          <x14:formula1>
            <xm:f>'Reference Data'!A66:A78</xm:f>
          </x14:formula1>
          <xm:sqref>G17</xm:sqref>
        </x14:dataValidation>
        <x14:dataValidation type="list" allowBlank="1" showErrorMessage="1" xr:uid="{00000000-0002-0000-0000-000003000000}">
          <x14:formula1>
            <xm:f>'Reference Data'!D66:D74</xm:f>
          </x14:formula1>
          <xm:sqref>G5</xm:sqref>
        </x14:dataValidation>
        <x14:dataValidation type="list" allowBlank="1" showErrorMessage="1" xr:uid="{00000000-0002-0000-0000-000004000000}">
          <x14:formula1>
            <xm:f>'Reference Data'!D66:D75</xm:f>
          </x14:formula1>
          <xm:sqref>G6:G7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F14"/>
  <sheetViews>
    <sheetView tabSelected="1" workbookViewId="0">
      <selection activeCell="E13" sqref="E13"/>
    </sheetView>
  </sheetViews>
  <sheetFormatPr defaultRowHeight="12.75"/>
  <cols>
    <col min="1" max="1" width="18.85546875" customWidth="1"/>
    <col min="2" max="2" width="12.7109375" customWidth="1"/>
    <col min="3" max="3" width="20.28515625" bestFit="1" customWidth="1"/>
    <col min="4" max="13" width="15.85546875" customWidth="1"/>
    <col min="14" max="14" width="18.140625" customWidth="1"/>
    <col min="15" max="15" width="7.85546875" customWidth="1"/>
    <col min="16" max="16" width="15.85546875" customWidth="1"/>
    <col min="17" max="17" width="21.42578125" bestFit="1" customWidth="1"/>
    <col min="18" max="18" width="17.140625" customWidth="1"/>
    <col min="19" max="21" width="15.85546875" customWidth="1"/>
    <col min="22" max="22" width="12.7109375" customWidth="1"/>
    <col min="23" max="23" width="51.42578125" bestFit="1" customWidth="1"/>
    <col min="24" max="28" width="10.7109375" customWidth="1"/>
    <col min="29" max="29" width="25.7109375" customWidth="1"/>
    <col min="30" max="30" width="33.7109375" customWidth="1"/>
    <col min="31" max="31" width="20.7109375" customWidth="1"/>
    <col min="32" max="32" width="50.7109375" customWidth="1"/>
  </cols>
  <sheetData>
    <row r="1" spans="1:32" ht="63.75">
      <c r="A1" s="108" t="s">
        <v>330</v>
      </c>
      <c r="B1" s="101" t="s">
        <v>172</v>
      </c>
      <c r="C1" s="101" t="s">
        <v>356</v>
      </c>
      <c r="D1" s="108" t="s">
        <v>357</v>
      </c>
      <c r="E1" s="108" t="s">
        <v>365</v>
      </c>
      <c r="F1" s="108" t="s">
        <v>366</v>
      </c>
      <c r="G1" s="108" t="s">
        <v>331</v>
      </c>
      <c r="H1" s="108" t="s">
        <v>332</v>
      </c>
      <c r="I1" s="101" t="s">
        <v>173</v>
      </c>
      <c r="J1" s="108" t="s">
        <v>367</v>
      </c>
      <c r="K1" s="101" t="s">
        <v>368</v>
      </c>
      <c r="L1" s="108" t="s">
        <v>369</v>
      </c>
      <c r="M1" s="108" t="s">
        <v>370</v>
      </c>
      <c r="N1" s="101" t="s">
        <v>174</v>
      </c>
      <c r="O1" s="101" t="s">
        <v>27</v>
      </c>
      <c r="P1" s="101" t="s">
        <v>28</v>
      </c>
      <c r="Q1" s="331" t="s">
        <v>175</v>
      </c>
      <c r="R1" s="331" t="s">
        <v>176</v>
      </c>
      <c r="S1" s="102" t="s">
        <v>177</v>
      </c>
      <c r="T1" s="107" t="s">
        <v>371</v>
      </c>
      <c r="U1" s="107" t="s">
        <v>372</v>
      </c>
      <c r="V1" s="107" t="s">
        <v>180</v>
      </c>
      <c r="W1" s="107" t="s">
        <v>359</v>
      </c>
      <c r="X1" s="107" t="s">
        <v>358</v>
      </c>
      <c r="Y1" s="108" t="s">
        <v>333</v>
      </c>
      <c r="Z1" s="108" t="s">
        <v>334</v>
      </c>
      <c r="AA1" s="108" t="s">
        <v>335</v>
      </c>
      <c r="AB1" s="108" t="s">
        <v>336</v>
      </c>
      <c r="AC1" s="108" t="s">
        <v>337</v>
      </c>
      <c r="AD1" s="108" t="s">
        <v>338</v>
      </c>
      <c r="AE1" s="108" t="s">
        <v>339</v>
      </c>
      <c r="AF1" s="108" t="s">
        <v>340</v>
      </c>
    </row>
    <row r="2" spans="1:32" s="191" customFormat="1" ht="12.95" customHeight="1">
      <c r="A2" s="194" t="s">
        <v>341</v>
      </c>
      <c r="B2" s="194" t="s">
        <v>387</v>
      </c>
      <c r="C2" s="194" t="s">
        <v>362</v>
      </c>
      <c r="D2" s="194"/>
      <c r="E2" s="516">
        <v>1650000</v>
      </c>
      <c r="F2" s="516">
        <v>150000</v>
      </c>
      <c r="G2" s="516">
        <v>125</v>
      </c>
      <c r="H2" s="290"/>
      <c r="I2" s="330" t="s">
        <v>389</v>
      </c>
      <c r="J2" s="330" t="s">
        <v>394</v>
      </c>
      <c r="K2" s="194" t="s">
        <v>398</v>
      </c>
      <c r="L2" s="194" t="s">
        <v>428</v>
      </c>
      <c r="M2" s="194" t="s">
        <v>429</v>
      </c>
      <c r="N2" s="330" t="s">
        <v>379</v>
      </c>
      <c r="O2" s="330" t="s">
        <v>409</v>
      </c>
      <c r="P2" s="194" t="s">
        <v>427</v>
      </c>
      <c r="Q2" s="330" t="s">
        <v>404</v>
      </c>
      <c r="R2" s="330" t="s">
        <v>399</v>
      </c>
      <c r="S2" s="330" t="s">
        <v>389</v>
      </c>
      <c r="T2" s="330" t="s">
        <v>394</v>
      </c>
      <c r="U2" s="332">
        <v>41677</v>
      </c>
      <c r="V2" s="292">
        <v>0</v>
      </c>
      <c r="W2" s="193"/>
      <c r="X2" s="193" t="s">
        <v>385</v>
      </c>
      <c r="Y2" s="193" t="s">
        <v>385</v>
      </c>
      <c r="Z2" s="193" t="s">
        <v>386</v>
      </c>
      <c r="AA2" s="193" t="s">
        <v>385</v>
      </c>
      <c r="AB2" s="193" t="s">
        <v>385</v>
      </c>
      <c r="AC2" s="330" t="s">
        <v>419</v>
      </c>
      <c r="AD2" s="330" t="s">
        <v>410</v>
      </c>
      <c r="AE2" s="330" t="s">
        <v>415</v>
      </c>
      <c r="AF2" s="192"/>
    </row>
    <row r="3" spans="1:32" s="191" customFormat="1" ht="12.95" customHeight="1">
      <c r="A3" s="194" t="s">
        <v>341</v>
      </c>
      <c r="B3" s="194" t="s">
        <v>387</v>
      </c>
      <c r="C3" s="194" t="s">
        <v>229</v>
      </c>
      <c r="D3" s="194"/>
      <c r="E3" s="516">
        <v>550000</v>
      </c>
      <c r="F3" s="516">
        <v>150000</v>
      </c>
      <c r="G3" s="516">
        <v>255</v>
      </c>
      <c r="H3" s="290"/>
      <c r="I3" s="330" t="s">
        <v>390</v>
      </c>
      <c r="J3" s="330" t="s">
        <v>395</v>
      </c>
      <c r="K3" s="194" t="s">
        <v>398</v>
      </c>
      <c r="L3" s="194" t="s">
        <v>428</v>
      </c>
      <c r="M3" s="194" t="s">
        <v>429</v>
      </c>
      <c r="N3" s="330" t="s">
        <v>379</v>
      </c>
      <c r="O3" s="330" t="s">
        <v>409</v>
      </c>
      <c r="P3" s="194" t="s">
        <v>426</v>
      </c>
      <c r="Q3" s="330" t="s">
        <v>405</v>
      </c>
      <c r="R3" s="330" t="s">
        <v>400</v>
      </c>
      <c r="S3" s="330" t="s">
        <v>390</v>
      </c>
      <c r="T3" s="330" t="s">
        <v>395</v>
      </c>
      <c r="U3" s="332">
        <v>41677</v>
      </c>
      <c r="V3" s="293">
        <v>0</v>
      </c>
      <c r="W3" s="194"/>
      <c r="X3" s="193" t="s">
        <v>385</v>
      </c>
      <c r="Y3" s="193" t="s">
        <v>385</v>
      </c>
      <c r="Z3" s="193" t="s">
        <v>386</v>
      </c>
      <c r="AA3" s="193" t="s">
        <v>385</v>
      </c>
      <c r="AB3" s="193" t="s">
        <v>386</v>
      </c>
      <c r="AC3" s="330" t="s">
        <v>420</v>
      </c>
      <c r="AD3" s="330" t="s">
        <v>411</v>
      </c>
      <c r="AE3" s="330" t="s">
        <v>416</v>
      </c>
      <c r="AF3" s="192"/>
    </row>
    <row r="4" spans="1:32" s="191" customFormat="1" ht="12.95" customHeight="1">
      <c r="A4" s="194" t="s">
        <v>341</v>
      </c>
      <c r="B4" s="194" t="s">
        <v>387</v>
      </c>
      <c r="C4" s="194" t="s">
        <v>263</v>
      </c>
      <c r="D4" s="194"/>
      <c r="E4" s="516">
        <v>2450000</v>
      </c>
      <c r="F4" s="516">
        <v>150000</v>
      </c>
      <c r="G4" s="516">
        <v>125</v>
      </c>
      <c r="H4" s="516">
        <v>1500</v>
      </c>
      <c r="I4" s="330" t="s">
        <v>391</v>
      </c>
      <c r="J4" s="330" t="s">
        <v>396</v>
      </c>
      <c r="K4" s="194" t="s">
        <v>398</v>
      </c>
      <c r="L4" s="194" t="s">
        <v>428</v>
      </c>
      <c r="M4" s="194" t="s">
        <v>429</v>
      </c>
      <c r="N4" s="330" t="s">
        <v>379</v>
      </c>
      <c r="O4" s="330" t="s">
        <v>409</v>
      </c>
      <c r="P4" s="194" t="s">
        <v>425</v>
      </c>
      <c r="Q4" s="330" t="s">
        <v>406</v>
      </c>
      <c r="R4" s="330" t="s">
        <v>401</v>
      </c>
      <c r="S4" s="330" t="s">
        <v>391</v>
      </c>
      <c r="T4" s="330" t="s">
        <v>396</v>
      </c>
      <c r="U4" s="332">
        <v>42367</v>
      </c>
      <c r="V4" s="292">
        <v>0</v>
      </c>
      <c r="W4" s="193"/>
      <c r="X4" s="193" t="s">
        <v>385</v>
      </c>
      <c r="Y4" s="193" t="s">
        <v>386</v>
      </c>
      <c r="Z4" s="193" t="s">
        <v>386</v>
      </c>
      <c r="AA4" s="193" t="s">
        <v>385</v>
      </c>
      <c r="AB4" s="193" t="s">
        <v>385</v>
      </c>
      <c r="AC4" s="330" t="s">
        <v>421</v>
      </c>
      <c r="AD4" s="330" t="s">
        <v>412</v>
      </c>
      <c r="AE4" s="330" t="s">
        <v>417</v>
      </c>
      <c r="AF4" s="192"/>
    </row>
    <row r="5" spans="1:32" s="191" customFormat="1" ht="12.95" customHeight="1">
      <c r="A5" s="194" t="s">
        <v>341</v>
      </c>
      <c r="B5" s="194" t="s">
        <v>387</v>
      </c>
      <c r="C5" s="194" t="s">
        <v>229</v>
      </c>
      <c r="D5" s="194"/>
      <c r="E5" s="516">
        <v>550000</v>
      </c>
      <c r="F5" s="516">
        <v>150000</v>
      </c>
      <c r="G5" s="516">
        <v>255</v>
      </c>
      <c r="H5" s="290"/>
      <c r="I5" s="330" t="s">
        <v>392</v>
      </c>
      <c r="J5" s="330" t="s">
        <v>397</v>
      </c>
      <c r="K5" s="194" t="s">
        <v>398</v>
      </c>
      <c r="L5" s="194" t="s">
        <v>428</v>
      </c>
      <c r="M5" s="194" t="s">
        <v>429</v>
      </c>
      <c r="N5" s="330" t="s">
        <v>408</v>
      </c>
      <c r="O5" s="330">
        <v>1</v>
      </c>
      <c r="P5" s="194" t="s">
        <v>426</v>
      </c>
      <c r="Q5" s="330" t="s">
        <v>407</v>
      </c>
      <c r="R5" s="330" t="s">
        <v>402</v>
      </c>
      <c r="S5" s="330" t="s">
        <v>392</v>
      </c>
      <c r="T5" s="330" t="s">
        <v>397</v>
      </c>
      <c r="U5" s="332">
        <v>41535</v>
      </c>
      <c r="V5" s="292">
        <v>0</v>
      </c>
      <c r="W5" s="194" t="s">
        <v>388</v>
      </c>
      <c r="X5" s="193" t="s">
        <v>385</v>
      </c>
      <c r="Y5" s="193" t="s">
        <v>385</v>
      </c>
      <c r="Z5" s="193" t="s">
        <v>385</v>
      </c>
      <c r="AA5" s="193" t="s">
        <v>385</v>
      </c>
      <c r="AB5" s="193" t="s">
        <v>385</v>
      </c>
      <c r="AC5" s="330" t="s">
        <v>422</v>
      </c>
      <c r="AD5" s="330" t="s">
        <v>413</v>
      </c>
      <c r="AE5" s="330" t="s">
        <v>416</v>
      </c>
      <c r="AF5" s="192"/>
    </row>
    <row r="6" spans="1:32" s="191" customFormat="1" ht="12.95" customHeight="1">
      <c r="A6" s="194" t="s">
        <v>341</v>
      </c>
      <c r="B6" s="194" t="s">
        <v>387</v>
      </c>
      <c r="C6" s="194" t="s">
        <v>362</v>
      </c>
      <c r="D6" s="194"/>
      <c r="E6" s="516">
        <v>1650000</v>
      </c>
      <c r="F6" s="516">
        <v>150000</v>
      </c>
      <c r="G6" s="516">
        <v>125</v>
      </c>
      <c r="H6" s="290"/>
      <c r="I6" s="330" t="s">
        <v>393</v>
      </c>
      <c r="J6" s="330" t="s">
        <v>396</v>
      </c>
      <c r="K6" s="194" t="s">
        <v>398</v>
      </c>
      <c r="L6" s="194" t="s">
        <v>428</v>
      </c>
      <c r="M6" s="194" t="s">
        <v>429</v>
      </c>
      <c r="N6" s="330" t="s">
        <v>379</v>
      </c>
      <c r="O6" s="330" t="s">
        <v>409</v>
      </c>
      <c r="P6" s="194" t="s">
        <v>424</v>
      </c>
      <c r="Q6" s="330" t="s">
        <v>404</v>
      </c>
      <c r="R6" s="330" t="s">
        <v>403</v>
      </c>
      <c r="S6" s="330" t="s">
        <v>393</v>
      </c>
      <c r="T6" s="330" t="s">
        <v>396</v>
      </c>
      <c r="U6" s="332">
        <v>41677</v>
      </c>
      <c r="V6" s="292">
        <v>0</v>
      </c>
      <c r="W6" s="193"/>
      <c r="X6" s="193" t="s">
        <v>385</v>
      </c>
      <c r="Y6" s="193" t="s">
        <v>385</v>
      </c>
      <c r="Z6" s="193" t="s">
        <v>386</v>
      </c>
      <c r="AA6" s="193" t="s">
        <v>385</v>
      </c>
      <c r="AB6" s="193" t="s">
        <v>385</v>
      </c>
      <c r="AC6" s="330" t="s">
        <v>423</v>
      </c>
      <c r="AD6" s="330" t="s">
        <v>414</v>
      </c>
      <c r="AE6" s="330" t="s">
        <v>418</v>
      </c>
      <c r="AF6" s="192"/>
    </row>
    <row r="7" spans="1:32" s="191" customFormat="1" ht="12.95" customHeight="1">
      <c r="A7" s="194" t="s">
        <v>329</v>
      </c>
      <c r="B7" s="194"/>
      <c r="C7" s="194" t="s">
        <v>329</v>
      </c>
      <c r="D7" s="194"/>
      <c r="E7" s="287"/>
      <c r="F7" s="287"/>
      <c r="G7" s="290"/>
      <c r="H7" s="290"/>
      <c r="I7" s="194"/>
      <c r="J7" s="194"/>
      <c r="K7" s="194"/>
      <c r="L7" s="194"/>
      <c r="M7" s="194"/>
      <c r="N7" s="194"/>
      <c r="O7" s="194"/>
      <c r="P7" s="194"/>
      <c r="Q7" s="194"/>
      <c r="R7" s="194"/>
      <c r="S7" s="194"/>
      <c r="T7" s="194"/>
      <c r="U7" s="194"/>
      <c r="V7" s="292"/>
      <c r="W7" s="193"/>
      <c r="X7" s="192"/>
      <c r="Y7" s="192"/>
      <c r="Z7" s="192"/>
      <c r="AA7" s="192"/>
      <c r="AB7" s="192"/>
      <c r="AC7" s="192"/>
      <c r="AD7" s="192"/>
      <c r="AE7" s="192"/>
      <c r="AF7" s="192"/>
    </row>
    <row r="8" spans="1:32" s="191" customFormat="1" ht="12.95" customHeight="1">
      <c r="A8" s="194" t="s">
        <v>329</v>
      </c>
      <c r="B8" s="194"/>
      <c r="C8" s="194" t="s">
        <v>329</v>
      </c>
      <c r="D8" s="194"/>
      <c r="E8" s="287"/>
      <c r="F8" s="287"/>
      <c r="G8" s="290"/>
      <c r="H8" s="290"/>
      <c r="I8" s="194"/>
      <c r="J8" s="194"/>
      <c r="K8" s="194"/>
      <c r="L8" s="194"/>
      <c r="M8" s="194"/>
      <c r="N8" s="194"/>
      <c r="O8" s="194"/>
      <c r="P8" s="194"/>
      <c r="Q8" s="194"/>
      <c r="R8" s="193"/>
      <c r="S8" s="193"/>
      <c r="T8" s="193"/>
      <c r="U8" s="193"/>
      <c r="V8" s="293"/>
      <c r="W8" s="193"/>
      <c r="X8" s="192"/>
      <c r="Y8" s="192"/>
      <c r="Z8" s="192"/>
      <c r="AA8" s="192"/>
      <c r="AB8" s="192"/>
      <c r="AC8" s="192"/>
      <c r="AD8" s="192"/>
      <c r="AE8" s="192"/>
      <c r="AF8" s="192"/>
    </row>
    <row r="9" spans="1:32" s="191" customFormat="1" ht="12.95" customHeight="1">
      <c r="A9" s="194" t="s">
        <v>329</v>
      </c>
      <c r="B9" s="194"/>
      <c r="C9" s="194" t="s">
        <v>329</v>
      </c>
      <c r="D9" s="194"/>
      <c r="E9" s="287"/>
      <c r="F9" s="287"/>
      <c r="G9" s="290"/>
      <c r="H9" s="290"/>
      <c r="I9" s="194"/>
      <c r="J9" s="194"/>
      <c r="K9" s="194"/>
      <c r="L9" s="194"/>
      <c r="M9" s="194"/>
      <c r="N9" s="194"/>
      <c r="O9" s="194"/>
      <c r="P9" s="194"/>
      <c r="Q9" s="194"/>
      <c r="R9" s="194"/>
      <c r="S9" s="194"/>
      <c r="T9" s="194"/>
      <c r="U9" s="194"/>
      <c r="V9" s="292"/>
      <c r="W9" s="193"/>
      <c r="X9" s="192"/>
      <c r="Y9" s="192"/>
      <c r="Z9" s="192"/>
      <c r="AA9" s="192"/>
      <c r="AB9" s="192"/>
      <c r="AC9" s="192"/>
      <c r="AD9" s="192"/>
      <c r="AE9" s="192"/>
      <c r="AF9" s="192"/>
    </row>
    <row r="10" spans="1:32" s="191" customFormat="1" ht="12.95" customHeight="1">
      <c r="A10" s="194" t="s">
        <v>329</v>
      </c>
      <c r="B10" s="193"/>
      <c r="C10" s="194" t="s">
        <v>329</v>
      </c>
      <c r="D10" s="193"/>
      <c r="E10" s="288"/>
      <c r="F10" s="288"/>
      <c r="G10" s="291"/>
      <c r="H10" s="291"/>
      <c r="I10" s="193"/>
      <c r="J10" s="193"/>
      <c r="K10" s="193"/>
      <c r="L10" s="193"/>
      <c r="M10" s="193"/>
      <c r="N10" s="193"/>
      <c r="O10" s="193"/>
      <c r="P10" s="193"/>
      <c r="Q10" s="193"/>
      <c r="R10" s="193"/>
      <c r="S10" s="193"/>
      <c r="T10" s="193"/>
      <c r="U10" s="193"/>
      <c r="V10" s="293"/>
      <c r="W10" s="194"/>
      <c r="X10" s="192"/>
      <c r="Y10" s="192"/>
      <c r="Z10" s="192"/>
      <c r="AA10" s="192"/>
      <c r="AB10" s="192"/>
      <c r="AC10" s="192"/>
      <c r="AD10" s="192"/>
      <c r="AE10" s="192"/>
      <c r="AF10" s="192"/>
    </row>
    <row r="11" spans="1:32" s="191" customFormat="1" ht="12.95" customHeight="1">
      <c r="A11" s="194" t="s">
        <v>329</v>
      </c>
      <c r="B11" s="193"/>
      <c r="C11" s="194" t="s">
        <v>329</v>
      </c>
      <c r="D11" s="193"/>
      <c r="E11" s="288"/>
      <c r="F11" s="288"/>
      <c r="G11" s="291"/>
      <c r="H11" s="291"/>
      <c r="I11" s="193"/>
      <c r="J11" s="193"/>
      <c r="K11" s="193"/>
      <c r="L11" s="193"/>
      <c r="M11" s="193"/>
      <c r="N11" s="193"/>
      <c r="O11" s="193"/>
      <c r="P11" s="193"/>
      <c r="Q11" s="193"/>
      <c r="R11" s="193"/>
      <c r="S11" s="193"/>
      <c r="T11" s="193"/>
      <c r="U11" s="193"/>
      <c r="V11" s="293"/>
      <c r="W11" s="193"/>
      <c r="X11" s="192"/>
      <c r="Y11" s="192"/>
      <c r="Z11" s="192"/>
      <c r="AA11" s="192"/>
      <c r="AB11" s="192"/>
      <c r="AC11" s="192"/>
      <c r="AD11" s="192"/>
      <c r="AE11" s="192"/>
      <c r="AF11" s="192"/>
    </row>
    <row r="12" spans="1:32" s="191" customFormat="1" ht="12.95" customHeight="1">
      <c r="A12" s="194" t="s">
        <v>329</v>
      </c>
      <c r="B12" s="194"/>
      <c r="C12" s="194" t="s">
        <v>329</v>
      </c>
      <c r="D12" s="193"/>
      <c r="E12" s="288"/>
      <c r="F12" s="288"/>
      <c r="G12" s="291"/>
      <c r="H12" s="291"/>
      <c r="I12" s="193"/>
      <c r="J12" s="193"/>
      <c r="K12" s="193"/>
      <c r="L12" s="193"/>
      <c r="M12" s="193"/>
      <c r="N12" s="194"/>
      <c r="O12" s="194"/>
      <c r="P12" s="193"/>
      <c r="Q12" s="193"/>
      <c r="R12" s="193"/>
      <c r="S12" s="193"/>
      <c r="T12" s="193"/>
      <c r="U12" s="193"/>
      <c r="V12" s="293"/>
      <c r="W12" s="194"/>
      <c r="X12" s="192"/>
      <c r="Y12" s="192"/>
      <c r="Z12" s="192"/>
      <c r="AA12" s="192"/>
      <c r="AB12" s="192"/>
      <c r="AC12" s="192"/>
      <c r="AD12" s="192"/>
      <c r="AE12" s="192"/>
      <c r="AF12" s="192"/>
    </row>
    <row r="13" spans="1:32" s="191" customFormat="1" ht="12.95" customHeight="1">
      <c r="A13" s="194" t="s">
        <v>329</v>
      </c>
      <c r="B13" s="194"/>
      <c r="C13" s="194" t="s">
        <v>329</v>
      </c>
      <c r="D13" s="194"/>
      <c r="E13" s="287"/>
      <c r="F13" s="287"/>
      <c r="G13" s="290"/>
      <c r="H13" s="290"/>
      <c r="I13" s="194"/>
      <c r="J13" s="193"/>
      <c r="K13" s="193"/>
      <c r="L13" s="193"/>
      <c r="M13" s="193"/>
      <c r="N13" s="194"/>
      <c r="O13" s="194"/>
      <c r="P13" s="193"/>
      <c r="Q13" s="193"/>
      <c r="R13" s="193"/>
      <c r="S13" s="193"/>
      <c r="T13" s="193"/>
      <c r="U13" s="193"/>
      <c r="V13" s="293"/>
      <c r="W13" s="194"/>
      <c r="X13" s="192"/>
      <c r="Y13" s="192"/>
      <c r="Z13" s="192"/>
      <c r="AA13" s="192"/>
      <c r="AB13" s="192"/>
      <c r="AC13" s="192"/>
      <c r="AD13" s="192"/>
      <c r="AE13" s="192"/>
      <c r="AF13" s="192"/>
    </row>
    <row r="14" spans="1:32">
      <c r="D14" s="109" t="s">
        <v>179</v>
      </c>
      <c r="E14" s="289">
        <f>SUM(E2:E13)</f>
        <v>6850000</v>
      </c>
      <c r="F14" s="190"/>
      <c r="G14" s="190"/>
      <c r="H14" s="190"/>
      <c r="S14" s="109" t="s">
        <v>179</v>
      </c>
      <c r="T14" s="109"/>
      <c r="U14" s="109"/>
      <c r="V14" s="294">
        <f>SUM(V2:V13)</f>
        <v>0</v>
      </c>
    </row>
  </sheetData>
  <sheetProtection algorithmName="SHA-512" hashValue="5gW/BLo5v63uXw0WlXVeCSjZoN+wXPt+gvfa/0S2jhjqqEttkmBAnj15rs7lhAFxj33+cn9Ewe80ReW0Y/el3Q==" saltValue="tsjc2cOzGhfBIjKOpJLUbQ==" spinCount="100000" sheet="1" objects="1" scenarios="1" formatCells="0" formatColumns="0" formatRows="0" insertRows="0" deleteRows="0" selectLockedCells="1"/>
  <dataValidations count="1">
    <dataValidation type="list" allowBlank="1" showInputMessage="1" showErrorMessage="1" sqref="X2:AB13" xr:uid="{00000000-0002-0000-0100-000000000000}">
      <formula1>"Yes,No"</formula1>
    </dataValidation>
  </dataValidations>
  <pageMargins left="0.7" right="0.7" top="0.75" bottom="0.75" header="0.3" footer="0.3"/>
  <pageSetup orientation="portrait" r:id="rId1"/>
  <headerFooter>
    <oddFooter>&amp;C&amp;1#&amp;"Arial"&amp;10&amp;K000000---Internal Use---</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1000000}">
          <x14:formula1>
            <xm:f>'Reference Data'!$D$77:$D$85</xm:f>
          </x14:formula1>
          <xm:sqref>A2:A13</xm:sqref>
        </x14:dataValidation>
        <x14:dataValidation type="list" allowBlank="1" showInputMessage="1" showErrorMessage="1" xr:uid="{00000000-0002-0000-0100-000002000000}">
          <x14:formula1>
            <xm:f>'Reference Data'!$D$87:$D$99</xm:f>
          </x14:formula1>
          <xm:sqref>C2:C13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3:I110"/>
  <sheetViews>
    <sheetView workbookViewId="0">
      <selection activeCell="C59" sqref="C59"/>
    </sheetView>
  </sheetViews>
  <sheetFormatPr defaultRowHeight="12.75"/>
  <cols>
    <col min="1" max="1" width="3.28515625" customWidth="1"/>
    <col min="2" max="2" width="13.28515625" customWidth="1"/>
    <col min="3" max="3" width="36.42578125" customWidth="1"/>
    <col min="4" max="4" width="48.28515625" customWidth="1"/>
    <col min="5" max="5" width="24.42578125" customWidth="1"/>
    <col min="6" max="6" width="38.85546875" style="134" customWidth="1"/>
    <col min="7" max="7" width="40.42578125" style="134" customWidth="1"/>
  </cols>
  <sheetData>
    <row r="3" spans="2:9" ht="13.5" thickBot="1"/>
    <row r="4" spans="2:9" ht="15.75" thickBot="1">
      <c r="B4" s="110" t="s">
        <v>181</v>
      </c>
      <c r="C4" s="111" t="s">
        <v>182</v>
      </c>
      <c r="D4" s="111" t="s">
        <v>183</v>
      </c>
    </row>
    <row r="5" spans="2:9" ht="15" customHeight="1">
      <c r="B5" s="116" t="s">
        <v>184</v>
      </c>
      <c r="C5" s="260" t="s">
        <v>229</v>
      </c>
      <c r="D5" s="260" t="s">
        <v>90</v>
      </c>
      <c r="F5" s="112"/>
      <c r="I5" s="113"/>
    </row>
    <row r="6" spans="2:9" ht="15" customHeight="1">
      <c r="B6" s="117"/>
      <c r="C6" s="243" t="s">
        <v>195</v>
      </c>
      <c r="D6" s="243" t="s">
        <v>185</v>
      </c>
      <c r="I6" s="115"/>
    </row>
    <row r="7" spans="2:9" ht="15" customHeight="1">
      <c r="B7" s="117"/>
      <c r="C7" s="243" t="s">
        <v>317</v>
      </c>
      <c r="D7" s="243" t="s">
        <v>313</v>
      </c>
      <c r="F7" s="112" t="s">
        <v>186</v>
      </c>
      <c r="G7" s="135" t="s">
        <v>187</v>
      </c>
    </row>
    <row r="8" spans="2:9" ht="15" customHeight="1">
      <c r="B8" s="117"/>
      <c r="C8" s="243" t="s">
        <v>231</v>
      </c>
      <c r="D8" s="243" t="s">
        <v>232</v>
      </c>
      <c r="F8" s="114" t="s">
        <v>230</v>
      </c>
      <c r="G8" s="136" t="s">
        <v>189</v>
      </c>
      <c r="H8" s="115"/>
    </row>
    <row r="9" spans="2:9" ht="15" customHeight="1">
      <c r="B9" s="117"/>
      <c r="C9" s="243" t="s">
        <v>234</v>
      </c>
      <c r="D9" s="243" t="s">
        <v>235</v>
      </c>
      <c r="F9" s="114" t="s">
        <v>233</v>
      </c>
    </row>
    <row r="10" spans="2:9" ht="15" customHeight="1">
      <c r="B10" s="117"/>
      <c r="C10" s="243" t="s">
        <v>236</v>
      </c>
      <c r="D10" s="243" t="s">
        <v>237</v>
      </c>
    </row>
    <row r="11" spans="2:9" ht="15" customHeight="1">
      <c r="B11" s="117"/>
      <c r="C11" s="281" t="s">
        <v>347</v>
      </c>
      <c r="D11" s="258" t="s">
        <v>343</v>
      </c>
      <c r="F11" s="186"/>
    </row>
    <row r="12" spans="2:9" ht="15" customHeight="1" thickBot="1">
      <c r="B12" s="117"/>
      <c r="C12" s="281"/>
      <c r="D12" s="282"/>
      <c r="F12" s="186"/>
    </row>
    <row r="13" spans="2:9" ht="15" customHeight="1" thickBot="1">
      <c r="B13" s="118"/>
      <c r="C13" s="261" t="s">
        <v>190</v>
      </c>
      <c r="D13" s="261" t="s">
        <v>190</v>
      </c>
    </row>
    <row r="14" spans="2:9" ht="15" customHeight="1">
      <c r="B14" s="119" t="s">
        <v>184</v>
      </c>
      <c r="C14" s="252" t="s">
        <v>318</v>
      </c>
      <c r="D14" s="252" t="s">
        <v>244</v>
      </c>
      <c r="F14"/>
      <c r="G14"/>
    </row>
    <row r="15" spans="2:9" ht="15" customHeight="1">
      <c r="B15" s="181"/>
      <c r="C15" s="187" t="s">
        <v>319</v>
      </c>
      <c r="D15" s="244" t="s">
        <v>185</v>
      </c>
    </row>
    <row r="16" spans="2:9" ht="15" customHeight="1">
      <c r="B16" s="181"/>
      <c r="C16" s="188" t="s">
        <v>320</v>
      </c>
      <c r="D16" s="244" t="s">
        <v>314</v>
      </c>
      <c r="F16" s="112" t="s">
        <v>186</v>
      </c>
      <c r="G16" s="135" t="s">
        <v>187</v>
      </c>
    </row>
    <row r="17" spans="2:7" ht="15" customHeight="1">
      <c r="B17" s="181"/>
      <c r="C17" s="188" t="s">
        <v>322</v>
      </c>
      <c r="D17" s="244" t="s">
        <v>325</v>
      </c>
      <c r="F17" s="182" t="s">
        <v>326</v>
      </c>
      <c r="G17" s="136" t="s">
        <v>197</v>
      </c>
    </row>
    <row r="18" spans="2:7" ht="15" customHeight="1">
      <c r="B18" s="181"/>
      <c r="C18" s="188" t="s">
        <v>321</v>
      </c>
      <c r="D18" s="244" t="s">
        <v>344</v>
      </c>
      <c r="F18" s="182" t="s">
        <v>327</v>
      </c>
      <c r="G18"/>
    </row>
    <row r="19" spans="2:7" ht="15" customHeight="1" thickBot="1">
      <c r="B19" s="181"/>
      <c r="C19" s="189" t="s">
        <v>323</v>
      </c>
      <c r="D19" s="244" t="s">
        <v>324</v>
      </c>
      <c r="F19"/>
      <c r="G19"/>
    </row>
    <row r="20" spans="2:7" ht="15" customHeight="1" thickBot="1">
      <c r="B20" s="181"/>
      <c r="C20" s="504" t="s">
        <v>328</v>
      </c>
      <c r="D20" s="505"/>
      <c r="F20"/>
      <c r="G20"/>
    </row>
    <row r="21" spans="2:7" ht="15" customHeight="1" thickBot="1">
      <c r="B21" s="117"/>
      <c r="C21" s="262"/>
      <c r="D21" s="263"/>
      <c r="F21"/>
      <c r="G21"/>
    </row>
    <row r="22" spans="2:7" ht="15" customHeight="1" thickBot="1">
      <c r="B22" s="118"/>
      <c r="C22" s="264" t="s">
        <v>190</v>
      </c>
      <c r="D22" s="264" t="s">
        <v>190</v>
      </c>
      <c r="F22"/>
      <c r="G22"/>
    </row>
    <row r="23" spans="2:7" ht="15" customHeight="1">
      <c r="B23" s="119" t="s">
        <v>184</v>
      </c>
      <c r="C23" s="252" t="s">
        <v>191</v>
      </c>
      <c r="D23" s="257" t="s">
        <v>91</v>
      </c>
      <c r="F23" s="112" t="s">
        <v>186</v>
      </c>
      <c r="G23" s="135" t="s">
        <v>187</v>
      </c>
    </row>
    <row r="24" spans="2:7" ht="15" customHeight="1">
      <c r="B24" s="117"/>
      <c r="C24" s="258" t="s">
        <v>315</v>
      </c>
      <c r="D24" s="244" t="s">
        <v>185</v>
      </c>
      <c r="F24" s="114" t="s">
        <v>192</v>
      </c>
      <c r="G24" s="136" t="s">
        <v>189</v>
      </c>
    </row>
    <row r="25" spans="2:7" ht="15" customHeight="1">
      <c r="B25" s="117"/>
      <c r="C25" s="265" t="s">
        <v>316</v>
      </c>
      <c r="D25" s="244" t="s">
        <v>314</v>
      </c>
      <c r="F25" s="114" t="s">
        <v>193</v>
      </c>
      <c r="G25"/>
    </row>
    <row r="26" spans="2:7" ht="15" customHeight="1">
      <c r="B26" s="117"/>
      <c r="C26" s="258" t="s">
        <v>348</v>
      </c>
      <c r="D26" s="258" t="s">
        <v>343</v>
      </c>
      <c r="F26"/>
      <c r="G26"/>
    </row>
    <row r="27" spans="2:7" ht="15" customHeight="1" thickBot="1">
      <c r="B27" s="117"/>
      <c r="C27" s="282"/>
      <c r="D27" s="283"/>
      <c r="F27"/>
      <c r="G27"/>
    </row>
    <row r="28" spans="2:7" ht="15" customHeight="1" thickBot="1">
      <c r="B28" s="118"/>
      <c r="C28" s="264" t="s">
        <v>190</v>
      </c>
      <c r="D28" s="264" t="s">
        <v>190</v>
      </c>
      <c r="F28"/>
      <c r="G28"/>
    </row>
    <row r="29" spans="2:7" ht="15" customHeight="1">
      <c r="B29" s="119" t="s">
        <v>184</v>
      </c>
      <c r="C29" s="252" t="s">
        <v>194</v>
      </c>
      <c r="D29" s="257" t="s">
        <v>92</v>
      </c>
    </row>
    <row r="30" spans="2:7" ht="15" customHeight="1">
      <c r="B30" s="117"/>
      <c r="C30" s="254" t="s">
        <v>195</v>
      </c>
      <c r="D30" s="266" t="s">
        <v>185</v>
      </c>
      <c r="F30" s="112" t="s">
        <v>186</v>
      </c>
      <c r="G30" s="135" t="s">
        <v>187</v>
      </c>
    </row>
    <row r="31" spans="2:7" ht="15" customHeight="1">
      <c r="B31" s="117"/>
      <c r="C31" s="254" t="s">
        <v>317</v>
      </c>
      <c r="D31" s="244" t="s">
        <v>314</v>
      </c>
      <c r="F31" s="114" t="s">
        <v>196</v>
      </c>
      <c r="G31" s="136" t="s">
        <v>197</v>
      </c>
    </row>
    <row r="32" spans="2:7" ht="15" customHeight="1">
      <c r="B32" s="117"/>
      <c r="C32" s="254" t="s">
        <v>199</v>
      </c>
      <c r="D32" s="266" t="s">
        <v>200</v>
      </c>
      <c r="F32" s="114" t="s">
        <v>198</v>
      </c>
      <c r="G32"/>
    </row>
    <row r="33" spans="2:8" ht="15" customHeight="1">
      <c r="B33" s="117"/>
      <c r="C33" s="254" t="s">
        <v>201</v>
      </c>
      <c r="D33" s="266" t="s">
        <v>202</v>
      </c>
      <c r="F33"/>
      <c r="G33"/>
    </row>
    <row r="34" spans="2:8" ht="15" customHeight="1">
      <c r="B34" s="117"/>
      <c r="C34" s="258" t="s">
        <v>349</v>
      </c>
      <c r="D34" s="258" t="s">
        <v>343</v>
      </c>
      <c r="F34"/>
      <c r="G34"/>
    </row>
    <row r="35" spans="2:8" ht="15" customHeight="1" thickBot="1">
      <c r="B35" s="117"/>
      <c r="C35" s="282"/>
      <c r="D35" s="284"/>
      <c r="F35"/>
      <c r="G35"/>
    </row>
    <row r="36" spans="2:8" ht="15" customHeight="1" thickBot="1">
      <c r="B36" s="118"/>
      <c r="C36" s="267" t="s">
        <v>190</v>
      </c>
      <c r="D36" s="268" t="s">
        <v>190</v>
      </c>
      <c r="F36"/>
      <c r="G36"/>
    </row>
    <row r="37" spans="2:8" ht="15" customHeight="1">
      <c r="B37" s="119" t="s">
        <v>184</v>
      </c>
      <c r="C37" s="252" t="s">
        <v>373</v>
      </c>
      <c r="D37" s="257" t="s">
        <v>94</v>
      </c>
      <c r="F37"/>
      <c r="G37"/>
    </row>
    <row r="38" spans="2:8" ht="15" customHeight="1">
      <c r="B38" s="117"/>
      <c r="C38" s="253" t="s">
        <v>185</v>
      </c>
      <c r="D38" s="254" t="s">
        <v>185</v>
      </c>
      <c r="F38" s="112" t="s">
        <v>186</v>
      </c>
      <c r="G38" s="135" t="s">
        <v>187</v>
      </c>
    </row>
    <row r="39" spans="2:8" ht="15" customHeight="1">
      <c r="B39" s="117"/>
      <c r="C39" s="253" t="s">
        <v>314</v>
      </c>
      <c r="D39" s="254" t="s">
        <v>314</v>
      </c>
      <c r="F39" s="114" t="s">
        <v>203</v>
      </c>
      <c r="G39" s="137" t="s">
        <v>204</v>
      </c>
    </row>
    <row r="40" spans="2:8" ht="15" customHeight="1">
      <c r="B40" s="117"/>
      <c r="C40" s="253" t="s">
        <v>342</v>
      </c>
      <c r="D40" s="258" t="s">
        <v>205</v>
      </c>
      <c r="F40" s="114" t="s">
        <v>206</v>
      </c>
      <c r="G40" s="134" t="s">
        <v>207</v>
      </c>
    </row>
    <row r="41" spans="2:8" ht="15" customHeight="1">
      <c r="B41" s="117"/>
      <c r="C41" s="253" t="s">
        <v>354</v>
      </c>
      <c r="D41" s="255" t="s">
        <v>220</v>
      </c>
    </row>
    <row r="42" spans="2:8" ht="15" customHeight="1">
      <c r="B42" s="117"/>
      <c r="C42" s="253" t="s">
        <v>355</v>
      </c>
      <c r="D42" s="255" t="s">
        <v>210</v>
      </c>
      <c r="F42"/>
      <c r="G42"/>
    </row>
    <row r="43" spans="2:8" ht="15" customHeight="1">
      <c r="B43" s="117"/>
      <c r="C43" s="253" t="s">
        <v>211</v>
      </c>
      <c r="D43" s="255" t="s">
        <v>212</v>
      </c>
      <c r="F43"/>
      <c r="G43"/>
    </row>
    <row r="44" spans="2:8" ht="15" customHeight="1">
      <c r="B44" s="117"/>
      <c r="C44" s="253" t="s">
        <v>213</v>
      </c>
      <c r="D44" s="259" t="s">
        <v>345</v>
      </c>
      <c r="F44"/>
      <c r="G44"/>
    </row>
    <row r="45" spans="2:8" ht="15" customHeight="1" thickBot="1">
      <c r="B45" s="181"/>
      <c r="C45" s="269"/>
      <c r="D45" s="269"/>
      <c r="F45"/>
      <c r="G45"/>
    </row>
    <row r="46" spans="2:8" ht="15" customHeight="1" thickBot="1">
      <c r="B46" s="118"/>
      <c r="C46" s="267" t="s">
        <v>190</v>
      </c>
      <c r="D46" s="268" t="s">
        <v>190</v>
      </c>
      <c r="F46"/>
      <c r="G46"/>
    </row>
    <row r="47" spans="2:8" ht="15" customHeight="1">
      <c r="B47" s="119" t="s">
        <v>184</v>
      </c>
      <c r="C47" s="252" t="s">
        <v>374</v>
      </c>
      <c r="D47" s="257" t="s">
        <v>95</v>
      </c>
      <c r="H47" s="113"/>
    </row>
    <row r="48" spans="2:8" ht="15" customHeight="1">
      <c r="B48" s="117"/>
      <c r="C48" s="253" t="s">
        <v>185</v>
      </c>
      <c r="D48" s="254" t="s">
        <v>185</v>
      </c>
      <c r="F48" s="112" t="s">
        <v>186</v>
      </c>
      <c r="G48" s="135" t="s">
        <v>187</v>
      </c>
    </row>
    <row r="49" spans="2:7" ht="15" customHeight="1">
      <c r="B49" s="117"/>
      <c r="C49" s="253" t="s">
        <v>314</v>
      </c>
      <c r="D49" s="254" t="s">
        <v>314</v>
      </c>
      <c r="F49" s="114" t="s">
        <v>203</v>
      </c>
      <c r="G49" s="136" t="s">
        <v>204</v>
      </c>
    </row>
    <row r="50" spans="2:7" ht="15" customHeight="1">
      <c r="B50" s="117"/>
      <c r="C50" s="253" t="s">
        <v>342</v>
      </c>
      <c r="D50" s="255" t="s">
        <v>205</v>
      </c>
      <c r="F50" s="114" t="s">
        <v>206</v>
      </c>
      <c r="G50" s="134" t="s">
        <v>207</v>
      </c>
    </row>
    <row r="51" spans="2:7" ht="15" customHeight="1">
      <c r="B51" s="117"/>
      <c r="C51" s="253" t="s">
        <v>354</v>
      </c>
      <c r="D51" s="255" t="s">
        <v>220</v>
      </c>
    </row>
    <row r="52" spans="2:7" ht="15" customHeight="1">
      <c r="B52" s="117"/>
      <c r="C52" s="253" t="s">
        <v>355</v>
      </c>
      <c r="D52" s="255" t="s">
        <v>210</v>
      </c>
      <c r="F52"/>
      <c r="G52"/>
    </row>
    <row r="53" spans="2:7" ht="15" customHeight="1">
      <c r="B53" s="117"/>
      <c r="C53" s="253" t="s">
        <v>211</v>
      </c>
      <c r="D53" s="255" t="s">
        <v>212</v>
      </c>
      <c r="F53"/>
      <c r="G53"/>
    </row>
    <row r="54" spans="2:7" ht="15" customHeight="1">
      <c r="B54" s="117"/>
      <c r="C54" s="253" t="s">
        <v>213</v>
      </c>
      <c r="D54" s="256" t="s">
        <v>345</v>
      </c>
      <c r="F54"/>
      <c r="G54"/>
    </row>
    <row r="55" spans="2:7" ht="15" customHeight="1" thickBot="1">
      <c r="B55" s="117"/>
      <c r="C55" s="270"/>
      <c r="D55" s="270"/>
      <c r="F55"/>
      <c r="G55"/>
    </row>
    <row r="56" spans="2:7" ht="15" customHeight="1" thickBot="1">
      <c r="B56" s="118"/>
      <c r="C56" s="267" t="s">
        <v>190</v>
      </c>
      <c r="D56" s="268" t="s">
        <v>190</v>
      </c>
      <c r="F56"/>
      <c r="G56"/>
    </row>
    <row r="57" spans="2:7" ht="15" customHeight="1">
      <c r="B57" s="119" t="s">
        <v>184</v>
      </c>
      <c r="C57" s="252" t="s">
        <v>375</v>
      </c>
      <c r="D57" s="257" t="s">
        <v>96</v>
      </c>
      <c r="F57"/>
    </row>
    <row r="58" spans="2:7" ht="15" customHeight="1">
      <c r="B58" s="117"/>
      <c r="C58" s="253" t="s">
        <v>185</v>
      </c>
      <c r="D58" s="254" t="s">
        <v>185</v>
      </c>
      <c r="F58" s="112" t="s">
        <v>186</v>
      </c>
      <c r="G58" s="135" t="s">
        <v>187</v>
      </c>
    </row>
    <row r="59" spans="2:7" ht="15" customHeight="1">
      <c r="B59" s="117"/>
      <c r="C59" s="253" t="s">
        <v>314</v>
      </c>
      <c r="D59" s="254" t="s">
        <v>314</v>
      </c>
      <c r="F59" s="114" t="s">
        <v>203</v>
      </c>
      <c r="G59" s="136" t="s">
        <v>204</v>
      </c>
    </row>
    <row r="60" spans="2:7" ht="15" customHeight="1">
      <c r="B60" s="117"/>
      <c r="C60" s="253" t="s">
        <v>342</v>
      </c>
      <c r="D60" s="255" t="s">
        <v>205</v>
      </c>
      <c r="F60" s="114" t="s">
        <v>206</v>
      </c>
      <c r="G60" s="134" t="s">
        <v>207</v>
      </c>
    </row>
    <row r="61" spans="2:7" ht="15" customHeight="1">
      <c r="B61" s="117"/>
      <c r="C61" s="253" t="s">
        <v>354</v>
      </c>
      <c r="D61" s="255" t="s">
        <v>220</v>
      </c>
    </row>
    <row r="62" spans="2:7" ht="15" customHeight="1">
      <c r="B62" s="117"/>
      <c r="C62" s="253" t="s">
        <v>355</v>
      </c>
      <c r="D62" s="255" t="s">
        <v>210</v>
      </c>
      <c r="F62"/>
      <c r="G62"/>
    </row>
    <row r="63" spans="2:7" ht="15" customHeight="1">
      <c r="B63" s="117"/>
      <c r="C63" s="253" t="s">
        <v>211</v>
      </c>
      <c r="D63" s="255" t="s">
        <v>212</v>
      </c>
      <c r="F63"/>
      <c r="G63"/>
    </row>
    <row r="64" spans="2:7" ht="15" customHeight="1">
      <c r="B64" s="117"/>
      <c r="C64" s="253" t="s">
        <v>213</v>
      </c>
      <c r="D64" s="256" t="s">
        <v>345</v>
      </c>
      <c r="F64"/>
      <c r="G64"/>
    </row>
    <row r="65" spans="2:7" ht="15" customHeight="1" thickBot="1">
      <c r="B65" s="117"/>
      <c r="C65" s="270"/>
      <c r="D65" s="270"/>
      <c r="F65"/>
      <c r="G65"/>
    </row>
    <row r="66" spans="2:7" ht="15" customHeight="1" thickBot="1">
      <c r="B66" s="118"/>
      <c r="C66" s="267" t="s">
        <v>190</v>
      </c>
      <c r="D66" s="268" t="s">
        <v>190</v>
      </c>
      <c r="F66"/>
      <c r="G66"/>
    </row>
    <row r="67" spans="2:7" ht="15" customHeight="1">
      <c r="B67" s="119" t="s">
        <v>184</v>
      </c>
      <c r="C67" s="260" t="s">
        <v>254</v>
      </c>
      <c r="D67" s="271" t="s">
        <v>97</v>
      </c>
      <c r="F67"/>
      <c r="G67"/>
    </row>
    <row r="68" spans="2:7" ht="15" customHeight="1">
      <c r="B68" s="117"/>
      <c r="C68" s="254" t="s">
        <v>315</v>
      </c>
      <c r="D68" s="272" t="s">
        <v>185</v>
      </c>
      <c r="F68" s="112" t="s">
        <v>186</v>
      </c>
      <c r="G68" s="135" t="s">
        <v>187</v>
      </c>
    </row>
    <row r="69" spans="2:7" ht="15" customHeight="1">
      <c r="B69" s="117"/>
      <c r="C69" s="243" t="s">
        <v>316</v>
      </c>
      <c r="D69" s="266" t="s">
        <v>314</v>
      </c>
      <c r="F69" s="182" t="s">
        <v>214</v>
      </c>
      <c r="G69" s="136" t="s">
        <v>215</v>
      </c>
    </row>
    <row r="70" spans="2:7" ht="15" customHeight="1">
      <c r="B70" s="181"/>
      <c r="C70" s="254" t="s">
        <v>216</v>
      </c>
      <c r="D70" s="244" t="s">
        <v>205</v>
      </c>
      <c r="F70" s="182" t="s">
        <v>218</v>
      </c>
      <c r="G70" s="136"/>
    </row>
    <row r="71" spans="2:7" ht="15" customHeight="1">
      <c r="B71" s="181"/>
      <c r="C71" s="243" t="s">
        <v>219</v>
      </c>
      <c r="D71" s="244" t="s">
        <v>208</v>
      </c>
      <c r="F71" s="114"/>
      <c r="G71" s="136"/>
    </row>
    <row r="72" spans="2:7" ht="15" customHeight="1">
      <c r="B72" s="181"/>
      <c r="C72" s="254" t="s">
        <v>209</v>
      </c>
      <c r="D72" s="244" t="s">
        <v>210</v>
      </c>
      <c r="F72" s="114"/>
      <c r="G72" s="136"/>
    </row>
    <row r="73" spans="2:7" ht="15" customHeight="1">
      <c r="B73" s="181"/>
      <c r="C73" s="254" t="s">
        <v>221</v>
      </c>
      <c r="D73" s="244" t="s">
        <v>212</v>
      </c>
      <c r="F73" s="114"/>
      <c r="G73"/>
    </row>
    <row r="74" spans="2:7" ht="15" customHeight="1" thickBot="1">
      <c r="B74" s="181"/>
      <c r="C74" s="258" t="s">
        <v>223</v>
      </c>
      <c r="D74" s="273" t="s">
        <v>346</v>
      </c>
      <c r="F74"/>
      <c r="G74"/>
    </row>
    <row r="75" spans="2:7" ht="15" customHeight="1" thickBot="1">
      <c r="B75" s="181"/>
      <c r="C75" s="274"/>
      <c r="D75" s="274"/>
      <c r="F75"/>
      <c r="G75"/>
    </row>
    <row r="76" spans="2:7" ht="15" customHeight="1" thickBot="1">
      <c r="B76" s="118"/>
      <c r="C76" s="261" t="s">
        <v>190</v>
      </c>
      <c r="D76" s="261" t="s">
        <v>190</v>
      </c>
      <c r="F76"/>
      <c r="G76"/>
    </row>
    <row r="77" spans="2:7" ht="15" customHeight="1">
      <c r="B77" s="119" t="s">
        <v>184</v>
      </c>
      <c r="C77" s="260" t="s">
        <v>255</v>
      </c>
      <c r="D77" s="271" t="s">
        <v>98</v>
      </c>
      <c r="F77"/>
      <c r="G77"/>
    </row>
    <row r="78" spans="2:7" ht="15" customHeight="1">
      <c r="B78" s="120"/>
      <c r="C78" s="243" t="s">
        <v>315</v>
      </c>
      <c r="D78" s="272" t="s">
        <v>185</v>
      </c>
      <c r="F78" s="112" t="s">
        <v>186</v>
      </c>
      <c r="G78" s="135" t="s">
        <v>187</v>
      </c>
    </row>
    <row r="79" spans="2:7" ht="15" customHeight="1">
      <c r="B79" s="120"/>
      <c r="C79" s="243" t="s">
        <v>316</v>
      </c>
      <c r="D79" s="266" t="s">
        <v>314</v>
      </c>
      <c r="F79" s="182" t="s">
        <v>214</v>
      </c>
      <c r="G79" s="136" t="s">
        <v>215</v>
      </c>
    </row>
    <row r="80" spans="2:7" ht="15" customHeight="1">
      <c r="B80" s="120"/>
      <c r="C80" s="243" t="s">
        <v>216</v>
      </c>
      <c r="D80" s="272" t="s">
        <v>217</v>
      </c>
      <c r="F80" s="182" t="s">
        <v>218</v>
      </c>
      <c r="G80" s="136"/>
    </row>
    <row r="81" spans="2:7" ht="15" customHeight="1">
      <c r="B81" s="120"/>
      <c r="C81" s="243" t="s">
        <v>219</v>
      </c>
      <c r="D81" s="244" t="s">
        <v>208</v>
      </c>
    </row>
    <row r="82" spans="2:7" ht="15" customHeight="1">
      <c r="B82" s="120"/>
      <c r="C82" s="254" t="s">
        <v>209</v>
      </c>
      <c r="D82" s="244" t="s">
        <v>210</v>
      </c>
      <c r="F82" s="114"/>
      <c r="G82" s="136"/>
    </row>
    <row r="83" spans="2:7" ht="15" customHeight="1">
      <c r="B83" s="120"/>
      <c r="C83" s="254" t="s">
        <v>221</v>
      </c>
      <c r="D83" s="244" t="s">
        <v>212</v>
      </c>
      <c r="F83" s="114"/>
      <c r="G83" s="136"/>
    </row>
    <row r="84" spans="2:7" ht="15" customHeight="1">
      <c r="B84" s="120"/>
      <c r="C84" s="243" t="s">
        <v>223</v>
      </c>
      <c r="D84" s="272" t="s">
        <v>346</v>
      </c>
      <c r="F84" s="114"/>
      <c r="G84"/>
    </row>
    <row r="85" spans="2:7" ht="15" customHeight="1" thickBot="1">
      <c r="B85" s="120"/>
      <c r="C85" s="275"/>
      <c r="D85" s="275"/>
      <c r="F85" s="114"/>
      <c r="G85"/>
    </row>
    <row r="86" spans="2:7" ht="15" customHeight="1" thickBot="1">
      <c r="B86" s="121"/>
      <c r="C86" s="276" t="s">
        <v>190</v>
      </c>
      <c r="D86" s="261" t="s">
        <v>190</v>
      </c>
      <c r="F86"/>
      <c r="G86"/>
    </row>
    <row r="87" spans="2:7" ht="15" customHeight="1">
      <c r="B87" s="119" t="s">
        <v>184</v>
      </c>
      <c r="C87" s="260" t="s">
        <v>240</v>
      </c>
      <c r="D87" s="271" t="s">
        <v>99</v>
      </c>
      <c r="F87"/>
      <c r="G87"/>
    </row>
    <row r="88" spans="2:7" ht="15" customHeight="1">
      <c r="B88" s="117"/>
      <c r="C88" s="243" t="s">
        <v>315</v>
      </c>
      <c r="D88" s="272" t="s">
        <v>185</v>
      </c>
      <c r="F88" s="112" t="s">
        <v>186</v>
      </c>
      <c r="G88" s="135" t="s">
        <v>187</v>
      </c>
    </row>
    <row r="89" spans="2:7" ht="15" customHeight="1">
      <c r="B89" s="117"/>
      <c r="C89" s="243" t="s">
        <v>316</v>
      </c>
      <c r="D89" s="266" t="s">
        <v>314</v>
      </c>
      <c r="F89" s="114" t="s">
        <v>214</v>
      </c>
      <c r="G89" s="136" t="s">
        <v>215</v>
      </c>
    </row>
    <row r="90" spans="2:7" ht="15" customHeight="1">
      <c r="B90" s="117"/>
      <c r="C90" s="243" t="s">
        <v>216</v>
      </c>
      <c r="D90" s="272" t="s">
        <v>217</v>
      </c>
      <c r="F90" s="114" t="s">
        <v>218</v>
      </c>
      <c r="G90"/>
    </row>
    <row r="91" spans="2:7" ht="15" customHeight="1">
      <c r="B91" s="117"/>
      <c r="C91" s="243" t="s">
        <v>219</v>
      </c>
      <c r="D91" s="272" t="s">
        <v>220</v>
      </c>
    </row>
    <row r="92" spans="2:7" ht="15" customHeight="1">
      <c r="B92" s="117"/>
      <c r="C92" s="243" t="s">
        <v>209</v>
      </c>
      <c r="D92" s="272" t="s">
        <v>210</v>
      </c>
      <c r="F92"/>
      <c r="G92"/>
    </row>
    <row r="93" spans="2:7" ht="15" customHeight="1">
      <c r="B93" s="117"/>
      <c r="C93" s="243" t="s">
        <v>221</v>
      </c>
      <c r="D93" s="272" t="s">
        <v>222</v>
      </c>
      <c r="F93"/>
      <c r="G93"/>
    </row>
    <row r="94" spans="2:7" ht="15" customHeight="1">
      <c r="B94" s="117"/>
      <c r="C94" s="258" t="s">
        <v>223</v>
      </c>
      <c r="D94" s="273" t="s">
        <v>346</v>
      </c>
      <c r="F94"/>
      <c r="G94"/>
    </row>
    <row r="95" spans="2:7" ht="15" customHeight="1" thickBot="1">
      <c r="B95" s="117"/>
      <c r="C95" s="277"/>
      <c r="D95" s="277"/>
      <c r="F95"/>
      <c r="G95"/>
    </row>
    <row r="96" spans="2:7" ht="15" customHeight="1" thickBot="1">
      <c r="B96" s="118"/>
      <c r="C96" s="261" t="s">
        <v>190</v>
      </c>
      <c r="D96" s="261" t="s">
        <v>190</v>
      </c>
      <c r="F96"/>
      <c r="G96"/>
    </row>
    <row r="97" spans="2:7" ht="15" customHeight="1">
      <c r="B97" s="183" t="s">
        <v>184</v>
      </c>
      <c r="C97" s="252" t="s">
        <v>161</v>
      </c>
      <c r="D97" s="252" t="s">
        <v>245</v>
      </c>
      <c r="F97" s="114"/>
      <c r="G97"/>
    </row>
    <row r="98" spans="2:7" ht="15" customHeight="1">
      <c r="B98" s="181"/>
      <c r="C98" s="243" t="s">
        <v>315</v>
      </c>
      <c r="D98" s="254" t="s">
        <v>185</v>
      </c>
      <c r="F98" s="112" t="s">
        <v>186</v>
      </c>
      <c r="G98" s="135" t="s">
        <v>187</v>
      </c>
    </row>
    <row r="99" spans="2:7" ht="15" customHeight="1">
      <c r="B99" s="181"/>
      <c r="C99" s="254" t="s">
        <v>317</v>
      </c>
      <c r="D99" s="266" t="s">
        <v>314</v>
      </c>
      <c r="F99" s="114" t="s">
        <v>224</v>
      </c>
      <c r="G99" s="136" t="s">
        <v>197</v>
      </c>
    </row>
    <row r="100" spans="2:7" ht="15" customHeight="1">
      <c r="B100" s="181"/>
      <c r="C100" s="254" t="s">
        <v>312</v>
      </c>
      <c r="D100" s="254" t="s">
        <v>226</v>
      </c>
      <c r="F100" s="114" t="s">
        <v>225</v>
      </c>
      <c r="G100"/>
    </row>
    <row r="101" spans="2:7" ht="15" customHeight="1">
      <c r="B101" s="181"/>
      <c r="C101" s="278" t="s">
        <v>227</v>
      </c>
      <c r="D101" s="278" t="s">
        <v>228</v>
      </c>
      <c r="F101"/>
      <c r="G101"/>
    </row>
    <row r="102" spans="2:7" ht="15" customHeight="1">
      <c r="B102" s="181"/>
      <c r="C102" s="258" t="s">
        <v>350</v>
      </c>
      <c r="D102" s="286" t="s">
        <v>353</v>
      </c>
      <c r="F102"/>
      <c r="G102"/>
    </row>
    <row r="103" spans="2:7" ht="15" customHeight="1" thickBot="1">
      <c r="B103" s="181"/>
      <c r="C103" s="282"/>
      <c r="D103" s="285"/>
      <c r="F103"/>
      <c r="G103"/>
    </row>
    <row r="104" spans="2:7" ht="15" customHeight="1" thickBot="1">
      <c r="B104" s="118"/>
      <c r="C104" s="267" t="s">
        <v>190</v>
      </c>
      <c r="D104" s="268" t="s">
        <v>190</v>
      </c>
      <c r="F104"/>
      <c r="G104"/>
    </row>
    <row r="105" spans="2:7">
      <c r="B105" s="119" t="s">
        <v>184</v>
      </c>
      <c r="C105" s="260" t="s">
        <v>243</v>
      </c>
      <c r="D105" s="279" t="s">
        <v>93</v>
      </c>
    </row>
    <row r="106" spans="2:7" ht="15">
      <c r="B106" s="117"/>
      <c r="C106" s="243" t="s">
        <v>315</v>
      </c>
      <c r="D106" s="280" t="s">
        <v>185</v>
      </c>
      <c r="F106" s="112" t="s">
        <v>186</v>
      </c>
      <c r="G106" s="135" t="s">
        <v>187</v>
      </c>
    </row>
    <row r="107" spans="2:7">
      <c r="B107" s="117"/>
      <c r="C107" s="243" t="s">
        <v>316</v>
      </c>
      <c r="D107" s="272" t="s">
        <v>188</v>
      </c>
      <c r="F107" s="114" t="s">
        <v>246</v>
      </c>
      <c r="G107" s="136" t="s">
        <v>248</v>
      </c>
    </row>
    <row r="108" spans="2:7">
      <c r="B108" s="117"/>
      <c r="C108" s="258" t="s">
        <v>351</v>
      </c>
      <c r="D108" s="273" t="s">
        <v>352</v>
      </c>
      <c r="F108" s="114" t="s">
        <v>247</v>
      </c>
      <c r="G108"/>
    </row>
    <row r="109" spans="2:7" ht="13.5" thickBot="1">
      <c r="B109" s="117"/>
      <c r="C109" s="282"/>
      <c r="D109" s="284"/>
      <c r="F109" s="114"/>
      <c r="G109"/>
    </row>
    <row r="110" spans="2:7" ht="13.5" thickBot="1">
      <c r="B110" s="118"/>
      <c r="C110" s="267" t="s">
        <v>190</v>
      </c>
      <c r="D110" s="268" t="s">
        <v>190</v>
      </c>
    </row>
  </sheetData>
  <sheetProtection algorithmName="SHA-512" hashValue="Etu3ptf90Cz9+SZTe5yGshRcrUj4qtaa/zkA80cFBkf7Lhu2PAgVvWoE38IK7S6xCIAkMf2A0G/CahJJjV22ig==" saltValue="H8lvKpe0g7dgOR5l229nIg==" spinCount="100000" sheet="1" objects="1" scenarios="1" selectLockedCells="1" selectUnlockedCells="1"/>
  <mergeCells count="1">
    <mergeCell ref="C20:D20"/>
  </mergeCells>
  <pageMargins left="0.7" right="0.7" top="0.75" bottom="0.75" header="0.3" footer="0.3"/>
  <pageSetup orientation="portrait" r:id="rId1"/>
  <headerFooter>
    <oddFooter>&amp;C&amp;1#&amp;"Arial"&amp;10&amp;K000000---Internal Use---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139"/>
  <sheetViews>
    <sheetView zoomScaleNormal="100" workbookViewId="0">
      <pane ySplit="3" topLeftCell="A4" activePane="bottomLeft" state="frozen"/>
      <selection pane="bottomLeft" activeCell="A5" sqref="A5"/>
    </sheetView>
  </sheetViews>
  <sheetFormatPr defaultColWidth="9.140625" defaultRowHeight="12.75"/>
  <cols>
    <col min="1" max="1" width="45.140625" style="148" bestFit="1" customWidth="1"/>
    <col min="2" max="2" width="18.5703125" style="148" bestFit="1" customWidth="1"/>
    <col min="3" max="3" width="21.140625" style="148" bestFit="1" customWidth="1"/>
    <col min="4" max="4" width="21.85546875" style="148" customWidth="1"/>
    <col min="5" max="5" width="20.42578125" style="148" bestFit="1" customWidth="1"/>
    <col min="6" max="6" width="21.140625" style="148" bestFit="1" customWidth="1"/>
    <col min="7" max="8" width="20.42578125" style="148" bestFit="1" customWidth="1"/>
    <col min="9" max="9" width="18" style="148" bestFit="1" customWidth="1"/>
    <col min="10" max="10" width="21.85546875" style="148" bestFit="1" customWidth="1"/>
    <col min="11" max="11" width="20.42578125" style="148" bestFit="1" customWidth="1"/>
    <col min="12" max="12" width="19.7109375" style="148" bestFit="1" customWidth="1"/>
    <col min="13" max="13" width="21.85546875" style="148" bestFit="1" customWidth="1"/>
    <col min="14" max="17" width="14.7109375" style="148" customWidth="1"/>
    <col min="18" max="27" width="19.7109375" style="148" customWidth="1"/>
    <col min="28" max="28" width="14.140625" style="148" customWidth="1"/>
    <col min="29" max="30" width="13.7109375" style="148" bestFit="1" customWidth="1"/>
    <col min="31" max="16384" width="9.140625" style="148"/>
  </cols>
  <sheetData>
    <row r="1" spans="1:19" ht="26.25" thickBot="1">
      <c r="B1" s="143" t="s">
        <v>229</v>
      </c>
      <c r="C1" s="242" t="s">
        <v>318</v>
      </c>
      <c r="D1" s="138" t="s">
        <v>191</v>
      </c>
      <c r="E1" s="138" t="s">
        <v>194</v>
      </c>
      <c r="F1" s="138" t="s">
        <v>243</v>
      </c>
      <c r="G1" s="139" t="s">
        <v>362</v>
      </c>
      <c r="H1" s="139" t="s">
        <v>363</v>
      </c>
      <c r="I1" s="139" t="s">
        <v>364</v>
      </c>
      <c r="J1" s="139" t="s">
        <v>263</v>
      </c>
      <c r="K1" s="139" t="s">
        <v>266</v>
      </c>
      <c r="L1" s="139" t="s">
        <v>267</v>
      </c>
      <c r="M1" s="140" t="s">
        <v>161</v>
      </c>
      <c r="N1" s="510" t="s">
        <v>100</v>
      </c>
      <c r="O1" s="512" t="s">
        <v>101</v>
      </c>
      <c r="P1" s="514" t="s">
        <v>269</v>
      </c>
      <c r="Q1" s="506" t="s">
        <v>270</v>
      </c>
    </row>
    <row r="2" spans="1:19" ht="39" thickBot="1">
      <c r="B2" s="144" t="s">
        <v>256</v>
      </c>
      <c r="C2" s="141" t="s">
        <v>257</v>
      </c>
      <c r="D2" s="141" t="s">
        <v>258</v>
      </c>
      <c r="E2" s="141" t="s">
        <v>259</v>
      </c>
      <c r="F2" s="141" t="s">
        <v>260</v>
      </c>
      <c r="G2" s="141" t="s">
        <v>261</v>
      </c>
      <c r="H2" s="141" t="s">
        <v>262</v>
      </c>
      <c r="I2" s="141" t="s">
        <v>96</v>
      </c>
      <c r="J2" s="141" t="s">
        <v>264</v>
      </c>
      <c r="K2" s="141" t="s">
        <v>265</v>
      </c>
      <c r="L2" s="141" t="s">
        <v>99</v>
      </c>
      <c r="M2" s="142" t="s">
        <v>268</v>
      </c>
      <c r="N2" s="511"/>
      <c r="O2" s="513"/>
      <c r="P2" s="515"/>
      <c r="Q2" s="507"/>
    </row>
    <row r="3" spans="1:19" ht="15.75" thickBot="1">
      <c r="A3" s="149" t="s">
        <v>271</v>
      </c>
      <c r="B3" s="184" t="s">
        <v>272</v>
      </c>
      <c r="C3" s="185"/>
      <c r="D3" s="185"/>
      <c r="E3" s="185"/>
      <c r="F3" s="185"/>
      <c r="G3" s="185"/>
      <c r="H3" s="185"/>
      <c r="I3" s="185"/>
      <c r="J3" s="185"/>
      <c r="K3" s="185"/>
      <c r="L3" s="185"/>
      <c r="M3" s="185"/>
      <c r="N3" s="508"/>
      <c r="O3" s="509"/>
      <c r="P3" s="150" t="s">
        <v>273</v>
      </c>
      <c r="Q3" s="151"/>
    </row>
    <row r="4" spans="1:19" ht="15">
      <c r="A4" s="250" t="s">
        <v>329</v>
      </c>
      <c r="B4" s="237"/>
      <c r="C4" s="237"/>
      <c r="D4" s="237"/>
      <c r="E4" s="237"/>
      <c r="F4" s="237"/>
      <c r="G4" s="237"/>
      <c r="H4" s="237"/>
      <c r="I4" s="237"/>
      <c r="J4" s="237"/>
      <c r="K4" s="237"/>
      <c r="L4" s="237"/>
      <c r="M4" s="237"/>
      <c r="N4" s="237"/>
      <c r="O4" s="237"/>
      <c r="P4" s="236"/>
      <c r="Q4" s="151"/>
    </row>
    <row r="5" spans="1:19" ht="15">
      <c r="A5" s="156" t="s">
        <v>102</v>
      </c>
      <c r="B5" s="295">
        <v>21.799999999999997</v>
      </c>
      <c r="C5" s="296">
        <v>29.599999999999994</v>
      </c>
      <c r="D5" s="296" t="s">
        <v>109</v>
      </c>
      <c r="E5" s="296">
        <v>26.739999999999995</v>
      </c>
      <c r="F5" s="296">
        <v>31.740000000000002</v>
      </c>
      <c r="G5" s="296">
        <v>75.099999999999994</v>
      </c>
      <c r="H5" s="296">
        <v>86.84</v>
      </c>
      <c r="I5" s="296">
        <v>137.59</v>
      </c>
      <c r="J5" s="296">
        <v>89.87</v>
      </c>
      <c r="K5" s="296">
        <v>112.75999999999999</v>
      </c>
      <c r="L5" s="296">
        <v>143.29</v>
      </c>
      <c r="M5" s="297">
        <v>63.76</v>
      </c>
      <c r="N5" s="298">
        <v>1.15E-2</v>
      </c>
      <c r="O5" s="299">
        <v>6.5600000000000006E-2</v>
      </c>
      <c r="P5" s="300">
        <v>4.5342000000000002</v>
      </c>
      <c r="Q5" s="300">
        <v>10</v>
      </c>
    </row>
    <row r="6" spans="1:19" ht="15">
      <c r="A6" s="156" t="s">
        <v>103</v>
      </c>
      <c r="B6" s="295">
        <v>13.12</v>
      </c>
      <c r="C6" s="296">
        <v>18.079999999999998</v>
      </c>
      <c r="D6" s="296" t="s">
        <v>109</v>
      </c>
      <c r="E6" s="296">
        <v>16.3</v>
      </c>
      <c r="F6" s="296">
        <v>20.91</v>
      </c>
      <c r="G6" s="296">
        <v>45.7</v>
      </c>
      <c r="H6" s="296">
        <v>52.72999999999999</v>
      </c>
      <c r="I6" s="296">
        <v>85.86</v>
      </c>
      <c r="J6" s="296">
        <v>53.11999999999999</v>
      </c>
      <c r="K6" s="296">
        <v>68.19</v>
      </c>
      <c r="L6" s="296">
        <v>88.27</v>
      </c>
      <c r="M6" s="297">
        <v>40.529999999999994</v>
      </c>
      <c r="N6" s="298">
        <v>1.2200000000000001E-2</v>
      </c>
      <c r="O6" s="299">
        <v>7.0699999999999999E-2</v>
      </c>
      <c r="P6" s="300">
        <v>3.24885</v>
      </c>
      <c r="Q6" s="300">
        <v>10</v>
      </c>
    </row>
    <row r="7" spans="1:19" ht="15">
      <c r="A7" s="156" t="s">
        <v>104</v>
      </c>
      <c r="B7" s="301">
        <v>11.25</v>
      </c>
      <c r="C7" s="302">
        <v>15.51</v>
      </c>
      <c r="D7" s="302">
        <v>16.73</v>
      </c>
      <c r="E7" s="302">
        <v>13.99</v>
      </c>
      <c r="F7" s="302">
        <v>17.95</v>
      </c>
      <c r="G7" s="302">
        <v>39.22</v>
      </c>
      <c r="H7" s="302">
        <v>45.250000000000007</v>
      </c>
      <c r="I7" s="302">
        <v>73.7</v>
      </c>
      <c r="J7" s="302">
        <v>45.600000000000009</v>
      </c>
      <c r="K7" s="302">
        <v>58.53</v>
      </c>
      <c r="L7" s="302">
        <v>75.77</v>
      </c>
      <c r="M7" s="303">
        <v>34.78</v>
      </c>
      <c r="N7" s="304">
        <v>7.0000000000000001E-3</v>
      </c>
      <c r="O7" s="305">
        <v>4.0599999999999997E-2</v>
      </c>
      <c r="P7" s="306">
        <v>2.7885</v>
      </c>
      <c r="Q7" s="307">
        <v>10</v>
      </c>
      <c r="R7" s="152"/>
      <c r="S7" s="152"/>
    </row>
    <row r="8" spans="1:19" ht="15">
      <c r="A8" s="156" t="s">
        <v>105</v>
      </c>
      <c r="B8" s="301">
        <v>11.25</v>
      </c>
      <c r="C8" s="302">
        <v>15.51</v>
      </c>
      <c r="D8" s="302">
        <v>16.73</v>
      </c>
      <c r="E8" s="302">
        <v>13.99</v>
      </c>
      <c r="F8" s="302">
        <v>17.95</v>
      </c>
      <c r="G8" s="302">
        <v>39.22</v>
      </c>
      <c r="H8" s="302">
        <v>45.250000000000007</v>
      </c>
      <c r="I8" s="302">
        <v>73.7</v>
      </c>
      <c r="J8" s="302">
        <v>45.600000000000009</v>
      </c>
      <c r="K8" s="302">
        <v>58.53</v>
      </c>
      <c r="L8" s="302">
        <v>75.77</v>
      </c>
      <c r="M8" s="303">
        <v>34.78</v>
      </c>
      <c r="N8" s="304">
        <v>7.0000000000000001E-3</v>
      </c>
      <c r="O8" s="305">
        <v>4.0599999999999997E-2</v>
      </c>
      <c r="P8" s="306">
        <v>2.7885</v>
      </c>
      <c r="Q8" s="307">
        <v>10</v>
      </c>
      <c r="R8" s="152"/>
      <c r="S8" s="152"/>
    </row>
    <row r="9" spans="1:19" ht="15">
      <c r="A9" s="156" t="s">
        <v>280</v>
      </c>
      <c r="B9" s="295">
        <v>28.189999999999998</v>
      </c>
      <c r="C9" s="296">
        <v>43.15</v>
      </c>
      <c r="D9" s="296" t="s">
        <v>109</v>
      </c>
      <c r="E9" s="296">
        <v>39.07</v>
      </c>
      <c r="F9" s="296">
        <v>41.11</v>
      </c>
      <c r="G9" s="296">
        <v>100.59</v>
      </c>
      <c r="H9" s="296">
        <v>122.44999999999999</v>
      </c>
      <c r="I9" s="296">
        <v>204.35999999999999</v>
      </c>
      <c r="J9" s="296">
        <v>140.76</v>
      </c>
      <c r="K9" s="296">
        <v>177.87999999999997</v>
      </c>
      <c r="L9" s="296">
        <v>220.48999999999998</v>
      </c>
      <c r="M9" s="297">
        <v>88.01</v>
      </c>
      <c r="N9" s="298">
        <v>9.1079999999999998E-3</v>
      </c>
      <c r="O9" s="299">
        <v>5.9202000000000005E-2</v>
      </c>
      <c r="P9" s="300">
        <v>5.6822188500000008</v>
      </c>
      <c r="Q9" s="300">
        <v>10</v>
      </c>
    </row>
    <row r="10" spans="1:19" ht="15">
      <c r="A10" s="156" t="s">
        <v>106</v>
      </c>
      <c r="B10" s="295">
        <v>24.76</v>
      </c>
      <c r="C10" s="296">
        <v>39.22</v>
      </c>
      <c r="D10" s="296" t="s">
        <v>109</v>
      </c>
      <c r="E10" s="296">
        <v>35.54</v>
      </c>
      <c r="F10" s="296">
        <v>35.559999999999995</v>
      </c>
      <c r="G10" s="296">
        <v>89.85</v>
      </c>
      <c r="H10" s="296">
        <v>110.87</v>
      </c>
      <c r="I10" s="296">
        <v>186.82999999999998</v>
      </c>
      <c r="J10" s="296">
        <v>131.22</v>
      </c>
      <c r="K10" s="296">
        <v>165.68999999999997</v>
      </c>
      <c r="L10" s="296">
        <v>203.49999999999997</v>
      </c>
      <c r="M10" s="297">
        <v>78.559999999999988</v>
      </c>
      <c r="N10" s="298">
        <v>7.4000000000000003E-3</v>
      </c>
      <c r="O10" s="299">
        <v>4.5600000000000002E-2</v>
      </c>
      <c r="P10" s="300">
        <v>5.4429375000000002</v>
      </c>
      <c r="Q10" s="300">
        <v>10</v>
      </c>
    </row>
    <row r="11" spans="1:19" ht="15">
      <c r="A11" s="156" t="s">
        <v>107</v>
      </c>
      <c r="B11" s="301">
        <v>18.87</v>
      </c>
      <c r="C11" s="302">
        <v>26.06</v>
      </c>
      <c r="D11" s="302">
        <v>27.96</v>
      </c>
      <c r="E11" s="302">
        <v>23.49</v>
      </c>
      <c r="F11" s="302">
        <v>30.009999999999998</v>
      </c>
      <c r="G11" s="302">
        <v>67</v>
      </c>
      <c r="H11" s="302">
        <v>77.350000000000009</v>
      </c>
      <c r="I11" s="302">
        <v>126.17000000000002</v>
      </c>
      <c r="J11" s="302">
        <v>77.950000000000017</v>
      </c>
      <c r="K11" s="302">
        <v>100.14000000000001</v>
      </c>
      <c r="L11" s="302">
        <v>129.72</v>
      </c>
      <c r="M11" s="303">
        <v>58.610000000000007</v>
      </c>
      <c r="N11" s="308">
        <v>2.5399999999999999E-2</v>
      </c>
      <c r="O11" s="309">
        <v>6.8000000000000005E-2</v>
      </c>
      <c r="P11" s="306">
        <v>4.709925000000001</v>
      </c>
      <c r="Q11" s="307">
        <v>10</v>
      </c>
    </row>
    <row r="12" spans="1:19" ht="15">
      <c r="A12" s="156" t="s">
        <v>108</v>
      </c>
      <c r="B12" s="295" t="s">
        <v>109</v>
      </c>
      <c r="C12" s="296" t="s">
        <v>109</v>
      </c>
      <c r="D12" s="296" t="s">
        <v>109</v>
      </c>
      <c r="E12" s="296" t="s">
        <v>109</v>
      </c>
      <c r="F12" s="296" t="s">
        <v>109</v>
      </c>
      <c r="G12" s="296" t="s">
        <v>109</v>
      </c>
      <c r="H12" s="296" t="s">
        <v>109</v>
      </c>
      <c r="I12" s="296" t="s">
        <v>109</v>
      </c>
      <c r="J12" s="296" t="s">
        <v>109</v>
      </c>
      <c r="K12" s="296" t="s">
        <v>109</v>
      </c>
      <c r="L12" s="296" t="s">
        <v>109</v>
      </c>
      <c r="M12" s="297" t="s">
        <v>109</v>
      </c>
      <c r="N12" s="298" t="s">
        <v>109</v>
      </c>
      <c r="O12" s="299" t="s">
        <v>109</v>
      </c>
      <c r="P12" s="300" t="s">
        <v>109</v>
      </c>
      <c r="Q12" s="300">
        <v>10</v>
      </c>
    </row>
    <row r="13" spans="1:19" ht="15">
      <c r="A13" s="156" t="s">
        <v>110</v>
      </c>
      <c r="B13" s="295">
        <v>14.69</v>
      </c>
      <c r="C13" s="296">
        <v>20.249999999999996</v>
      </c>
      <c r="D13" s="296">
        <v>21.76</v>
      </c>
      <c r="E13" s="296">
        <v>18.23</v>
      </c>
      <c r="F13" s="296">
        <v>23.36</v>
      </c>
      <c r="G13" s="296">
        <v>51.53</v>
      </c>
      <c r="H13" s="296">
        <v>59.449999999999996</v>
      </c>
      <c r="I13" s="296">
        <v>96.87</v>
      </c>
      <c r="J13" s="296">
        <v>59.9</v>
      </c>
      <c r="K13" s="296">
        <v>76.900000000000006</v>
      </c>
      <c r="L13" s="296">
        <v>99.58</v>
      </c>
      <c r="M13" s="297">
        <v>45.430000000000007</v>
      </c>
      <c r="N13" s="298">
        <v>1.04E-2</v>
      </c>
      <c r="O13" s="299">
        <v>6.2E-2</v>
      </c>
      <c r="P13" s="300">
        <v>3.5029499999999998</v>
      </c>
      <c r="Q13" s="300">
        <v>10</v>
      </c>
    </row>
    <row r="14" spans="1:19" ht="15">
      <c r="A14" s="156" t="s">
        <v>111</v>
      </c>
      <c r="B14" s="295">
        <v>20.659999999999997</v>
      </c>
      <c r="C14" s="296">
        <v>28.64</v>
      </c>
      <c r="D14" s="296" t="s">
        <v>109</v>
      </c>
      <c r="E14" s="296">
        <v>25.900000000000002</v>
      </c>
      <c r="F14" s="296">
        <v>30.240000000000002</v>
      </c>
      <c r="G14" s="296">
        <v>71.459999999999994</v>
      </c>
      <c r="H14" s="296">
        <v>83.419999999999987</v>
      </c>
      <c r="I14" s="296">
        <v>133.63999999999999</v>
      </c>
      <c r="J14" s="296">
        <v>87.97</v>
      </c>
      <c r="K14" s="296">
        <v>110.62</v>
      </c>
      <c r="L14" s="296">
        <v>140.07</v>
      </c>
      <c r="M14" s="297">
        <v>61.18</v>
      </c>
      <c r="N14" s="298">
        <v>0.01</v>
      </c>
      <c r="O14" s="299">
        <v>7.9100000000000004E-2</v>
      </c>
      <c r="P14" s="300">
        <v>4.5244980000000004</v>
      </c>
      <c r="Q14" s="300">
        <v>10</v>
      </c>
    </row>
    <row r="15" spans="1:19" ht="15">
      <c r="A15" s="156" t="s">
        <v>112</v>
      </c>
      <c r="B15" s="295" t="s">
        <v>109</v>
      </c>
      <c r="C15" s="296">
        <v>21.760000000000005</v>
      </c>
      <c r="D15" s="296" t="s">
        <v>109</v>
      </c>
      <c r="E15" s="296" t="s">
        <v>109</v>
      </c>
      <c r="F15" s="296" t="s">
        <v>109</v>
      </c>
      <c r="G15" s="296">
        <v>54.980000000000004</v>
      </c>
      <c r="H15" s="296">
        <v>63.44</v>
      </c>
      <c r="I15" s="296">
        <v>103.33</v>
      </c>
      <c r="J15" s="296">
        <v>63.93</v>
      </c>
      <c r="K15" s="296">
        <v>82.06</v>
      </c>
      <c r="L15" s="296">
        <v>106.23000000000002</v>
      </c>
      <c r="M15" s="297">
        <v>48.78</v>
      </c>
      <c r="N15" s="298">
        <v>1.2200000000000001E-2</v>
      </c>
      <c r="O15" s="299">
        <v>7.0699999999999999E-2</v>
      </c>
      <c r="P15" s="300">
        <v>3.9104999999999999</v>
      </c>
      <c r="Q15" s="300">
        <v>10</v>
      </c>
    </row>
    <row r="16" spans="1:19" ht="15">
      <c r="A16" s="156" t="s">
        <v>113</v>
      </c>
      <c r="B16" s="295">
        <v>21.37</v>
      </c>
      <c r="C16" s="296">
        <v>29.55</v>
      </c>
      <c r="D16" s="296" t="s">
        <v>109</v>
      </c>
      <c r="E16" s="296">
        <v>26.78</v>
      </c>
      <c r="F16" s="296">
        <v>32.270000000000003</v>
      </c>
      <c r="G16" s="296">
        <v>72.559999999999988</v>
      </c>
      <c r="H16" s="296">
        <v>84.999999999999986</v>
      </c>
      <c r="I16" s="296">
        <v>137.82999999999998</v>
      </c>
      <c r="J16" s="296">
        <v>89.289999999999992</v>
      </c>
      <c r="K16" s="296">
        <v>113.12</v>
      </c>
      <c r="L16" s="296">
        <v>144.37000000000003</v>
      </c>
      <c r="M16" s="297">
        <v>63.679999999999993</v>
      </c>
      <c r="N16" s="298">
        <v>0.01</v>
      </c>
      <c r="O16" s="299">
        <v>5.7700000000000001E-2</v>
      </c>
      <c r="P16" s="300">
        <v>4.7453175000000005</v>
      </c>
      <c r="Q16" s="300">
        <v>10</v>
      </c>
    </row>
    <row r="17" spans="1:19" ht="15">
      <c r="A17" s="156" t="s">
        <v>281</v>
      </c>
      <c r="B17" s="295">
        <v>17.849999999999998</v>
      </c>
      <c r="C17" s="296">
        <v>25.02</v>
      </c>
      <c r="D17" s="296" t="s">
        <v>109</v>
      </c>
      <c r="E17" s="296">
        <v>22.660000000000004</v>
      </c>
      <c r="F17" s="296">
        <v>26.810000000000002</v>
      </c>
      <c r="G17" s="296">
        <v>60.95</v>
      </c>
      <c r="H17" s="296">
        <v>71.790000000000006</v>
      </c>
      <c r="I17" s="296">
        <v>116.89000000000001</v>
      </c>
      <c r="J17" s="296">
        <v>76.410000000000025</v>
      </c>
      <c r="K17" s="296">
        <v>96.760000000000019</v>
      </c>
      <c r="L17" s="296">
        <v>122.97000000000003</v>
      </c>
      <c r="M17" s="297">
        <v>53.47</v>
      </c>
      <c r="N17" s="298">
        <v>8.3490000000000005E-3</v>
      </c>
      <c r="O17" s="299">
        <v>5.4268500000000004E-2</v>
      </c>
      <c r="P17" s="300">
        <v>3.9282375000000003</v>
      </c>
      <c r="Q17" s="300">
        <v>10</v>
      </c>
    </row>
    <row r="18" spans="1:19" ht="15">
      <c r="A18" s="156" t="s">
        <v>114</v>
      </c>
      <c r="B18" s="301">
        <v>17.43</v>
      </c>
      <c r="C18" s="302">
        <v>24.080000000000002</v>
      </c>
      <c r="D18" s="302">
        <v>25.84</v>
      </c>
      <c r="E18" s="302">
        <v>21.69</v>
      </c>
      <c r="F18" s="302">
        <v>27.74</v>
      </c>
      <c r="G18" s="302">
        <v>61.910000000000018</v>
      </c>
      <c r="H18" s="302">
        <v>71.47</v>
      </c>
      <c r="I18" s="302">
        <v>116.57</v>
      </c>
      <c r="J18" s="302">
        <v>72.02000000000001</v>
      </c>
      <c r="K18" s="302">
        <v>92.519999999999982</v>
      </c>
      <c r="L18" s="302">
        <v>119.84999999999998</v>
      </c>
      <c r="M18" s="303">
        <v>54.15</v>
      </c>
      <c r="N18" s="308">
        <v>7.5900000000000004E-3</v>
      </c>
      <c r="O18" s="309">
        <v>4.9335000000000004E-2</v>
      </c>
      <c r="P18" s="306">
        <v>4.3514625000000011</v>
      </c>
      <c r="Q18" s="307">
        <v>10</v>
      </c>
    </row>
    <row r="19" spans="1:19" ht="15">
      <c r="A19" s="156" t="s">
        <v>115</v>
      </c>
      <c r="B19" s="301">
        <v>11.25</v>
      </c>
      <c r="C19" s="302">
        <v>15.51</v>
      </c>
      <c r="D19" s="302">
        <v>16.73</v>
      </c>
      <c r="E19" s="302">
        <v>13.99</v>
      </c>
      <c r="F19" s="302">
        <v>17.95</v>
      </c>
      <c r="G19" s="302">
        <v>39.22</v>
      </c>
      <c r="H19" s="302">
        <v>45.250000000000007</v>
      </c>
      <c r="I19" s="302">
        <v>73.7</v>
      </c>
      <c r="J19" s="302">
        <v>45.600000000000009</v>
      </c>
      <c r="K19" s="302">
        <v>58.53</v>
      </c>
      <c r="L19" s="302">
        <v>75.77</v>
      </c>
      <c r="M19" s="303">
        <v>34.78</v>
      </c>
      <c r="N19" s="304">
        <v>8.6E-3</v>
      </c>
      <c r="O19" s="305">
        <v>5.8400000000000001E-2</v>
      </c>
      <c r="P19" s="306">
        <v>2.7885</v>
      </c>
      <c r="Q19" s="307">
        <v>10</v>
      </c>
      <c r="R19" s="152"/>
      <c r="S19" s="152"/>
    </row>
    <row r="20" spans="1:19" ht="15">
      <c r="A20" s="156" t="s">
        <v>116</v>
      </c>
      <c r="B20" s="301">
        <v>11.25</v>
      </c>
      <c r="C20" s="302">
        <v>15.51</v>
      </c>
      <c r="D20" s="302">
        <v>16.73</v>
      </c>
      <c r="E20" s="302">
        <v>13.99</v>
      </c>
      <c r="F20" s="302">
        <v>17.95</v>
      </c>
      <c r="G20" s="302">
        <v>39.22</v>
      </c>
      <c r="H20" s="302">
        <v>45.250000000000007</v>
      </c>
      <c r="I20" s="302">
        <v>73.7</v>
      </c>
      <c r="J20" s="302">
        <v>45.600000000000009</v>
      </c>
      <c r="K20" s="302">
        <v>58.53</v>
      </c>
      <c r="L20" s="302">
        <v>75.77</v>
      </c>
      <c r="M20" s="303">
        <v>34.78</v>
      </c>
      <c r="N20" s="304">
        <v>7.0000000000000001E-3</v>
      </c>
      <c r="O20" s="305">
        <v>4.0599999999999997E-2</v>
      </c>
      <c r="P20" s="306">
        <v>2.7885</v>
      </c>
      <c r="Q20" s="307">
        <v>10</v>
      </c>
      <c r="R20" s="152"/>
      <c r="S20" s="152"/>
    </row>
    <row r="21" spans="1:19" ht="15">
      <c r="A21" s="156" t="s">
        <v>117</v>
      </c>
      <c r="B21" s="301">
        <v>23.81</v>
      </c>
      <c r="C21" s="302">
        <v>33.069999999999993</v>
      </c>
      <c r="D21" s="302">
        <v>33.700000000000003</v>
      </c>
      <c r="E21" s="302">
        <v>30.34</v>
      </c>
      <c r="F21" s="302">
        <v>37.33</v>
      </c>
      <c r="G21" s="302">
        <v>88.59</v>
      </c>
      <c r="H21" s="302">
        <v>102.50000000000001</v>
      </c>
      <c r="I21" s="302">
        <v>169.84</v>
      </c>
      <c r="J21" s="302">
        <v>104.73</v>
      </c>
      <c r="K21" s="302">
        <v>134.16</v>
      </c>
      <c r="L21" s="302">
        <v>176.51000000000002</v>
      </c>
      <c r="M21" s="303">
        <v>74.86999999999999</v>
      </c>
      <c r="N21" s="308">
        <v>8.3999999999999995E-3</v>
      </c>
      <c r="O21" s="309">
        <v>4.8800000000000003E-2</v>
      </c>
      <c r="P21" s="306">
        <v>5.7692250000000014</v>
      </c>
      <c r="Q21" s="307">
        <v>10</v>
      </c>
    </row>
    <row r="22" spans="1:19" ht="15">
      <c r="A22" s="156" t="s">
        <v>118</v>
      </c>
      <c r="B22" s="301">
        <v>11.25</v>
      </c>
      <c r="C22" s="302">
        <v>15.51</v>
      </c>
      <c r="D22" s="302">
        <v>16.73</v>
      </c>
      <c r="E22" s="302">
        <v>13.99</v>
      </c>
      <c r="F22" s="302">
        <v>17.95</v>
      </c>
      <c r="G22" s="302">
        <v>39.22</v>
      </c>
      <c r="H22" s="302">
        <v>45.250000000000007</v>
      </c>
      <c r="I22" s="302">
        <v>73.7</v>
      </c>
      <c r="J22" s="302">
        <v>45.600000000000009</v>
      </c>
      <c r="K22" s="302">
        <v>58.53</v>
      </c>
      <c r="L22" s="302">
        <v>75.77</v>
      </c>
      <c r="M22" s="303">
        <v>34.78</v>
      </c>
      <c r="N22" s="304">
        <v>6.6499999999999997E-3</v>
      </c>
      <c r="O22" s="305">
        <v>3.8569999999999993E-2</v>
      </c>
      <c r="P22" s="306">
        <v>2.7885</v>
      </c>
      <c r="Q22" s="307">
        <v>10</v>
      </c>
      <c r="R22" s="152"/>
      <c r="S22" s="152"/>
    </row>
    <row r="23" spans="1:19" ht="15">
      <c r="A23" s="156" t="s">
        <v>119</v>
      </c>
      <c r="B23" s="301">
        <v>11.25</v>
      </c>
      <c r="C23" s="302">
        <v>15.51</v>
      </c>
      <c r="D23" s="302">
        <v>16.73</v>
      </c>
      <c r="E23" s="302">
        <v>13.99</v>
      </c>
      <c r="F23" s="302">
        <v>17.95</v>
      </c>
      <c r="G23" s="302">
        <v>39.22</v>
      </c>
      <c r="H23" s="302">
        <v>45.250000000000007</v>
      </c>
      <c r="I23" s="302">
        <v>73.7</v>
      </c>
      <c r="J23" s="302">
        <v>45.600000000000009</v>
      </c>
      <c r="K23" s="302">
        <v>58.53</v>
      </c>
      <c r="L23" s="302">
        <v>75.77</v>
      </c>
      <c r="M23" s="303">
        <v>34.78</v>
      </c>
      <c r="N23" s="304">
        <v>7.0000000000000001E-3</v>
      </c>
      <c r="O23" s="305">
        <v>4.0599999999999997E-2</v>
      </c>
      <c r="P23" s="306">
        <v>2.7885</v>
      </c>
      <c r="Q23" s="307">
        <v>10</v>
      </c>
      <c r="R23" s="152"/>
      <c r="S23" s="152"/>
    </row>
    <row r="24" spans="1:19" ht="15">
      <c r="A24" s="156" t="s">
        <v>120</v>
      </c>
      <c r="B24" s="301">
        <v>11.25</v>
      </c>
      <c r="C24" s="302">
        <v>15.51</v>
      </c>
      <c r="D24" s="302">
        <v>16.73</v>
      </c>
      <c r="E24" s="302">
        <v>13.99</v>
      </c>
      <c r="F24" s="302">
        <v>17.95</v>
      </c>
      <c r="G24" s="302">
        <v>39.22</v>
      </c>
      <c r="H24" s="302">
        <v>45.250000000000007</v>
      </c>
      <c r="I24" s="302">
        <v>73.7</v>
      </c>
      <c r="J24" s="302">
        <v>45.600000000000009</v>
      </c>
      <c r="K24" s="302">
        <v>58.53</v>
      </c>
      <c r="L24" s="302">
        <v>75.77</v>
      </c>
      <c r="M24" s="303">
        <v>34.78</v>
      </c>
      <c r="N24" s="304">
        <v>7.0000000000000001E-3</v>
      </c>
      <c r="O24" s="305">
        <v>4.0599999999999997E-2</v>
      </c>
      <c r="P24" s="306">
        <v>2.7885</v>
      </c>
      <c r="Q24" s="307">
        <v>10</v>
      </c>
      <c r="R24" s="152"/>
      <c r="S24" s="152"/>
    </row>
    <row r="25" spans="1:19" ht="15">
      <c r="A25" s="156" t="s">
        <v>121</v>
      </c>
      <c r="B25" s="301">
        <v>14.540000000000001</v>
      </c>
      <c r="C25" s="302">
        <v>20.089999999999996</v>
      </c>
      <c r="D25" s="302">
        <v>21.549999999999997</v>
      </c>
      <c r="E25" s="302">
        <v>18.089999999999996</v>
      </c>
      <c r="F25" s="302">
        <v>23.139999999999997</v>
      </c>
      <c r="G25" s="302">
        <v>51.65</v>
      </c>
      <c r="H25" s="302">
        <v>59.63</v>
      </c>
      <c r="I25" s="302">
        <v>97.25</v>
      </c>
      <c r="J25" s="302">
        <v>60.09</v>
      </c>
      <c r="K25" s="302">
        <v>77.19</v>
      </c>
      <c r="L25" s="302">
        <v>99.99</v>
      </c>
      <c r="M25" s="303">
        <v>45.17</v>
      </c>
      <c r="N25" s="308">
        <v>9.1999999999999998E-3</v>
      </c>
      <c r="O25" s="309">
        <v>4.8000000000000001E-2</v>
      </c>
      <c r="P25" s="306">
        <v>3.6300000000000008</v>
      </c>
      <c r="Q25" s="307">
        <v>10</v>
      </c>
    </row>
    <row r="26" spans="1:19" ht="15">
      <c r="A26" s="156" t="s">
        <v>122</v>
      </c>
      <c r="B26" s="295" t="s">
        <v>109</v>
      </c>
      <c r="C26" s="296">
        <v>21.760000000000005</v>
      </c>
      <c r="D26" s="296" t="s">
        <v>109</v>
      </c>
      <c r="E26" s="296" t="s">
        <v>109</v>
      </c>
      <c r="F26" s="296" t="s">
        <v>109</v>
      </c>
      <c r="G26" s="296">
        <v>54.980000000000004</v>
      </c>
      <c r="H26" s="296">
        <v>63.44</v>
      </c>
      <c r="I26" s="296">
        <v>103.33</v>
      </c>
      <c r="J26" s="296">
        <v>63.93</v>
      </c>
      <c r="K26" s="296">
        <v>82.06</v>
      </c>
      <c r="L26" s="296">
        <v>106.23000000000002</v>
      </c>
      <c r="M26" s="297">
        <v>48.78</v>
      </c>
      <c r="N26" s="298">
        <v>1.2200000000000001E-2</v>
      </c>
      <c r="O26" s="299">
        <v>7.0699999999999999E-2</v>
      </c>
      <c r="P26" s="300">
        <v>3.1482000000000001</v>
      </c>
      <c r="Q26" s="300">
        <v>10</v>
      </c>
    </row>
    <row r="27" spans="1:19" ht="15">
      <c r="A27" s="156" t="s">
        <v>123</v>
      </c>
      <c r="B27" s="301">
        <v>11.25</v>
      </c>
      <c r="C27" s="302">
        <v>15.51</v>
      </c>
      <c r="D27" s="302">
        <v>16.73</v>
      </c>
      <c r="E27" s="302">
        <v>13.99</v>
      </c>
      <c r="F27" s="302">
        <v>17.95</v>
      </c>
      <c r="G27" s="302">
        <v>39.22</v>
      </c>
      <c r="H27" s="302">
        <v>45.250000000000007</v>
      </c>
      <c r="I27" s="302">
        <v>73.7</v>
      </c>
      <c r="J27" s="302">
        <v>45.600000000000009</v>
      </c>
      <c r="K27" s="302">
        <v>58.53</v>
      </c>
      <c r="L27" s="302">
        <v>75.77</v>
      </c>
      <c r="M27" s="303">
        <v>34.78</v>
      </c>
      <c r="N27" s="304">
        <v>7.0000000000000001E-3</v>
      </c>
      <c r="O27" s="305">
        <v>4.0599999999999997E-2</v>
      </c>
      <c r="P27" s="306">
        <v>2.7885</v>
      </c>
      <c r="Q27" s="307">
        <v>10</v>
      </c>
      <c r="R27" s="152"/>
      <c r="S27" s="152"/>
    </row>
    <row r="28" spans="1:19" ht="15">
      <c r="A28" s="156" t="s">
        <v>124</v>
      </c>
      <c r="B28" s="295" t="s">
        <v>109</v>
      </c>
      <c r="C28" s="296" t="s">
        <v>109</v>
      </c>
      <c r="D28" s="296" t="s">
        <v>109</v>
      </c>
      <c r="E28" s="296" t="s">
        <v>109</v>
      </c>
      <c r="F28" s="296" t="s">
        <v>109</v>
      </c>
      <c r="G28" s="296" t="s">
        <v>109</v>
      </c>
      <c r="H28" s="296" t="s">
        <v>109</v>
      </c>
      <c r="I28" s="296" t="s">
        <v>109</v>
      </c>
      <c r="J28" s="296" t="s">
        <v>109</v>
      </c>
      <c r="K28" s="296" t="s">
        <v>109</v>
      </c>
      <c r="L28" s="296" t="s">
        <v>109</v>
      </c>
      <c r="M28" s="297" t="s">
        <v>109</v>
      </c>
      <c r="N28" s="298">
        <v>1.2200000000000001E-2</v>
      </c>
      <c r="O28" s="299">
        <v>7.0699999999999999E-2</v>
      </c>
      <c r="P28" s="300">
        <v>4.3086284999999993</v>
      </c>
      <c r="Q28" s="300">
        <v>10</v>
      </c>
    </row>
    <row r="29" spans="1:19" ht="15">
      <c r="A29" s="156" t="s">
        <v>125</v>
      </c>
      <c r="B29" s="295" t="s">
        <v>109</v>
      </c>
      <c r="C29" s="296" t="s">
        <v>109</v>
      </c>
      <c r="D29" s="296" t="s">
        <v>109</v>
      </c>
      <c r="E29" s="296" t="s">
        <v>109</v>
      </c>
      <c r="F29" s="296">
        <v>40.669999999999995</v>
      </c>
      <c r="G29" s="296">
        <v>91.65</v>
      </c>
      <c r="H29" s="296">
        <v>105.25</v>
      </c>
      <c r="I29" s="296">
        <v>172.13999999999996</v>
      </c>
      <c r="J29" s="296" t="s">
        <v>109</v>
      </c>
      <c r="K29" s="296">
        <v>147.67000000000002</v>
      </c>
      <c r="L29" s="296">
        <v>185.65</v>
      </c>
      <c r="M29" s="297" t="s">
        <v>109</v>
      </c>
      <c r="N29" s="310" t="s">
        <v>109</v>
      </c>
      <c r="O29" s="311" t="s">
        <v>109</v>
      </c>
      <c r="P29" s="300">
        <v>5.8803822000000006</v>
      </c>
      <c r="Q29" s="300">
        <v>10</v>
      </c>
    </row>
    <row r="30" spans="1:19" ht="15">
      <c r="A30" s="156" t="s">
        <v>126</v>
      </c>
      <c r="B30" s="301">
        <v>11.25</v>
      </c>
      <c r="C30" s="302">
        <v>15.51</v>
      </c>
      <c r="D30" s="302">
        <v>16.73</v>
      </c>
      <c r="E30" s="302">
        <v>13.99</v>
      </c>
      <c r="F30" s="302">
        <v>17.95</v>
      </c>
      <c r="G30" s="302">
        <v>39.22</v>
      </c>
      <c r="H30" s="302">
        <v>45.250000000000007</v>
      </c>
      <c r="I30" s="302">
        <v>73.7</v>
      </c>
      <c r="J30" s="302">
        <v>45.600000000000009</v>
      </c>
      <c r="K30" s="302">
        <v>58.53</v>
      </c>
      <c r="L30" s="302">
        <v>75.77</v>
      </c>
      <c r="M30" s="303">
        <v>34.78</v>
      </c>
      <c r="N30" s="304">
        <v>7.0000000000000001E-3</v>
      </c>
      <c r="O30" s="305">
        <v>4.0599999999999997E-2</v>
      </c>
      <c r="P30" s="306">
        <v>2.7885</v>
      </c>
      <c r="Q30" s="307">
        <v>10</v>
      </c>
      <c r="R30" s="152"/>
      <c r="S30" s="152"/>
    </row>
    <row r="31" spans="1:19" ht="15" customHeight="1">
      <c r="A31" s="156" t="s">
        <v>127</v>
      </c>
      <c r="B31" s="312">
        <v>1620</v>
      </c>
      <c r="C31" s="313">
        <v>2210</v>
      </c>
      <c r="D31" s="313" t="s">
        <v>109</v>
      </c>
      <c r="E31" s="313" t="s">
        <v>109</v>
      </c>
      <c r="F31" s="313">
        <v>2530</v>
      </c>
      <c r="G31" s="313">
        <v>5550</v>
      </c>
      <c r="H31" s="313">
        <v>6400</v>
      </c>
      <c r="I31" s="313">
        <v>10400</v>
      </c>
      <c r="J31" s="313">
        <v>6450</v>
      </c>
      <c r="K31" s="313">
        <v>8270</v>
      </c>
      <c r="L31" s="313">
        <v>10690</v>
      </c>
      <c r="M31" s="314">
        <v>4920</v>
      </c>
      <c r="N31" s="315">
        <v>1</v>
      </c>
      <c r="O31" s="316">
        <v>7</v>
      </c>
      <c r="P31" s="317">
        <v>392.04</v>
      </c>
      <c r="Q31" s="317">
        <v>1200</v>
      </c>
    </row>
    <row r="32" spans="1:19" ht="15">
      <c r="A32" s="156" t="s">
        <v>274</v>
      </c>
      <c r="B32" s="301">
        <v>24.569999999999997</v>
      </c>
      <c r="C32" s="302">
        <v>34.320000000000007</v>
      </c>
      <c r="D32" s="302">
        <v>33.33</v>
      </c>
      <c r="E32" s="302">
        <v>32.04</v>
      </c>
      <c r="F32" s="302">
        <v>38.1</v>
      </c>
      <c r="G32" s="302">
        <v>95.03</v>
      </c>
      <c r="H32" s="302">
        <v>110.14000000000001</v>
      </c>
      <c r="I32" s="302">
        <v>185.02999999999997</v>
      </c>
      <c r="J32" s="302">
        <v>113.89000000000001</v>
      </c>
      <c r="K32" s="302">
        <v>145.49</v>
      </c>
      <c r="L32" s="302">
        <v>194.03</v>
      </c>
      <c r="M32" s="303">
        <v>78.209999999999994</v>
      </c>
      <c r="N32" s="308">
        <v>1.2E-2</v>
      </c>
      <c r="O32" s="309">
        <v>6.9000000000000006E-2</v>
      </c>
      <c r="P32" s="306">
        <v>5.7749999999999995</v>
      </c>
      <c r="Q32" s="307">
        <v>10</v>
      </c>
    </row>
    <row r="33" spans="1:19" ht="15">
      <c r="A33" s="156" t="s">
        <v>276</v>
      </c>
      <c r="B33" s="295">
        <v>13.12</v>
      </c>
      <c r="C33" s="296">
        <v>18.079999999999998</v>
      </c>
      <c r="D33" s="296" t="s">
        <v>109</v>
      </c>
      <c r="E33" s="296">
        <v>16.3</v>
      </c>
      <c r="F33" s="296">
        <v>20.91</v>
      </c>
      <c r="G33" s="296">
        <v>45.7</v>
      </c>
      <c r="H33" s="296">
        <v>52.72999999999999</v>
      </c>
      <c r="I33" s="296">
        <v>85.86</v>
      </c>
      <c r="J33" s="296">
        <v>53.11999999999999</v>
      </c>
      <c r="K33" s="296">
        <v>68.19</v>
      </c>
      <c r="L33" s="296">
        <v>88.27</v>
      </c>
      <c r="M33" s="297">
        <v>40.529999999999994</v>
      </c>
      <c r="N33" s="298">
        <v>1.7500000000000002E-2</v>
      </c>
      <c r="O33" s="299">
        <v>7.5499999999999998E-2</v>
      </c>
      <c r="P33" s="300">
        <v>3.4650000000000003</v>
      </c>
      <c r="Q33" s="300">
        <v>10</v>
      </c>
    </row>
    <row r="34" spans="1:19" ht="15">
      <c r="A34" s="156" t="s">
        <v>128</v>
      </c>
      <c r="B34" s="301">
        <v>11.25</v>
      </c>
      <c r="C34" s="302">
        <v>15.51</v>
      </c>
      <c r="D34" s="302">
        <v>16.73</v>
      </c>
      <c r="E34" s="302">
        <v>13.99</v>
      </c>
      <c r="F34" s="302">
        <v>17.95</v>
      </c>
      <c r="G34" s="302">
        <v>39.22</v>
      </c>
      <c r="H34" s="302">
        <v>45.250000000000007</v>
      </c>
      <c r="I34" s="302">
        <v>73.7</v>
      </c>
      <c r="J34" s="302">
        <v>45.600000000000009</v>
      </c>
      <c r="K34" s="302">
        <v>58.53</v>
      </c>
      <c r="L34" s="302">
        <v>75.77</v>
      </c>
      <c r="M34" s="303">
        <v>34.78</v>
      </c>
      <c r="N34" s="304">
        <v>6.6499999999999997E-3</v>
      </c>
      <c r="O34" s="305">
        <v>3.8569999999999993E-2</v>
      </c>
      <c r="P34" s="306">
        <v>2.7885</v>
      </c>
      <c r="Q34" s="307">
        <v>10</v>
      </c>
      <c r="R34" s="152"/>
      <c r="S34" s="152"/>
    </row>
    <row r="35" spans="1:19" ht="15">
      <c r="A35" s="156" t="s">
        <v>129</v>
      </c>
      <c r="B35" s="295">
        <v>14.5</v>
      </c>
      <c r="C35" s="296">
        <v>19.979999999999997</v>
      </c>
      <c r="D35" s="296" t="s">
        <v>109</v>
      </c>
      <c r="E35" s="296">
        <v>18.020000000000003</v>
      </c>
      <c r="F35" s="296">
        <v>23.099999999999998</v>
      </c>
      <c r="G35" s="296">
        <v>50.47</v>
      </c>
      <c r="H35" s="296">
        <v>58.239999999999995</v>
      </c>
      <c r="I35" s="296">
        <v>94.850000000000009</v>
      </c>
      <c r="J35" s="296">
        <v>58.68</v>
      </c>
      <c r="K35" s="296">
        <v>75.319999999999993</v>
      </c>
      <c r="L35" s="296">
        <v>97.51</v>
      </c>
      <c r="M35" s="297">
        <v>44.77</v>
      </c>
      <c r="N35" s="298">
        <v>1.2200000000000001E-2</v>
      </c>
      <c r="O35" s="299">
        <v>7.0699999999999999E-2</v>
      </c>
      <c r="P35" s="300">
        <v>3.5889353132835327</v>
      </c>
      <c r="Q35" s="300">
        <v>10</v>
      </c>
    </row>
    <row r="36" spans="1:19" ht="15">
      <c r="A36" s="156" t="s">
        <v>130</v>
      </c>
      <c r="B36" s="295">
        <v>16.810000000000002</v>
      </c>
      <c r="C36" s="296">
        <v>23.040000000000003</v>
      </c>
      <c r="D36" s="296" t="s">
        <v>109</v>
      </c>
      <c r="E36" s="296">
        <v>20.85</v>
      </c>
      <c r="F36" s="296">
        <v>25.45</v>
      </c>
      <c r="G36" s="296">
        <v>56.75</v>
      </c>
      <c r="H36" s="296">
        <v>66.25</v>
      </c>
      <c r="I36" s="296">
        <v>107.11999999999999</v>
      </c>
      <c r="J36" s="296">
        <v>68.900000000000006</v>
      </c>
      <c r="K36" s="296">
        <v>87.33</v>
      </c>
      <c r="L36" s="296">
        <v>111.85999999999999</v>
      </c>
      <c r="M36" s="297">
        <v>49.83</v>
      </c>
      <c r="N36" s="298">
        <v>9.1999999999999998E-3</v>
      </c>
      <c r="O36" s="299">
        <v>5.2400000000000002E-2</v>
      </c>
      <c r="P36" s="300">
        <v>3.6273402000000003</v>
      </c>
      <c r="Q36" s="300">
        <v>10</v>
      </c>
    </row>
    <row r="37" spans="1:19" ht="15">
      <c r="A37" s="156" t="s">
        <v>131</v>
      </c>
      <c r="B37" s="301">
        <v>11.25</v>
      </c>
      <c r="C37" s="302">
        <v>15.51</v>
      </c>
      <c r="D37" s="302">
        <v>16.73</v>
      </c>
      <c r="E37" s="302">
        <v>13.99</v>
      </c>
      <c r="F37" s="302">
        <v>17.95</v>
      </c>
      <c r="G37" s="302">
        <v>39.22</v>
      </c>
      <c r="H37" s="302">
        <v>45.250000000000007</v>
      </c>
      <c r="I37" s="302">
        <v>73.7</v>
      </c>
      <c r="J37" s="302">
        <v>45.600000000000009</v>
      </c>
      <c r="K37" s="302">
        <v>58.53</v>
      </c>
      <c r="L37" s="302">
        <v>75.77</v>
      </c>
      <c r="M37" s="303">
        <v>34.78</v>
      </c>
      <c r="N37" s="304">
        <v>6.6499999999999997E-3</v>
      </c>
      <c r="O37" s="305">
        <v>3.8569999999999993E-2</v>
      </c>
      <c r="P37" s="306">
        <v>2.7885</v>
      </c>
      <c r="Q37" s="307">
        <v>10</v>
      </c>
      <c r="R37" s="152"/>
      <c r="S37" s="152"/>
    </row>
    <row r="38" spans="1:19" ht="15">
      <c r="A38" s="156" t="s">
        <v>132</v>
      </c>
      <c r="B38" s="295">
        <v>14.91</v>
      </c>
      <c r="C38" s="296">
        <v>20.49</v>
      </c>
      <c r="D38" s="296" t="s">
        <v>109</v>
      </c>
      <c r="E38" s="296">
        <v>18.54</v>
      </c>
      <c r="F38" s="296">
        <v>23.65</v>
      </c>
      <c r="G38" s="296" t="s">
        <v>109</v>
      </c>
      <c r="H38" s="296">
        <v>59.88</v>
      </c>
      <c r="I38" s="296">
        <v>97.109999999999985</v>
      </c>
      <c r="J38" s="296">
        <v>60.59</v>
      </c>
      <c r="K38" s="296">
        <v>77.819999999999993</v>
      </c>
      <c r="L38" s="296">
        <v>100.37999999999998</v>
      </c>
      <c r="M38" s="297">
        <v>46.07</v>
      </c>
      <c r="N38" s="298">
        <v>1.2200000000000001E-2</v>
      </c>
      <c r="O38" s="299">
        <v>7.0699999999999999E-2</v>
      </c>
      <c r="P38" s="300">
        <v>3.6677024999999999</v>
      </c>
      <c r="Q38" s="300">
        <v>10</v>
      </c>
    </row>
    <row r="39" spans="1:19" ht="15">
      <c r="A39" s="156" t="s">
        <v>133</v>
      </c>
      <c r="B39" s="301" t="s">
        <v>109</v>
      </c>
      <c r="C39" s="302" t="s">
        <v>109</v>
      </c>
      <c r="D39" s="302" t="s">
        <v>109</v>
      </c>
      <c r="E39" s="302" t="s">
        <v>109</v>
      </c>
      <c r="F39" s="302" t="s">
        <v>109</v>
      </c>
      <c r="G39" s="302" t="s">
        <v>109</v>
      </c>
      <c r="H39" s="302" t="s">
        <v>109</v>
      </c>
      <c r="I39" s="302" t="s">
        <v>109</v>
      </c>
      <c r="J39" s="302" t="s">
        <v>109</v>
      </c>
      <c r="K39" s="302" t="s">
        <v>109</v>
      </c>
      <c r="L39" s="302" t="s">
        <v>109</v>
      </c>
      <c r="M39" s="303" t="s">
        <v>109</v>
      </c>
      <c r="N39" s="308">
        <v>1.2200000000000001E-2</v>
      </c>
      <c r="O39" s="309">
        <v>6.3700000000000007E-2</v>
      </c>
      <c r="P39" s="306" t="s">
        <v>109</v>
      </c>
      <c r="Q39" s="307">
        <v>10</v>
      </c>
    </row>
    <row r="40" spans="1:19" ht="15">
      <c r="A40" s="156" t="s">
        <v>134</v>
      </c>
      <c r="B40" s="295">
        <v>19.440000000000001</v>
      </c>
      <c r="C40" s="296">
        <v>27.450000000000003</v>
      </c>
      <c r="D40" s="296" t="s">
        <v>109</v>
      </c>
      <c r="E40" s="296">
        <v>24.87</v>
      </c>
      <c r="F40" s="296">
        <v>29.09</v>
      </c>
      <c r="G40" s="296">
        <v>66.599999999999994</v>
      </c>
      <c r="H40" s="296">
        <v>78.710000000000008</v>
      </c>
      <c r="I40" s="296">
        <v>128.5</v>
      </c>
      <c r="J40" s="296">
        <v>84.470000000000013</v>
      </c>
      <c r="K40" s="296">
        <v>106.95</v>
      </c>
      <c r="L40" s="296">
        <v>135.54999999999998</v>
      </c>
      <c r="M40" s="297">
        <v>58.410000000000004</v>
      </c>
      <c r="N40" s="298">
        <v>1.58125E-2</v>
      </c>
      <c r="O40" s="299">
        <v>8.3489999999999995E-2</v>
      </c>
      <c r="P40" s="300">
        <v>4.3963919999999996</v>
      </c>
      <c r="Q40" s="300">
        <v>10</v>
      </c>
    </row>
    <row r="41" spans="1:19" ht="15">
      <c r="A41" s="156" t="s">
        <v>135</v>
      </c>
      <c r="B41" s="295" t="s">
        <v>109</v>
      </c>
      <c r="C41" s="296" t="s">
        <v>109</v>
      </c>
      <c r="D41" s="296" t="s">
        <v>109</v>
      </c>
      <c r="E41" s="296" t="s">
        <v>109</v>
      </c>
      <c r="F41" s="296" t="s">
        <v>109</v>
      </c>
      <c r="G41" s="296" t="s">
        <v>109</v>
      </c>
      <c r="H41" s="296" t="s">
        <v>109</v>
      </c>
      <c r="I41" s="296" t="s">
        <v>109</v>
      </c>
      <c r="J41" s="296" t="s">
        <v>109</v>
      </c>
      <c r="K41" s="296" t="s">
        <v>109</v>
      </c>
      <c r="L41" s="296" t="s">
        <v>109</v>
      </c>
      <c r="M41" s="297" t="s">
        <v>109</v>
      </c>
      <c r="N41" s="298" t="s">
        <v>109</v>
      </c>
      <c r="O41" s="299" t="s">
        <v>109</v>
      </c>
      <c r="P41" s="300">
        <v>3.4858889999999998</v>
      </c>
      <c r="Q41" s="300">
        <v>10</v>
      </c>
    </row>
    <row r="42" spans="1:19" ht="15">
      <c r="A42" s="156" t="s">
        <v>136</v>
      </c>
      <c r="B42" s="295">
        <v>15.7</v>
      </c>
      <c r="C42" s="296" t="s">
        <v>109</v>
      </c>
      <c r="D42" s="296" t="s">
        <v>109</v>
      </c>
      <c r="E42" s="296">
        <v>19.53</v>
      </c>
      <c r="F42" s="296">
        <v>24.91</v>
      </c>
      <c r="G42" s="296">
        <v>54.58</v>
      </c>
      <c r="H42" s="296">
        <v>63.040000000000006</v>
      </c>
      <c r="I42" s="296">
        <v>102.24</v>
      </c>
      <c r="J42" s="296">
        <v>63.780000000000008</v>
      </c>
      <c r="K42" s="296">
        <v>81.93</v>
      </c>
      <c r="L42" s="296">
        <v>105.67999999999998</v>
      </c>
      <c r="M42" s="297">
        <v>48.52</v>
      </c>
      <c r="N42" s="298">
        <v>1.2200000000000001E-2</v>
      </c>
      <c r="O42" s="299">
        <v>7.0699999999999999E-2</v>
      </c>
      <c r="P42" s="300">
        <v>3.8619734999999999</v>
      </c>
      <c r="Q42" s="300">
        <v>10</v>
      </c>
    </row>
    <row r="43" spans="1:19" ht="15">
      <c r="A43" s="156" t="s">
        <v>137</v>
      </c>
      <c r="B43" s="301">
        <v>11.25</v>
      </c>
      <c r="C43" s="302">
        <v>15.51</v>
      </c>
      <c r="D43" s="302">
        <v>16.73</v>
      </c>
      <c r="E43" s="302">
        <v>13.99</v>
      </c>
      <c r="F43" s="302">
        <v>17.95</v>
      </c>
      <c r="G43" s="302">
        <v>39.22</v>
      </c>
      <c r="H43" s="302">
        <v>45.250000000000007</v>
      </c>
      <c r="I43" s="302">
        <v>73.7</v>
      </c>
      <c r="J43" s="302">
        <v>45.600000000000009</v>
      </c>
      <c r="K43" s="302">
        <v>58.53</v>
      </c>
      <c r="L43" s="302">
        <v>75.77</v>
      </c>
      <c r="M43" s="303">
        <v>34.78</v>
      </c>
      <c r="N43" s="304">
        <v>7.0000000000000001E-3</v>
      </c>
      <c r="O43" s="305">
        <v>4.0599999999999997E-2</v>
      </c>
      <c r="P43" s="306">
        <v>2.7885</v>
      </c>
      <c r="Q43" s="307">
        <v>10</v>
      </c>
      <c r="R43" s="152"/>
      <c r="S43" s="152"/>
    </row>
    <row r="44" spans="1:19" ht="15">
      <c r="A44" s="156" t="s">
        <v>138</v>
      </c>
      <c r="B44" s="295">
        <v>17.520000000000003</v>
      </c>
      <c r="C44" s="296">
        <v>23.67</v>
      </c>
      <c r="D44" s="296" t="s">
        <v>109</v>
      </c>
      <c r="E44" s="296">
        <v>21.419999999999998</v>
      </c>
      <c r="F44" s="296">
        <v>26.529999999999998</v>
      </c>
      <c r="G44" s="296">
        <v>58.749999999999993</v>
      </c>
      <c r="H44" s="296">
        <v>68.289999999999992</v>
      </c>
      <c r="I44" s="296">
        <v>110.04000000000002</v>
      </c>
      <c r="J44" s="296">
        <v>70.289999999999992</v>
      </c>
      <c r="K44" s="296">
        <v>89.100000000000009</v>
      </c>
      <c r="L44" s="296">
        <v>114.50000000000001</v>
      </c>
      <c r="M44" s="297">
        <v>51.53</v>
      </c>
      <c r="N44" s="298">
        <v>0.01</v>
      </c>
      <c r="O44" s="299">
        <v>5.7700000000000001E-2</v>
      </c>
      <c r="P44" s="300">
        <v>3.8329500000000003</v>
      </c>
      <c r="Q44" s="300">
        <v>10</v>
      </c>
    </row>
    <row r="45" spans="1:19" ht="12.75" customHeight="1">
      <c r="A45" s="156" t="s">
        <v>139</v>
      </c>
      <c r="B45" s="301">
        <v>14.540000000000001</v>
      </c>
      <c r="C45" s="302">
        <v>20.089999999999996</v>
      </c>
      <c r="D45" s="302">
        <v>21.549999999999997</v>
      </c>
      <c r="E45" s="302">
        <v>18.089999999999996</v>
      </c>
      <c r="F45" s="302">
        <v>23.139999999999997</v>
      </c>
      <c r="G45" s="302">
        <v>51.65</v>
      </c>
      <c r="H45" s="302">
        <v>59.63</v>
      </c>
      <c r="I45" s="302">
        <v>97.25</v>
      </c>
      <c r="J45" s="302">
        <v>60.09</v>
      </c>
      <c r="K45" s="302">
        <v>77.19</v>
      </c>
      <c r="L45" s="302">
        <v>99.99</v>
      </c>
      <c r="M45" s="303">
        <v>45.17</v>
      </c>
      <c r="N45" s="308">
        <v>9.1999999999999998E-3</v>
      </c>
      <c r="O45" s="309">
        <v>4.8000000000000001E-2</v>
      </c>
      <c r="P45" s="306">
        <v>3.6300000000000008</v>
      </c>
      <c r="Q45" s="307">
        <v>10</v>
      </c>
    </row>
    <row r="46" spans="1:19" ht="15">
      <c r="A46" s="156" t="s">
        <v>140</v>
      </c>
      <c r="B46" s="301">
        <v>17.090000000000003</v>
      </c>
      <c r="C46" s="302">
        <v>23.66</v>
      </c>
      <c r="D46" s="302">
        <v>24.630000000000003</v>
      </c>
      <c r="E46" s="302">
        <v>21.56</v>
      </c>
      <c r="F46" s="302">
        <v>26.93</v>
      </c>
      <c r="G46" s="302">
        <v>62.139999999999993</v>
      </c>
      <c r="H46" s="302">
        <v>71.8</v>
      </c>
      <c r="I46" s="302">
        <v>118.21000000000001</v>
      </c>
      <c r="J46" s="302">
        <v>72.97999999999999</v>
      </c>
      <c r="K46" s="302">
        <v>93.56</v>
      </c>
      <c r="L46" s="302">
        <v>122.33000000000001</v>
      </c>
      <c r="M46" s="303">
        <v>53.350000000000009</v>
      </c>
      <c r="N46" s="308">
        <v>1.0699999999999999E-2</v>
      </c>
      <c r="O46" s="309">
        <v>6.7699999999999996E-2</v>
      </c>
      <c r="P46" s="306">
        <v>4.1788999999999996</v>
      </c>
      <c r="Q46" s="307">
        <v>10</v>
      </c>
    </row>
    <row r="47" spans="1:19" ht="15">
      <c r="A47" s="156" t="s">
        <v>279</v>
      </c>
      <c r="B47" s="301">
        <v>21.11</v>
      </c>
      <c r="C47" s="302">
        <v>29.37</v>
      </c>
      <c r="D47" s="302">
        <v>29.48</v>
      </c>
      <c r="E47" s="302">
        <v>27.13</v>
      </c>
      <c r="F47" s="302">
        <v>33</v>
      </c>
      <c r="G47" s="302">
        <v>79.209999999999994</v>
      </c>
      <c r="H47" s="302">
        <v>91.669999999999987</v>
      </c>
      <c r="I47" s="302">
        <v>152.60999999999999</v>
      </c>
      <c r="J47" s="302">
        <v>94.050000000000011</v>
      </c>
      <c r="K47" s="302">
        <v>120.31</v>
      </c>
      <c r="L47" s="302">
        <v>159.09999999999997</v>
      </c>
      <c r="M47" s="303">
        <v>66.569999999999993</v>
      </c>
      <c r="N47" s="308">
        <v>1.1174166666666667E-2</v>
      </c>
      <c r="O47" s="309">
        <v>6.1247083333333341E-2</v>
      </c>
      <c r="P47" s="306">
        <v>5.0462500000000006</v>
      </c>
      <c r="Q47" s="307">
        <v>10</v>
      </c>
    </row>
    <row r="48" spans="1:19" ht="15">
      <c r="A48" s="156" t="s">
        <v>141</v>
      </c>
      <c r="B48" s="295">
        <v>12.610000000000001</v>
      </c>
      <c r="C48" s="296">
        <v>17.380000000000003</v>
      </c>
      <c r="D48" s="296" t="s">
        <v>109</v>
      </c>
      <c r="E48" s="296">
        <v>15.67</v>
      </c>
      <c r="F48" s="296" t="s">
        <v>109</v>
      </c>
      <c r="G48" s="296">
        <v>43.91</v>
      </c>
      <c r="H48" s="296">
        <v>50.660000000000004</v>
      </c>
      <c r="I48" s="296">
        <v>82.499999999999986</v>
      </c>
      <c r="J48" s="296">
        <v>51.05</v>
      </c>
      <c r="K48" s="296">
        <v>65.53</v>
      </c>
      <c r="L48" s="296">
        <v>84.83</v>
      </c>
      <c r="M48" s="297">
        <v>38.949999999999996</v>
      </c>
      <c r="N48" s="298">
        <v>1.2200000000000001E-2</v>
      </c>
      <c r="O48" s="299">
        <v>0.1061</v>
      </c>
      <c r="P48" s="300">
        <v>3.1217999999999999</v>
      </c>
      <c r="Q48" s="300">
        <v>10</v>
      </c>
    </row>
    <row r="49" spans="1:19" ht="15">
      <c r="A49" s="156" t="s">
        <v>278</v>
      </c>
      <c r="B49" s="301">
        <v>11.25</v>
      </c>
      <c r="C49" s="302">
        <v>15.51</v>
      </c>
      <c r="D49" s="302">
        <v>16.73</v>
      </c>
      <c r="E49" s="302">
        <v>13.99</v>
      </c>
      <c r="F49" s="302">
        <v>17.95</v>
      </c>
      <c r="G49" s="302">
        <v>39.22</v>
      </c>
      <c r="H49" s="302">
        <v>45.250000000000007</v>
      </c>
      <c r="I49" s="302">
        <v>73.7</v>
      </c>
      <c r="J49" s="302">
        <v>45.600000000000009</v>
      </c>
      <c r="K49" s="302">
        <v>58.53</v>
      </c>
      <c r="L49" s="302">
        <v>75.77</v>
      </c>
      <c r="M49" s="303">
        <v>34.78</v>
      </c>
      <c r="N49" s="304">
        <v>8.8549999999999983E-3</v>
      </c>
      <c r="O49" s="305">
        <v>5.4166666666666669E-2</v>
      </c>
      <c r="P49" s="306">
        <v>2.7885</v>
      </c>
      <c r="Q49" s="307">
        <v>10</v>
      </c>
      <c r="R49" s="152"/>
      <c r="S49" s="152"/>
    </row>
    <row r="50" spans="1:19" ht="15">
      <c r="A50" s="156" t="s">
        <v>282</v>
      </c>
      <c r="B50" s="301">
        <v>17.79</v>
      </c>
      <c r="C50" s="302">
        <v>24.569999999999997</v>
      </c>
      <c r="D50" s="302">
        <v>26.37</v>
      </c>
      <c r="E50" s="302">
        <v>22.139999999999997</v>
      </c>
      <c r="F50" s="302">
        <v>28.310000000000002</v>
      </c>
      <c r="G50" s="302">
        <v>63.18</v>
      </c>
      <c r="H50" s="302">
        <v>72.94</v>
      </c>
      <c r="I50" s="302">
        <v>118.96</v>
      </c>
      <c r="J50" s="302">
        <v>73.489999999999995</v>
      </c>
      <c r="K50" s="302">
        <v>94.41</v>
      </c>
      <c r="L50" s="302">
        <v>122.30000000000001</v>
      </c>
      <c r="M50" s="303">
        <v>55.25</v>
      </c>
      <c r="N50" s="308">
        <v>8.0116666666666687E-3</v>
      </c>
      <c r="O50" s="309">
        <v>4.532916666666667E-2</v>
      </c>
      <c r="P50" s="306">
        <v>4.4407000000000014</v>
      </c>
      <c r="Q50" s="307">
        <v>10</v>
      </c>
    </row>
    <row r="51" spans="1:19" ht="15">
      <c r="A51" s="156" t="s">
        <v>142</v>
      </c>
      <c r="B51" s="301">
        <v>14.139999999999999</v>
      </c>
      <c r="C51" s="302">
        <v>19.540000000000003</v>
      </c>
      <c r="D51" s="302">
        <v>20.96</v>
      </c>
      <c r="E51" s="302">
        <v>17.599999999999998</v>
      </c>
      <c r="F51" s="302">
        <v>22.5</v>
      </c>
      <c r="G51" s="302">
        <v>50.220000000000006</v>
      </c>
      <c r="H51" s="302">
        <v>57.980000000000004</v>
      </c>
      <c r="I51" s="302">
        <v>94.559999999999988</v>
      </c>
      <c r="J51" s="302">
        <v>58.43</v>
      </c>
      <c r="K51" s="302">
        <v>75.059999999999988</v>
      </c>
      <c r="L51" s="302">
        <v>97.22999999999999</v>
      </c>
      <c r="M51" s="303">
        <v>43.92</v>
      </c>
      <c r="N51" s="308">
        <v>8.9999999999999993E-3</v>
      </c>
      <c r="O51" s="309">
        <v>0.06</v>
      </c>
      <c r="P51" s="306">
        <v>3.5301750000000007</v>
      </c>
      <c r="Q51" s="307">
        <v>10</v>
      </c>
    </row>
    <row r="52" spans="1:19" ht="15">
      <c r="A52" s="156" t="s">
        <v>143</v>
      </c>
      <c r="B52" s="301">
        <v>11.25</v>
      </c>
      <c r="C52" s="302">
        <v>15.51</v>
      </c>
      <c r="D52" s="302">
        <v>16.73</v>
      </c>
      <c r="E52" s="302">
        <v>13.99</v>
      </c>
      <c r="F52" s="302">
        <v>17.95</v>
      </c>
      <c r="G52" s="302">
        <v>39.22</v>
      </c>
      <c r="H52" s="302">
        <v>45.250000000000007</v>
      </c>
      <c r="I52" s="302">
        <v>73.7</v>
      </c>
      <c r="J52" s="302">
        <v>45.600000000000009</v>
      </c>
      <c r="K52" s="302">
        <v>58.53</v>
      </c>
      <c r="L52" s="302">
        <v>75.77</v>
      </c>
      <c r="M52" s="303">
        <v>34.78</v>
      </c>
      <c r="N52" s="304">
        <v>7.0000000000000001E-3</v>
      </c>
      <c r="O52" s="305">
        <v>4.0599999999999997E-2</v>
      </c>
      <c r="P52" s="306">
        <v>2.7885</v>
      </c>
      <c r="Q52" s="307">
        <v>10</v>
      </c>
      <c r="R52" s="152"/>
      <c r="S52" s="152"/>
    </row>
    <row r="53" spans="1:19" ht="15">
      <c r="A53" s="156" t="s">
        <v>144</v>
      </c>
      <c r="B53" s="301">
        <v>11.25</v>
      </c>
      <c r="C53" s="302">
        <v>15.51</v>
      </c>
      <c r="D53" s="302">
        <v>16.73</v>
      </c>
      <c r="E53" s="302">
        <v>13.99</v>
      </c>
      <c r="F53" s="302">
        <v>17.95</v>
      </c>
      <c r="G53" s="302">
        <v>39.22</v>
      </c>
      <c r="H53" s="302">
        <v>45.250000000000007</v>
      </c>
      <c r="I53" s="302">
        <v>73.7</v>
      </c>
      <c r="J53" s="302">
        <v>45.600000000000009</v>
      </c>
      <c r="K53" s="302">
        <v>58.53</v>
      </c>
      <c r="L53" s="302">
        <v>75.77</v>
      </c>
      <c r="M53" s="303">
        <v>34.78</v>
      </c>
      <c r="N53" s="304">
        <v>7.0000000000000001E-3</v>
      </c>
      <c r="O53" s="305">
        <v>4.0599999999999997E-2</v>
      </c>
      <c r="P53" s="306">
        <v>2.7885</v>
      </c>
      <c r="Q53" s="307">
        <v>10</v>
      </c>
      <c r="R53" s="152"/>
      <c r="S53" s="152"/>
    </row>
    <row r="54" spans="1:19" ht="15">
      <c r="A54" s="156" t="s">
        <v>145</v>
      </c>
      <c r="B54" s="301">
        <v>11.25</v>
      </c>
      <c r="C54" s="302">
        <v>15.51</v>
      </c>
      <c r="D54" s="302">
        <v>16.73</v>
      </c>
      <c r="E54" s="302">
        <v>13.99</v>
      </c>
      <c r="F54" s="302">
        <v>17.95</v>
      </c>
      <c r="G54" s="302">
        <v>39.22</v>
      </c>
      <c r="H54" s="302">
        <v>45.250000000000007</v>
      </c>
      <c r="I54" s="302">
        <v>73.7</v>
      </c>
      <c r="J54" s="302">
        <v>45.600000000000009</v>
      </c>
      <c r="K54" s="302">
        <v>58.53</v>
      </c>
      <c r="L54" s="302">
        <v>75.77</v>
      </c>
      <c r="M54" s="303">
        <v>34.78</v>
      </c>
      <c r="N54" s="304">
        <v>7.0000000000000001E-3</v>
      </c>
      <c r="O54" s="305">
        <v>4.0599999999999997E-2</v>
      </c>
      <c r="P54" s="306">
        <v>2.7885</v>
      </c>
      <c r="Q54" s="307">
        <v>10</v>
      </c>
      <c r="R54" s="152"/>
      <c r="S54" s="152"/>
    </row>
    <row r="55" spans="1:19" ht="15">
      <c r="A55" s="156" t="s">
        <v>146</v>
      </c>
      <c r="B55" s="295" t="s">
        <v>109</v>
      </c>
      <c r="C55" s="296">
        <v>21.760000000000005</v>
      </c>
      <c r="D55" s="296" t="s">
        <v>109</v>
      </c>
      <c r="E55" s="296" t="s">
        <v>109</v>
      </c>
      <c r="F55" s="296" t="s">
        <v>109</v>
      </c>
      <c r="G55" s="296">
        <v>54.980000000000004</v>
      </c>
      <c r="H55" s="296">
        <v>63.44</v>
      </c>
      <c r="I55" s="296">
        <v>103.33</v>
      </c>
      <c r="J55" s="296">
        <v>63.93</v>
      </c>
      <c r="K55" s="296">
        <v>82.06</v>
      </c>
      <c r="L55" s="296">
        <v>106.23000000000002</v>
      </c>
      <c r="M55" s="297">
        <v>48.78</v>
      </c>
      <c r="N55" s="298">
        <v>1.2200000000000001E-2</v>
      </c>
      <c r="O55" s="299">
        <v>7.0699999999999999E-2</v>
      </c>
      <c r="P55" s="300">
        <v>3.4121999999999999</v>
      </c>
      <c r="Q55" s="300">
        <v>10</v>
      </c>
    </row>
    <row r="56" spans="1:19" ht="15">
      <c r="A56" s="156" t="s">
        <v>147</v>
      </c>
      <c r="B56" s="295">
        <v>14.169999999999998</v>
      </c>
      <c r="C56" s="296">
        <v>19.52</v>
      </c>
      <c r="D56" s="296" t="s">
        <v>109</v>
      </c>
      <c r="E56" s="296">
        <v>17.600000000000001</v>
      </c>
      <c r="F56" s="296">
        <v>22.57</v>
      </c>
      <c r="G56" s="296">
        <v>49.320000000000007</v>
      </c>
      <c r="H56" s="296">
        <v>56.900000000000006</v>
      </c>
      <c r="I56" s="296">
        <v>92.669999999999987</v>
      </c>
      <c r="J56" s="296">
        <v>57.339999999999996</v>
      </c>
      <c r="K56" s="296">
        <v>73.589999999999975</v>
      </c>
      <c r="L56" s="296">
        <v>95.269999999999982</v>
      </c>
      <c r="M56" s="297">
        <v>43.74</v>
      </c>
      <c r="N56" s="298">
        <v>1.2200000000000001E-2</v>
      </c>
      <c r="O56" s="299">
        <v>7.0699999999999999E-2</v>
      </c>
      <c r="P56" s="300">
        <v>3.5062500000000001</v>
      </c>
      <c r="Q56" s="300">
        <v>10</v>
      </c>
    </row>
    <row r="57" spans="1:19" ht="15">
      <c r="A57" s="318" t="s">
        <v>148</v>
      </c>
      <c r="B57" s="301">
        <v>15.8</v>
      </c>
      <c r="C57" s="302">
        <v>21.73</v>
      </c>
      <c r="D57" s="302">
        <v>23.38</v>
      </c>
      <c r="E57" s="302">
        <v>19.59</v>
      </c>
      <c r="F57" s="302">
        <v>25.07</v>
      </c>
      <c r="G57" s="302">
        <v>55.15</v>
      </c>
      <c r="H57" s="302">
        <v>63.64</v>
      </c>
      <c r="I57" s="302">
        <v>103.61999999999999</v>
      </c>
      <c r="J57" s="302">
        <v>64.110000000000014</v>
      </c>
      <c r="K57" s="302">
        <v>82.300000000000011</v>
      </c>
      <c r="L57" s="302">
        <v>106.53999999999999</v>
      </c>
      <c r="M57" s="303">
        <v>48.68</v>
      </c>
      <c r="N57" s="308">
        <v>8.9999999999999993E-3</v>
      </c>
      <c r="O57" s="309">
        <v>0.06</v>
      </c>
      <c r="P57" s="306">
        <v>3.9039687499999993</v>
      </c>
      <c r="Q57" s="307">
        <v>10</v>
      </c>
    </row>
    <row r="58" spans="1:19" ht="15">
      <c r="A58" s="156" t="s">
        <v>149</v>
      </c>
      <c r="B58" s="301">
        <v>11.25</v>
      </c>
      <c r="C58" s="302">
        <v>15.51</v>
      </c>
      <c r="D58" s="302">
        <v>16.73</v>
      </c>
      <c r="E58" s="302">
        <v>13.99</v>
      </c>
      <c r="F58" s="302">
        <v>17.95</v>
      </c>
      <c r="G58" s="302">
        <v>39.22</v>
      </c>
      <c r="H58" s="302">
        <v>45.250000000000007</v>
      </c>
      <c r="I58" s="302">
        <v>73.7</v>
      </c>
      <c r="J58" s="302">
        <v>45.600000000000009</v>
      </c>
      <c r="K58" s="302">
        <v>58.53</v>
      </c>
      <c r="L58" s="302">
        <v>75.77</v>
      </c>
      <c r="M58" s="303">
        <v>34.78</v>
      </c>
      <c r="N58" s="304">
        <v>6.6499999999999997E-3</v>
      </c>
      <c r="O58" s="305">
        <v>3.8569999999999993E-2</v>
      </c>
      <c r="P58" s="306">
        <v>2.7885</v>
      </c>
      <c r="Q58" s="307">
        <v>10</v>
      </c>
      <c r="R58" s="152"/>
      <c r="S58" s="152"/>
    </row>
    <row r="59" spans="1:19" ht="15">
      <c r="A59" s="156" t="s">
        <v>277</v>
      </c>
      <c r="B59" s="301" t="s">
        <v>109</v>
      </c>
      <c r="C59" s="302" t="s">
        <v>109</v>
      </c>
      <c r="D59" s="302" t="s">
        <v>109</v>
      </c>
      <c r="E59" s="302" t="s">
        <v>109</v>
      </c>
      <c r="F59" s="302" t="s">
        <v>109</v>
      </c>
      <c r="G59" s="302" t="s">
        <v>109</v>
      </c>
      <c r="H59" s="302" t="s">
        <v>109</v>
      </c>
      <c r="I59" s="302" t="s">
        <v>109</v>
      </c>
      <c r="J59" s="302" t="s">
        <v>109</v>
      </c>
      <c r="K59" s="302" t="s">
        <v>109</v>
      </c>
      <c r="L59" s="302" t="s">
        <v>109</v>
      </c>
      <c r="M59" s="303" t="s">
        <v>109</v>
      </c>
      <c r="N59" s="308" t="s">
        <v>109</v>
      </c>
      <c r="O59" s="309" t="s">
        <v>109</v>
      </c>
      <c r="P59" s="306" t="s">
        <v>109</v>
      </c>
      <c r="Q59" s="306">
        <v>10</v>
      </c>
    </row>
    <row r="60" spans="1:19" ht="15">
      <c r="A60" s="156" t="s">
        <v>275</v>
      </c>
      <c r="B60" s="301">
        <v>16.220000000000002</v>
      </c>
      <c r="C60" s="302">
        <v>22.46</v>
      </c>
      <c r="D60" s="302">
        <v>23.47</v>
      </c>
      <c r="E60" s="302">
        <v>20.399999999999999</v>
      </c>
      <c r="F60" s="302">
        <v>25.58</v>
      </c>
      <c r="G60" s="302">
        <v>59.14</v>
      </c>
      <c r="H60" s="302">
        <v>68.350000000000009</v>
      </c>
      <c r="I60" s="302">
        <v>112.37999999999998</v>
      </c>
      <c r="J60" s="302">
        <v>69.31</v>
      </c>
      <c r="K60" s="302">
        <v>88.949999999999989</v>
      </c>
      <c r="L60" s="302">
        <v>116.13</v>
      </c>
      <c r="M60" s="303">
        <v>50.679999999999993</v>
      </c>
      <c r="N60" s="308">
        <v>2.7300000000000001E-2</v>
      </c>
      <c r="O60" s="309">
        <v>7.0099999999999996E-2</v>
      </c>
      <c r="P60" s="306">
        <v>3.9929999999999999</v>
      </c>
      <c r="Q60" s="307">
        <v>10</v>
      </c>
    </row>
    <row r="61" spans="1:19" ht="15">
      <c r="A61" s="157" t="s">
        <v>150</v>
      </c>
      <c r="B61" s="319">
        <v>14.690000000000001</v>
      </c>
      <c r="C61" s="320">
        <v>20.259999999999998</v>
      </c>
      <c r="D61" s="320">
        <v>21.86</v>
      </c>
      <c r="E61" s="320">
        <v>18.28</v>
      </c>
      <c r="F61" s="320">
        <v>23.45</v>
      </c>
      <c r="G61" s="320">
        <v>51.230000000000004</v>
      </c>
      <c r="H61" s="320">
        <v>59.12</v>
      </c>
      <c r="I61" s="320">
        <v>96.280000000000015</v>
      </c>
      <c r="J61" s="320">
        <v>59.569999999999993</v>
      </c>
      <c r="K61" s="320">
        <v>76.460000000000008</v>
      </c>
      <c r="L61" s="320">
        <v>98.980000000000018</v>
      </c>
      <c r="M61" s="321">
        <v>45.43</v>
      </c>
      <c r="N61" s="322">
        <v>6.0000000000000001E-3</v>
      </c>
      <c r="O61" s="323">
        <v>3.2899999999999999E-2</v>
      </c>
      <c r="P61" s="324">
        <v>3.6431999999999998</v>
      </c>
      <c r="Q61" s="325">
        <v>27</v>
      </c>
      <c r="R61" s="153"/>
      <c r="S61" s="153"/>
    </row>
    <row r="62" spans="1:19" ht="12.75" customHeight="1" thickBot="1">
      <c r="A62" s="158" t="s">
        <v>151</v>
      </c>
      <c r="B62" s="326">
        <v>15.350000000000001</v>
      </c>
      <c r="C62" s="327">
        <v>21.169999999999998</v>
      </c>
      <c r="D62" s="327" t="s">
        <v>109</v>
      </c>
      <c r="E62" s="327">
        <v>19.09</v>
      </c>
      <c r="F62" s="327">
        <v>24.49</v>
      </c>
      <c r="G62" s="327">
        <v>53.52000000000001</v>
      </c>
      <c r="H62" s="327">
        <v>61.750000000000014</v>
      </c>
      <c r="I62" s="327">
        <v>100.56</v>
      </c>
      <c r="J62" s="327">
        <v>62.220000000000013</v>
      </c>
      <c r="K62" s="327">
        <v>79.86</v>
      </c>
      <c r="L62" s="327">
        <v>103.38</v>
      </c>
      <c r="M62" s="327">
        <v>47.45</v>
      </c>
      <c r="N62" s="328">
        <v>1.2200000000000001E-2</v>
      </c>
      <c r="O62" s="328">
        <v>7.0699999999999999E-2</v>
      </c>
      <c r="P62" s="329">
        <v>3.8048999999999999</v>
      </c>
      <c r="Q62" s="329">
        <v>10</v>
      </c>
    </row>
    <row r="63" spans="1:19">
      <c r="A63" s="155" t="s">
        <v>283</v>
      </c>
    </row>
    <row r="64" spans="1:19">
      <c r="A64" s="238"/>
    </row>
    <row r="65" spans="1:4">
      <c r="A65" s="238"/>
    </row>
    <row r="66" spans="1:4">
      <c r="A66" s="159" t="s">
        <v>329</v>
      </c>
      <c r="B66" s="159"/>
      <c r="D66" s="159" t="s">
        <v>329</v>
      </c>
    </row>
    <row r="67" spans="1:4">
      <c r="A67" s="148" t="s">
        <v>256</v>
      </c>
      <c r="B67" s="148" t="s">
        <v>229</v>
      </c>
      <c r="D67" s="159" t="s">
        <v>297</v>
      </c>
    </row>
    <row r="68" spans="1:4">
      <c r="A68" s="148" t="s">
        <v>257</v>
      </c>
      <c r="B68" s="159" t="s">
        <v>318</v>
      </c>
      <c r="D68" s="154" t="s">
        <v>59</v>
      </c>
    </row>
    <row r="69" spans="1:4">
      <c r="A69" s="148" t="s">
        <v>258</v>
      </c>
      <c r="B69" s="148" t="s">
        <v>191</v>
      </c>
      <c r="D69" s="154" t="s">
        <v>46</v>
      </c>
    </row>
    <row r="70" spans="1:4">
      <c r="A70" s="148" t="s">
        <v>259</v>
      </c>
      <c r="B70" s="148" t="s">
        <v>194</v>
      </c>
      <c r="D70" s="154" t="s">
        <v>47</v>
      </c>
    </row>
    <row r="71" spans="1:4">
      <c r="A71" s="148" t="s">
        <v>260</v>
      </c>
      <c r="B71" s="148" t="s">
        <v>243</v>
      </c>
      <c r="D71" s="241" t="s">
        <v>48</v>
      </c>
    </row>
    <row r="72" spans="1:4">
      <c r="A72" s="148" t="s">
        <v>261</v>
      </c>
      <c r="B72" s="159" t="s">
        <v>362</v>
      </c>
      <c r="D72" s="240" t="s">
        <v>162</v>
      </c>
    </row>
    <row r="73" spans="1:4">
      <c r="A73" s="148" t="s">
        <v>262</v>
      </c>
      <c r="B73" s="159" t="s">
        <v>363</v>
      </c>
      <c r="D73" s="240" t="s">
        <v>155</v>
      </c>
    </row>
    <row r="74" spans="1:4">
      <c r="A74" s="148" t="s">
        <v>96</v>
      </c>
      <c r="B74" s="159" t="s">
        <v>364</v>
      </c>
      <c r="D74" s="240"/>
    </row>
    <row r="75" spans="1:4">
      <c r="A75" s="148" t="s">
        <v>264</v>
      </c>
      <c r="B75" s="148" t="s">
        <v>263</v>
      </c>
      <c r="D75" s="240"/>
    </row>
    <row r="76" spans="1:4">
      <c r="A76" s="148" t="s">
        <v>265</v>
      </c>
      <c r="B76" s="148" t="s">
        <v>266</v>
      </c>
      <c r="D76" s="239"/>
    </row>
    <row r="77" spans="1:4">
      <c r="A77" s="148" t="s">
        <v>99</v>
      </c>
      <c r="B77" s="148" t="s">
        <v>267</v>
      </c>
      <c r="D77" s="159" t="s">
        <v>329</v>
      </c>
    </row>
    <row r="78" spans="1:4">
      <c r="A78" s="148" t="s">
        <v>268</v>
      </c>
      <c r="B78" s="148" t="s">
        <v>161</v>
      </c>
      <c r="D78" s="159" t="s">
        <v>341</v>
      </c>
    </row>
    <row r="79" spans="1:4">
      <c r="D79" s="159" t="s">
        <v>297</v>
      </c>
    </row>
    <row r="80" spans="1:4">
      <c r="D80" s="154" t="s">
        <v>59</v>
      </c>
    </row>
    <row r="81" spans="1:4">
      <c r="D81" s="154" t="s">
        <v>46</v>
      </c>
    </row>
    <row r="82" spans="1:4">
      <c r="A82" s="148" t="s">
        <v>102</v>
      </c>
      <c r="B82" s="148" t="s">
        <v>303</v>
      </c>
      <c r="D82" s="154" t="s">
        <v>47</v>
      </c>
    </row>
    <row r="83" spans="1:4">
      <c r="A83" s="148" t="s">
        <v>103</v>
      </c>
      <c r="B83" s="148" t="s">
        <v>303</v>
      </c>
      <c r="D83" s="241" t="s">
        <v>48</v>
      </c>
    </row>
    <row r="84" spans="1:4">
      <c r="A84" s="148" t="s">
        <v>104</v>
      </c>
      <c r="B84" s="148" t="s">
        <v>303</v>
      </c>
      <c r="D84" s="240" t="s">
        <v>162</v>
      </c>
    </row>
    <row r="85" spans="1:4">
      <c r="A85" s="148" t="s">
        <v>105</v>
      </c>
      <c r="B85" s="148" t="s">
        <v>304</v>
      </c>
      <c r="D85" s="240" t="s">
        <v>155</v>
      </c>
    </row>
    <row r="86" spans="1:4">
      <c r="A86" s="148" t="s">
        <v>280</v>
      </c>
      <c r="B86" s="159" t="s">
        <v>303</v>
      </c>
    </row>
    <row r="87" spans="1:4">
      <c r="A87" s="148" t="s">
        <v>106</v>
      </c>
      <c r="B87" s="159" t="s">
        <v>303</v>
      </c>
      <c r="D87" s="159" t="s">
        <v>329</v>
      </c>
    </row>
    <row r="88" spans="1:4">
      <c r="A88" s="148" t="s">
        <v>107</v>
      </c>
      <c r="B88" s="148" t="s">
        <v>304</v>
      </c>
      <c r="D88" s="148" t="s">
        <v>229</v>
      </c>
    </row>
    <row r="89" spans="1:4">
      <c r="A89" s="148" t="s">
        <v>108</v>
      </c>
      <c r="B89" s="159" t="s">
        <v>303</v>
      </c>
      <c r="D89" s="159" t="s">
        <v>318</v>
      </c>
    </row>
    <row r="90" spans="1:4">
      <c r="A90" s="148" t="s">
        <v>110</v>
      </c>
      <c r="B90" s="159" t="s">
        <v>303</v>
      </c>
      <c r="D90" s="148" t="s">
        <v>191</v>
      </c>
    </row>
    <row r="91" spans="1:4">
      <c r="A91" s="148" t="s">
        <v>111</v>
      </c>
      <c r="B91" s="159" t="s">
        <v>303</v>
      </c>
      <c r="D91" s="148" t="s">
        <v>194</v>
      </c>
    </row>
    <row r="92" spans="1:4">
      <c r="A92" s="148" t="s">
        <v>112</v>
      </c>
      <c r="B92" s="159" t="s">
        <v>303</v>
      </c>
      <c r="D92" s="148" t="s">
        <v>243</v>
      </c>
    </row>
    <row r="93" spans="1:4">
      <c r="A93" s="148" t="s">
        <v>113</v>
      </c>
      <c r="B93" s="159" t="s">
        <v>303</v>
      </c>
      <c r="D93" s="159" t="s">
        <v>362</v>
      </c>
    </row>
    <row r="94" spans="1:4">
      <c r="A94" s="148" t="s">
        <v>281</v>
      </c>
      <c r="B94" s="159" t="s">
        <v>303</v>
      </c>
      <c r="D94" s="159" t="s">
        <v>363</v>
      </c>
    </row>
    <row r="95" spans="1:4">
      <c r="A95" s="148" t="s">
        <v>114</v>
      </c>
      <c r="B95" s="148" t="s">
        <v>304</v>
      </c>
      <c r="D95" s="159" t="s">
        <v>364</v>
      </c>
    </row>
    <row r="96" spans="1:4">
      <c r="A96" s="148" t="s">
        <v>115</v>
      </c>
      <c r="B96" s="148" t="s">
        <v>304</v>
      </c>
      <c r="D96" s="148" t="s">
        <v>263</v>
      </c>
    </row>
    <row r="97" spans="1:4">
      <c r="A97" s="148" t="s">
        <v>116</v>
      </c>
      <c r="B97" s="148" t="s">
        <v>304</v>
      </c>
      <c r="D97" s="148" t="s">
        <v>266</v>
      </c>
    </row>
    <row r="98" spans="1:4">
      <c r="A98" s="148" t="s">
        <v>117</v>
      </c>
      <c r="B98" s="148" t="s">
        <v>304</v>
      </c>
      <c r="D98" s="148" t="s">
        <v>267</v>
      </c>
    </row>
    <row r="99" spans="1:4">
      <c r="A99" s="148" t="s">
        <v>118</v>
      </c>
      <c r="B99" s="148" t="s">
        <v>304</v>
      </c>
      <c r="D99" s="148" t="s">
        <v>161</v>
      </c>
    </row>
    <row r="100" spans="1:4">
      <c r="A100" s="148" t="s">
        <v>119</v>
      </c>
      <c r="B100" s="148" t="s">
        <v>304</v>
      </c>
    </row>
    <row r="101" spans="1:4">
      <c r="A101" s="148" t="s">
        <v>120</v>
      </c>
      <c r="B101" s="148" t="s">
        <v>304</v>
      </c>
    </row>
    <row r="102" spans="1:4">
      <c r="A102" s="148" t="s">
        <v>121</v>
      </c>
      <c r="B102" s="148" t="s">
        <v>304</v>
      </c>
    </row>
    <row r="103" spans="1:4">
      <c r="A103" s="148" t="s">
        <v>122</v>
      </c>
      <c r="B103" s="159" t="s">
        <v>303</v>
      </c>
    </row>
    <row r="104" spans="1:4">
      <c r="A104" s="148" t="s">
        <v>123</v>
      </c>
      <c r="B104" s="148" t="s">
        <v>304</v>
      </c>
    </row>
    <row r="105" spans="1:4">
      <c r="A105" s="148" t="s">
        <v>124</v>
      </c>
      <c r="B105" s="159" t="s">
        <v>303</v>
      </c>
    </row>
    <row r="106" spans="1:4">
      <c r="A106" s="148" t="s">
        <v>125</v>
      </c>
      <c r="B106" s="159" t="s">
        <v>303</v>
      </c>
    </row>
    <row r="107" spans="1:4">
      <c r="A107" s="148" t="s">
        <v>126</v>
      </c>
      <c r="B107" s="148" t="s">
        <v>304</v>
      </c>
    </row>
    <row r="108" spans="1:4">
      <c r="A108" s="148" t="s">
        <v>127</v>
      </c>
      <c r="B108" s="159" t="s">
        <v>305</v>
      </c>
    </row>
    <row r="109" spans="1:4">
      <c r="A109" s="148" t="s">
        <v>274</v>
      </c>
      <c r="B109" s="148" t="s">
        <v>304</v>
      </c>
    </row>
    <row r="110" spans="1:4">
      <c r="A110" s="148" t="s">
        <v>276</v>
      </c>
      <c r="B110" s="159" t="s">
        <v>303</v>
      </c>
    </row>
    <row r="111" spans="1:4">
      <c r="A111" s="148" t="s">
        <v>128</v>
      </c>
      <c r="B111" s="148" t="s">
        <v>304</v>
      </c>
    </row>
    <row r="112" spans="1:4">
      <c r="A112" s="148" t="s">
        <v>129</v>
      </c>
      <c r="B112" s="159" t="s">
        <v>303</v>
      </c>
    </row>
    <row r="113" spans="1:2">
      <c r="A113" s="148" t="s">
        <v>130</v>
      </c>
      <c r="B113" s="159" t="s">
        <v>303</v>
      </c>
    </row>
    <row r="114" spans="1:2">
      <c r="A114" s="148" t="s">
        <v>131</v>
      </c>
      <c r="B114" s="148" t="s">
        <v>304</v>
      </c>
    </row>
    <row r="115" spans="1:2">
      <c r="A115" s="148" t="s">
        <v>132</v>
      </c>
      <c r="B115" s="159" t="s">
        <v>303</v>
      </c>
    </row>
    <row r="116" spans="1:2">
      <c r="A116" s="148" t="s">
        <v>133</v>
      </c>
      <c r="B116" s="159" t="s">
        <v>303</v>
      </c>
    </row>
    <row r="117" spans="1:2">
      <c r="A117" s="148" t="s">
        <v>134</v>
      </c>
      <c r="B117" s="159" t="s">
        <v>303</v>
      </c>
    </row>
    <row r="118" spans="1:2">
      <c r="A118" s="148" t="s">
        <v>135</v>
      </c>
      <c r="B118" s="159" t="s">
        <v>303</v>
      </c>
    </row>
    <row r="119" spans="1:2">
      <c r="A119" s="148" t="s">
        <v>136</v>
      </c>
      <c r="B119" s="159" t="s">
        <v>303</v>
      </c>
    </row>
    <row r="120" spans="1:2">
      <c r="A120" s="148" t="s">
        <v>137</v>
      </c>
      <c r="B120" s="148" t="s">
        <v>304</v>
      </c>
    </row>
    <row r="121" spans="1:2">
      <c r="A121" s="148" t="s">
        <v>138</v>
      </c>
      <c r="B121" s="159" t="s">
        <v>303</v>
      </c>
    </row>
    <row r="122" spans="1:2">
      <c r="A122" s="148" t="s">
        <v>139</v>
      </c>
      <c r="B122" s="148" t="s">
        <v>304</v>
      </c>
    </row>
    <row r="123" spans="1:2">
      <c r="A123" s="148" t="s">
        <v>140</v>
      </c>
      <c r="B123" s="148" t="s">
        <v>304</v>
      </c>
    </row>
    <row r="124" spans="1:2">
      <c r="A124" s="148" t="s">
        <v>279</v>
      </c>
      <c r="B124" s="148" t="s">
        <v>304</v>
      </c>
    </row>
    <row r="125" spans="1:2">
      <c r="A125" s="148" t="s">
        <v>141</v>
      </c>
      <c r="B125" s="159" t="s">
        <v>303</v>
      </c>
    </row>
    <row r="126" spans="1:2">
      <c r="A126" s="148" t="s">
        <v>278</v>
      </c>
      <c r="B126" s="148" t="s">
        <v>304</v>
      </c>
    </row>
    <row r="127" spans="1:2">
      <c r="A127" s="148" t="s">
        <v>282</v>
      </c>
      <c r="B127" s="148" t="s">
        <v>304</v>
      </c>
    </row>
    <row r="128" spans="1:2">
      <c r="A128" s="148" t="s">
        <v>142</v>
      </c>
      <c r="B128" s="148" t="s">
        <v>304</v>
      </c>
    </row>
    <row r="129" spans="1:2">
      <c r="A129" s="148" t="s">
        <v>143</v>
      </c>
      <c r="B129" s="148" t="s">
        <v>304</v>
      </c>
    </row>
    <row r="130" spans="1:2">
      <c r="A130" s="148" t="s">
        <v>144</v>
      </c>
      <c r="B130" s="148" t="s">
        <v>304</v>
      </c>
    </row>
    <row r="131" spans="1:2">
      <c r="A131" s="148" t="s">
        <v>145</v>
      </c>
      <c r="B131" s="148" t="s">
        <v>304</v>
      </c>
    </row>
    <row r="132" spans="1:2">
      <c r="A132" s="148" t="s">
        <v>146</v>
      </c>
      <c r="B132" s="159" t="s">
        <v>303</v>
      </c>
    </row>
    <row r="133" spans="1:2">
      <c r="A133" s="148" t="s">
        <v>147</v>
      </c>
      <c r="B133" s="159" t="s">
        <v>303</v>
      </c>
    </row>
    <row r="134" spans="1:2">
      <c r="A134" s="148" t="s">
        <v>148</v>
      </c>
      <c r="B134" s="148" t="s">
        <v>304</v>
      </c>
    </row>
    <row r="135" spans="1:2">
      <c r="A135" s="148" t="s">
        <v>149</v>
      </c>
      <c r="B135" s="148" t="s">
        <v>304</v>
      </c>
    </row>
    <row r="136" spans="1:2">
      <c r="A136" s="148" t="s">
        <v>277</v>
      </c>
      <c r="B136" s="159" t="s">
        <v>304</v>
      </c>
    </row>
    <row r="137" spans="1:2">
      <c r="A137" s="148" t="s">
        <v>275</v>
      </c>
      <c r="B137" s="148" t="s">
        <v>304</v>
      </c>
    </row>
    <row r="138" spans="1:2">
      <c r="A138" s="148" t="s">
        <v>150</v>
      </c>
      <c r="B138" s="159" t="s">
        <v>303</v>
      </c>
    </row>
    <row r="139" spans="1:2">
      <c r="A139" s="148" t="s">
        <v>151</v>
      </c>
      <c r="B139" s="159" t="s">
        <v>303</v>
      </c>
    </row>
  </sheetData>
  <mergeCells count="5">
    <mergeCell ref="Q1:Q2"/>
    <mergeCell ref="N3:O3"/>
    <mergeCell ref="N1:N2"/>
    <mergeCell ref="O1:O2"/>
    <mergeCell ref="P1:P2"/>
  </mergeCells>
  <pageMargins left="0.7" right="0.7" top="0.75" bottom="0.75" header="0.3" footer="0.3"/>
  <pageSetup orientation="portrait" horizontalDpi="4294967293" verticalDpi="4294967293" r:id="rId1"/>
  <headerFooter>
    <oddFooter>&amp;C&amp;1#&amp;"Arial"&amp;10&amp;K000000---Internal Use---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5"/>
  <sheetViews>
    <sheetView workbookViewId="0">
      <selection activeCell="C5" sqref="C5"/>
    </sheetView>
  </sheetViews>
  <sheetFormatPr defaultRowHeight="12.75"/>
  <cols>
    <col min="1" max="1" width="14.7109375" style="165" customWidth="1"/>
    <col min="2" max="2" width="14.7109375" style="1" customWidth="1"/>
    <col min="3" max="3" width="14.7109375" customWidth="1"/>
  </cols>
  <sheetData>
    <row r="1" spans="1:3" s="134" customFormat="1" ht="23.25" customHeight="1">
      <c r="A1" s="162" t="s">
        <v>300</v>
      </c>
      <c r="B1" s="163" t="s">
        <v>301</v>
      </c>
      <c r="C1" s="164" t="s">
        <v>302</v>
      </c>
    </row>
    <row r="2" spans="1:3">
      <c r="A2" s="166">
        <v>1</v>
      </c>
      <c r="B2" s="167">
        <v>44155</v>
      </c>
      <c r="C2" s="168" t="s">
        <v>309</v>
      </c>
    </row>
    <row r="3" spans="1:3">
      <c r="A3" s="166">
        <v>1.1000000000000001</v>
      </c>
      <c r="B3" s="167">
        <v>44257</v>
      </c>
      <c r="C3" s="168" t="s">
        <v>311</v>
      </c>
    </row>
    <row r="4" spans="1:3">
      <c r="A4" s="166">
        <v>1.2</v>
      </c>
      <c r="B4" s="167">
        <v>44377</v>
      </c>
      <c r="C4" s="168" t="s">
        <v>361</v>
      </c>
    </row>
    <row r="5" spans="1:3">
      <c r="B5" s="167">
        <v>44456</v>
      </c>
      <c r="C5" s="168" t="s">
        <v>376</v>
      </c>
    </row>
  </sheetData>
  <sheetProtection algorithmName="SHA-512" hashValue="KhtvzBA36YANeBo6pZMIgvAKlN1IFXQswFYmJKhayIyXPtuRei0kWrN60JLNb/laVezgHSvG2Qr3UfOvJTRAyw==" saltValue="3SYdEnALWHY4t0a9pkUJvQ==" spinCount="100000" sheet="1" objects="1" scenarios="1" selectLockedCells="1" selectUnlockedCells="1"/>
  <pageMargins left="0.7" right="0.7" top="0.75" bottom="0.75" header="0.3" footer="0.3"/>
  <pageSetup orientation="portrait" r:id="rId1"/>
  <headerFooter>
    <oddFooter>&amp;C&amp;1#&amp;"Arial"&amp;10&amp;K000000---Internal Use---</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3:B15"/>
  <sheetViews>
    <sheetView topLeftCell="A6" workbookViewId="0">
      <selection activeCell="A3" sqref="A3"/>
    </sheetView>
  </sheetViews>
  <sheetFormatPr defaultRowHeight="12.75"/>
  <cols>
    <col min="1" max="1" width="22.140625" customWidth="1"/>
    <col min="2" max="2" width="19" customWidth="1"/>
    <col min="3" max="3" width="17.7109375" customWidth="1"/>
    <col min="4" max="4" width="19.140625" customWidth="1"/>
    <col min="5" max="5" width="14" customWidth="1"/>
    <col min="6" max="6" width="14.7109375" customWidth="1"/>
    <col min="7" max="7" width="15.5703125" customWidth="1"/>
    <col min="8" max="8" width="21.42578125" customWidth="1"/>
    <col min="9" max="9" width="20.28515625" customWidth="1"/>
    <col min="10" max="10" width="20.42578125" customWidth="1"/>
    <col min="11" max="11" width="19.5703125" customWidth="1"/>
    <col min="12" max="12" width="14.42578125" customWidth="1"/>
    <col min="13" max="13" width="15.7109375" customWidth="1"/>
  </cols>
  <sheetData>
    <row r="3" spans="1:2" ht="127.5" customHeight="1">
      <c r="A3" s="131"/>
      <c r="B3" s="132" t="s">
        <v>249</v>
      </c>
    </row>
    <row r="4" spans="1:2" ht="127.5" customHeight="1">
      <c r="A4" s="131"/>
      <c r="B4" s="133" t="s">
        <v>242</v>
      </c>
    </row>
    <row r="5" spans="1:2" ht="127.5" customHeight="1">
      <c r="A5" s="131"/>
      <c r="B5" s="133" t="s">
        <v>239</v>
      </c>
    </row>
    <row r="6" spans="1:2" ht="127.5" customHeight="1">
      <c r="A6" s="131"/>
      <c r="B6" s="133" t="s">
        <v>240</v>
      </c>
    </row>
    <row r="7" spans="1:2" ht="127.5" customHeight="1">
      <c r="A7" s="131"/>
      <c r="B7" s="133" t="s">
        <v>157</v>
      </c>
    </row>
    <row r="8" spans="1:2" ht="127.5" customHeight="1">
      <c r="A8" s="131"/>
      <c r="B8" s="133" t="s">
        <v>191</v>
      </c>
    </row>
    <row r="9" spans="1:2" ht="127.5" customHeight="1">
      <c r="A9" s="131"/>
      <c r="B9" s="133" t="s">
        <v>194</v>
      </c>
    </row>
    <row r="10" spans="1:2" ht="127.5" customHeight="1">
      <c r="A10" s="131"/>
      <c r="B10" s="133" t="s">
        <v>158</v>
      </c>
    </row>
    <row r="11" spans="1:2" ht="127.5" customHeight="1">
      <c r="A11" s="131"/>
      <c r="B11" s="133" t="s">
        <v>159</v>
      </c>
    </row>
    <row r="12" spans="1:2" ht="127.5" customHeight="1">
      <c r="A12" s="131"/>
      <c r="B12" s="133" t="s">
        <v>160</v>
      </c>
    </row>
    <row r="13" spans="1:2" ht="127.5" customHeight="1">
      <c r="A13" s="131"/>
      <c r="B13" s="133" t="s">
        <v>241</v>
      </c>
    </row>
    <row r="14" spans="1:2" ht="127.5" customHeight="1">
      <c r="A14" s="131"/>
      <c r="B14" s="133" t="s">
        <v>161</v>
      </c>
    </row>
    <row r="15" spans="1:2" ht="127.5" customHeight="1">
      <c r="A15" s="131"/>
      <c r="B15" s="133" t="s">
        <v>243</v>
      </c>
    </row>
  </sheetData>
  <pageMargins left="0.7" right="0.7" top="0.75" bottom="0.75" header="0.3" footer="0.3"/>
  <pageSetup orientation="portrait" horizontalDpi="4294967293" verticalDpi="4294967293" r:id="rId1"/>
  <headerFooter>
    <oddFooter>&amp;C&amp;1#&amp;"Arial"&amp;10&amp;K000000---Internal Use---</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V109"/>
  <sheetViews>
    <sheetView workbookViewId="0"/>
  </sheetViews>
  <sheetFormatPr defaultRowHeight="12.75"/>
  <sheetData>
    <row r="1" spans="1:256">
      <c r="A1" t="s">
        <v>43</v>
      </c>
      <c r="F1" t="e">
        <f>#REF!*"$Cm=!%"</f>
        <v>#REF!</v>
      </c>
      <c r="G1" t="e">
        <f>#REF!*"$Cm=!&amp;"</f>
        <v>#REF!</v>
      </c>
      <c r="H1" t="e">
        <f>#REF!*"$Cm=!'"</f>
        <v>#REF!</v>
      </c>
      <c r="I1" t="e">
        <f>#REF!*"$Cm=!("</f>
        <v>#REF!</v>
      </c>
      <c r="J1" t="e">
        <f>#REF!*"$Cm=!)"</f>
        <v>#REF!</v>
      </c>
      <c r="K1" t="e">
        <f>#REF!*"$Cm=!."</f>
        <v>#REF!</v>
      </c>
      <c r="L1" t="e">
        <f>#REF!*"$Cm=!/"</f>
        <v>#REF!</v>
      </c>
      <c r="M1" t="e">
        <f>#REF!*"$Cm=!0"</f>
        <v>#REF!</v>
      </c>
      <c r="N1" t="e">
        <f>#REF!*"$Cm=!1"</f>
        <v>#REF!</v>
      </c>
      <c r="O1" t="e">
        <f>#REF!*"$Cm=!2"</f>
        <v>#REF!</v>
      </c>
      <c r="P1" t="e">
        <f>#REF!*"$Cm=!3"</f>
        <v>#REF!</v>
      </c>
      <c r="Q1" t="e">
        <f>#REF!*"$Cm=!4"</f>
        <v>#REF!</v>
      </c>
      <c r="R1" t="e">
        <f>#REF!*"$Cm=!5"</f>
        <v>#REF!</v>
      </c>
      <c r="S1" t="e">
        <f>#REF!*"$Cm=!6"</f>
        <v>#REF!</v>
      </c>
      <c r="T1" t="e">
        <f>#REF!*"$Cm=!7"</f>
        <v>#REF!</v>
      </c>
      <c r="U1" t="e">
        <f>#REF!*"$Cm=!8"</f>
        <v>#REF!</v>
      </c>
      <c r="V1" t="e">
        <f>#REF!*"$Cm=!9"</f>
        <v>#REF!</v>
      </c>
      <c r="W1" t="e">
        <f>#REF!*"$Cm=!:"</f>
        <v>#REF!</v>
      </c>
      <c r="X1" t="e">
        <f>#REF!*"$Cm=!;"</f>
        <v>#REF!</v>
      </c>
      <c r="Y1" t="e">
        <f>#REF!*"$Cm=!&lt;"</f>
        <v>#REF!</v>
      </c>
      <c r="Z1" t="e">
        <f>#REF!*"$Cm=!="</f>
        <v>#REF!</v>
      </c>
      <c r="AA1" t="e">
        <f>#REF!*"$Cm=!&gt;"</f>
        <v>#REF!</v>
      </c>
      <c r="AB1" t="e">
        <f>#REF!*"$Cm=!?"</f>
        <v>#REF!</v>
      </c>
      <c r="AC1" t="e">
        <f>#REF!*"$Cm=!@"</f>
        <v>#REF!</v>
      </c>
      <c r="AD1" t="e">
        <f>#REF!*"$Cm=!A"</f>
        <v>#REF!</v>
      </c>
      <c r="AE1" t="e">
        <f>#REF!*"$Cm=!B"</f>
        <v>#REF!</v>
      </c>
      <c r="AF1" t="e">
        <f>#REF!*"$Cm=!C"</f>
        <v>#REF!</v>
      </c>
      <c r="AG1" t="e">
        <f>#REF!*"$Cm=!D"</f>
        <v>#REF!</v>
      </c>
      <c r="AH1" t="e">
        <f>#REF!*"$Cm=!E"</f>
        <v>#REF!</v>
      </c>
      <c r="AI1" t="e">
        <f>#REF!*"$Cm=!F"</f>
        <v>#REF!</v>
      </c>
      <c r="AJ1" t="e">
        <f>#REF!*"$Cm=!G"</f>
        <v>#REF!</v>
      </c>
      <c r="AK1" t="e">
        <f>#REF!*"$Cm=!H"</f>
        <v>#REF!</v>
      </c>
      <c r="AL1" t="e">
        <f>#REF!*"$Cm=!I"</f>
        <v>#REF!</v>
      </c>
      <c r="AM1" t="e">
        <f>#REF!*"$Cm=!J"</f>
        <v>#REF!</v>
      </c>
      <c r="AN1" t="e">
        <f>#REF!*"$Cm=!K"</f>
        <v>#REF!</v>
      </c>
      <c r="AO1" t="e">
        <f>#REF!*"$Cm=!L"</f>
        <v>#REF!</v>
      </c>
      <c r="AP1" t="e">
        <f>#REF!*"$Cm=!M"</f>
        <v>#REF!</v>
      </c>
      <c r="AQ1" t="e">
        <f>#REF!*"$Cm=!N"</f>
        <v>#REF!</v>
      </c>
      <c r="AR1" t="e">
        <f>#REF!*"$Cm=!O"</f>
        <v>#REF!</v>
      </c>
      <c r="AS1" t="e">
        <f>#REF!*"$Cm=!P"</f>
        <v>#REF!</v>
      </c>
      <c r="AT1" t="e">
        <f>#REF!*"$Cm=!Q"</f>
        <v>#REF!</v>
      </c>
      <c r="AU1" t="e">
        <f>#REF!*"$Cm=!R"</f>
        <v>#REF!</v>
      </c>
      <c r="AV1" t="e">
        <f>#REF!*"$Cm=!S"</f>
        <v>#REF!</v>
      </c>
      <c r="AW1" t="e">
        <f>#REF!*"$Cm=!T"</f>
        <v>#REF!</v>
      </c>
      <c r="AX1" t="e">
        <f>#REF!*"$Cm=!U"</f>
        <v>#REF!</v>
      </c>
      <c r="AY1" t="e">
        <f>#REF!*"$Cm=!V"</f>
        <v>#REF!</v>
      </c>
      <c r="AZ1" t="e">
        <f>#REF!*"$Cm=!W"</f>
        <v>#REF!</v>
      </c>
      <c r="BA1" t="e">
        <f>#REF!*"$Cm=!X"</f>
        <v>#REF!</v>
      </c>
      <c r="BB1" t="e">
        <f>#REF!*"$Cm=!Y"</f>
        <v>#REF!</v>
      </c>
      <c r="BC1" t="e">
        <f>#REF!*"$Cm=!Z"</f>
        <v>#REF!</v>
      </c>
      <c r="BD1" t="e">
        <f>#REF!*"$Cm=!["</f>
        <v>#REF!</v>
      </c>
      <c r="BE1" t="e">
        <f>#REF!*"$Cm=!\"</f>
        <v>#REF!</v>
      </c>
      <c r="BF1" t="e">
        <f>#REF!*"$Cm=!]"</f>
        <v>#REF!</v>
      </c>
      <c r="BG1" t="e">
        <f>#REF!*"$Cm=!^"</f>
        <v>#REF!</v>
      </c>
      <c r="BH1" t="e">
        <f>#REF!*"$Cm=!_"</f>
        <v>#REF!</v>
      </c>
      <c r="BI1" t="e">
        <f>#REF!*"$Cm=!`"</f>
        <v>#REF!</v>
      </c>
      <c r="BJ1" t="e">
        <f>#REF!*"$Cm=!a"</f>
        <v>#REF!</v>
      </c>
      <c r="BK1" t="e">
        <f>#REF!*"$Cm=!b"</f>
        <v>#REF!</v>
      </c>
      <c r="BL1" t="e">
        <f>#REF!*"$Cm=!c"</f>
        <v>#REF!</v>
      </c>
      <c r="BM1" t="e">
        <f>#REF!*"$Cm=!d"</f>
        <v>#REF!</v>
      </c>
      <c r="BN1" t="e">
        <f>#REF!*"$Cm=!e"</f>
        <v>#REF!</v>
      </c>
      <c r="BO1" t="e">
        <f>#REF!*"$Cm=!f"</f>
        <v>#REF!</v>
      </c>
      <c r="BP1" t="e">
        <f>#REF!*"$Cm=!g"</f>
        <v>#REF!</v>
      </c>
      <c r="BQ1" t="e">
        <f>#REF!*"$Cm=!h"</f>
        <v>#REF!</v>
      </c>
      <c r="BR1" t="e">
        <f>#REF!*"$Cm=!i"</f>
        <v>#REF!</v>
      </c>
      <c r="BS1" t="e">
        <f>#REF!*"$Cm=!j"</f>
        <v>#REF!</v>
      </c>
      <c r="BT1" t="e">
        <f>#REF!*"$Cm=!k"</f>
        <v>#REF!</v>
      </c>
      <c r="BU1" t="e">
        <f>#REF!*"$Cm=!l"</f>
        <v>#REF!</v>
      </c>
      <c r="BV1" t="e">
        <f>#REF!*"$Cm=!m"</f>
        <v>#REF!</v>
      </c>
      <c r="BW1" t="e">
        <f>#REF!*"$Cm=!n"</f>
        <v>#REF!</v>
      </c>
      <c r="BX1" t="e">
        <f>#REF!*"$Cm=!o"</f>
        <v>#REF!</v>
      </c>
      <c r="BY1" t="e">
        <f>#REF!*"$Cm=!p"</f>
        <v>#REF!</v>
      </c>
      <c r="BZ1" t="e">
        <f>#REF!*"$Cm=!q"</f>
        <v>#REF!</v>
      </c>
      <c r="CA1" t="e">
        <f>#REF!*"$Cm=!r"</f>
        <v>#REF!</v>
      </c>
      <c r="CB1" t="e">
        <f>#REF!*"$Cm=!s"</f>
        <v>#REF!</v>
      </c>
      <c r="CC1" t="e">
        <f>#REF!*"$Cm=!t"</f>
        <v>#REF!</v>
      </c>
      <c r="CD1" t="e">
        <f>#REF!*"$Cm=!u"</f>
        <v>#REF!</v>
      </c>
      <c r="CE1" t="e">
        <f>#REF!-"$Cm=!v"</f>
        <v>#REF!</v>
      </c>
      <c r="CF1" t="e">
        <f>#REF!-"$Cm=!w"</f>
        <v>#REF!</v>
      </c>
      <c r="CG1" t="e">
        <f>#REF!-"$Cm=!x"</f>
        <v>#REF!</v>
      </c>
      <c r="CH1" t="e">
        <f>#REF!-"$Cm=!y"</f>
        <v>#REF!</v>
      </c>
      <c r="CI1" t="e">
        <f>#REF!-"$Cm=!z"</f>
        <v>#REF!</v>
      </c>
      <c r="CJ1" t="e">
        <f>#REF!-"$Cm=!{"</f>
        <v>#REF!</v>
      </c>
      <c r="CK1" t="e">
        <f>#REF!-"$Cm=!|"</f>
        <v>#REF!</v>
      </c>
      <c r="CL1" t="e">
        <f>#REF!-"$Cm=!}"</f>
        <v>#REF!</v>
      </c>
      <c r="CM1" t="e">
        <f>#REF!-"$Cm=!~"</f>
        <v>#REF!</v>
      </c>
      <c r="CN1" t="e">
        <f>#REF!-"$Cm=!$#"</f>
        <v>#REF!</v>
      </c>
      <c r="CO1" t="e">
        <f>#REF!-"$Cm=!$$"</f>
        <v>#REF!</v>
      </c>
      <c r="CP1" t="e">
        <f>#REF!-"$Cm=!$%"</f>
        <v>#REF!</v>
      </c>
      <c r="CQ1" t="e">
        <f>#REF!-"$Cm=!$&amp;"</f>
        <v>#REF!</v>
      </c>
      <c r="CR1" t="e">
        <f>#REF!-"$Cm=!$'"</f>
        <v>#REF!</v>
      </c>
      <c r="CS1" t="e">
        <f>#REF!-"$Cm=!$("</f>
        <v>#REF!</v>
      </c>
      <c r="CT1" t="e">
        <f>#REF!-"$Cm=!$)"</f>
        <v>#REF!</v>
      </c>
      <c r="CU1" t="e">
        <f>#REF!-"$Cm=!$."</f>
        <v>#REF!</v>
      </c>
      <c r="CV1" t="e">
        <f>#REF!-"$Cm=!$/"</f>
        <v>#REF!</v>
      </c>
      <c r="CW1" t="e">
        <f>#REF!-"$Cm=!$0"</f>
        <v>#REF!</v>
      </c>
      <c r="CX1" t="e">
        <f>#REF!-"$Cm=!$1"</f>
        <v>#REF!</v>
      </c>
      <c r="CY1" t="e">
        <f>#REF!-"$Cm=!$2"</f>
        <v>#REF!</v>
      </c>
      <c r="CZ1" t="e">
        <f>#REF!-"$Cm=!$3"</f>
        <v>#REF!</v>
      </c>
      <c r="DA1" t="e">
        <f>#REF!-"$Cm=!$4"</f>
        <v>#REF!</v>
      </c>
      <c r="DB1" t="e">
        <f>#REF!-"$Cm=!$5"</f>
        <v>#REF!</v>
      </c>
      <c r="DC1" t="e">
        <f>#REF!-"$Cm=!$6"</f>
        <v>#REF!</v>
      </c>
      <c r="DD1" t="e">
        <f>#REF!-"$Cm=!$7"</f>
        <v>#REF!</v>
      </c>
      <c r="DE1" t="e">
        <f>#REF!-"$Cm=!$8"</f>
        <v>#REF!</v>
      </c>
      <c r="DF1" t="e">
        <f>#REF!-"$Cm=!$9"</f>
        <v>#REF!</v>
      </c>
      <c r="DG1" t="e">
        <f>#REF!-"$Cm=!$:"</f>
        <v>#REF!</v>
      </c>
      <c r="DH1" t="e">
        <f>#REF!-"$Cm=!$;"</f>
        <v>#REF!</v>
      </c>
      <c r="DI1" t="e">
        <f>#REF!-"$Cm=!$&lt;"</f>
        <v>#REF!</v>
      </c>
      <c r="DJ1" t="e">
        <f>#REF!-"$Cm=!$="</f>
        <v>#REF!</v>
      </c>
      <c r="DK1" t="e">
        <f>#REF!-"$Cm=!$&gt;"</f>
        <v>#REF!</v>
      </c>
      <c r="DL1" t="e">
        <f>#REF!-"$Cm=!$?"</f>
        <v>#REF!</v>
      </c>
      <c r="DM1" t="e">
        <f>#REF!-"$Cm=!$@"</f>
        <v>#REF!</v>
      </c>
      <c r="DN1" t="e">
        <f>#REF!-"$Cm=!$A"</f>
        <v>#REF!</v>
      </c>
      <c r="DO1" t="e">
        <f>#REF!-"$Cm=!$B"</f>
        <v>#REF!</v>
      </c>
      <c r="DP1" t="e">
        <f>#REF!-"$Cm=!$C"</f>
        <v>#REF!</v>
      </c>
      <c r="DQ1" t="e">
        <f>#REF!-"$Cm=!$D"</f>
        <v>#REF!</v>
      </c>
      <c r="DR1" t="e">
        <f>#REF!-"$Cm=!$E"</f>
        <v>#REF!</v>
      </c>
      <c r="DS1" t="e">
        <f>#REF!-"$Cm=!$F"</f>
        <v>#REF!</v>
      </c>
      <c r="DT1" t="e">
        <f>#REF!-"$Cm=!$G"</f>
        <v>#REF!</v>
      </c>
      <c r="DU1" t="e">
        <f>#REF!-"$Cm=!$H"</f>
        <v>#REF!</v>
      </c>
      <c r="DV1" t="e">
        <f>#REF!-"$Cm=!$I"</f>
        <v>#REF!</v>
      </c>
      <c r="DW1" t="e">
        <f>#REF!-"$Cm=!$J"</f>
        <v>#REF!</v>
      </c>
      <c r="DX1" t="e">
        <f>#REF!-"$Cm=!$K"</f>
        <v>#REF!</v>
      </c>
      <c r="DY1" t="e">
        <f>#REF!-"$Cm=!$L"</f>
        <v>#REF!</v>
      </c>
      <c r="DZ1" t="e">
        <f>#REF!-"$Cm=!$M"</f>
        <v>#REF!</v>
      </c>
      <c r="EA1" t="e">
        <f>#REF!-"$Cm=!$N"</f>
        <v>#REF!</v>
      </c>
      <c r="EB1" t="e">
        <f>#REF!-"$Cm=!$O"</f>
        <v>#REF!</v>
      </c>
      <c r="EC1" t="e">
        <f>#REF!-"$Cm=!$P"</f>
        <v>#REF!</v>
      </c>
      <c r="ED1" t="e">
        <f>#REF!-"$Cm=!$Q"</f>
        <v>#REF!</v>
      </c>
      <c r="EE1" t="e">
        <f>#REF!-"$Cm=!$R"</f>
        <v>#REF!</v>
      </c>
      <c r="EF1" t="e">
        <f>#REF!-"$Cm=!$S"</f>
        <v>#REF!</v>
      </c>
      <c r="EG1" t="e">
        <f>#REF!-"$Cm=!$T"</f>
        <v>#REF!</v>
      </c>
      <c r="EH1" t="e">
        <f>#REF!-"$Cm=!$U"</f>
        <v>#REF!</v>
      </c>
      <c r="EI1" t="e">
        <f>#REF!-"$Cm=!$V"</f>
        <v>#REF!</v>
      </c>
      <c r="EJ1" t="e">
        <f>#REF!-"$Cm=!$W"</f>
        <v>#REF!</v>
      </c>
      <c r="EK1" t="e">
        <f>#REF!-"$Cm=!$X"</f>
        <v>#REF!</v>
      </c>
      <c r="EL1" t="e">
        <f>#REF!-"$Cm=!$Y"</f>
        <v>#REF!</v>
      </c>
      <c r="EM1" t="e">
        <f>#REF!-"$Cm=!$Z"</f>
        <v>#REF!</v>
      </c>
      <c r="EN1" t="e">
        <f>#REF!-"$Cm=!$["</f>
        <v>#REF!</v>
      </c>
      <c r="EO1" t="e">
        <f>#REF!-"$Cm=!$\"</f>
        <v>#REF!</v>
      </c>
      <c r="EP1" t="e">
        <f>#REF!-"$Cm=!$]"</f>
        <v>#REF!</v>
      </c>
      <c r="EQ1" t="e">
        <f>#REF!-"$Cm=!$^"</f>
        <v>#REF!</v>
      </c>
      <c r="ER1" t="e">
        <f>#REF!-"$Cm=!$_"</f>
        <v>#REF!</v>
      </c>
      <c r="ES1" t="e">
        <f>#REF!-"$Cm=!$`"</f>
        <v>#REF!</v>
      </c>
      <c r="ET1" t="e">
        <f>#REF!-"$Cm=!$a"</f>
        <v>#REF!</v>
      </c>
      <c r="EU1" t="e">
        <f>#REF!-"$Cm=!$b"</f>
        <v>#REF!</v>
      </c>
      <c r="EV1" t="e">
        <f>#REF!-"$Cm=!$c"</f>
        <v>#REF!</v>
      </c>
      <c r="EW1" t="e">
        <f>#REF!-"$Cm=!$d"</f>
        <v>#REF!</v>
      </c>
      <c r="EX1" t="e">
        <f>#REF!-"$Cm=!$e"</f>
        <v>#REF!</v>
      </c>
      <c r="EY1" t="e">
        <f>#REF!-"$Cm=!$f"</f>
        <v>#REF!</v>
      </c>
      <c r="EZ1" t="e">
        <f>#REF!-"$Cm=!$g"</f>
        <v>#REF!</v>
      </c>
      <c r="FA1" t="e">
        <f>#REF!-"$Cm=!$h"</f>
        <v>#REF!</v>
      </c>
      <c r="FB1" t="e">
        <f>#REF!-"$Cm=!$i"</f>
        <v>#REF!</v>
      </c>
      <c r="FC1" t="e">
        <f>#REF!-"$Cm=!$j"</f>
        <v>#REF!</v>
      </c>
      <c r="FD1" t="e">
        <f>#REF!-"$Cm=!$k"</f>
        <v>#REF!</v>
      </c>
      <c r="FE1" t="e">
        <f>#REF!-"$Cm=!$l"</f>
        <v>#REF!</v>
      </c>
      <c r="FF1" t="e">
        <f>#REF!-"$Cm=!$m"</f>
        <v>#REF!</v>
      </c>
      <c r="FG1" t="e">
        <f>#REF!-"$Cm=!$n"</f>
        <v>#REF!</v>
      </c>
      <c r="FH1" t="e">
        <f>#REF!-"$Cm=!$o"</f>
        <v>#REF!</v>
      </c>
      <c r="FI1" t="e">
        <f>#REF!-"$Cm=!$p"</f>
        <v>#REF!</v>
      </c>
      <c r="FJ1" t="e">
        <f>#REF!-"$Cm=!$q"</f>
        <v>#REF!</v>
      </c>
      <c r="FK1" t="e">
        <f>#REF!-"$Cm=!$r"</f>
        <v>#REF!</v>
      </c>
      <c r="FL1" t="e">
        <f>#REF!-"$Cm=!$s"</f>
        <v>#REF!</v>
      </c>
      <c r="FM1" t="e">
        <f>#REF!-"$Cm=!$t"</f>
        <v>#REF!</v>
      </c>
      <c r="FN1" t="e">
        <f>#REF!-"$Cm=!$u"</f>
        <v>#REF!</v>
      </c>
      <c r="FO1" t="e">
        <f>#REF!-"$Cm=!$v"</f>
        <v>#REF!</v>
      </c>
      <c r="FP1" t="e">
        <f>#REF!-"$Cm=!$w"</f>
        <v>#REF!</v>
      </c>
      <c r="FQ1" t="e">
        <f>#REF!-"$Cm=!$x"</f>
        <v>#REF!</v>
      </c>
      <c r="FR1" t="e">
        <f>#REF!-"$Cm=!$y"</f>
        <v>#REF!</v>
      </c>
      <c r="FS1" t="e">
        <f>#REF!-"$Cm=!$z"</f>
        <v>#REF!</v>
      </c>
      <c r="FT1" t="e">
        <f>#REF!-"$Cm=!${"</f>
        <v>#REF!</v>
      </c>
      <c r="FU1" t="e">
        <f>#REF!-"$Cm=!$|"</f>
        <v>#REF!</v>
      </c>
      <c r="FV1" t="e">
        <f>#REF!-"$Cm=!$}"</f>
        <v>#REF!</v>
      </c>
      <c r="FW1" t="e">
        <f>#REF!-"$Cm=!$~"</f>
        <v>#REF!</v>
      </c>
      <c r="FX1" t="e">
        <f>#REF!-"$Cm=!%#"</f>
        <v>#REF!</v>
      </c>
      <c r="FY1" t="e">
        <f>#REF!-"$Cm=!%$"</f>
        <v>#REF!</v>
      </c>
      <c r="FZ1" t="e">
        <f>#REF!-"$Cm=!%%"</f>
        <v>#REF!</v>
      </c>
      <c r="GA1" t="e">
        <f>#REF!-"$Cm=!%&amp;"</f>
        <v>#REF!</v>
      </c>
      <c r="GB1" t="e">
        <f>#REF!-"$Cm=!%'"</f>
        <v>#REF!</v>
      </c>
      <c r="GC1" t="e">
        <f>#REF!-"$Cm=!%("</f>
        <v>#REF!</v>
      </c>
      <c r="GD1" t="e">
        <f>#REF!-"$Cm=!%)"</f>
        <v>#REF!</v>
      </c>
      <c r="GE1" t="e">
        <f>#REF!-"$Cm=!%."</f>
        <v>#REF!</v>
      </c>
      <c r="GF1" t="e">
        <f>#REF!-"$Cm=!%/"</f>
        <v>#REF!</v>
      </c>
      <c r="GG1" t="e">
        <f>#REF!-"$Cm=!%0"</f>
        <v>#REF!</v>
      </c>
      <c r="GH1" t="e">
        <f>#REF!-"$Cm=!%1"</f>
        <v>#REF!</v>
      </c>
      <c r="GI1" t="e">
        <f>#REF!-"$Cm=!%2"</f>
        <v>#REF!</v>
      </c>
      <c r="GJ1" t="e">
        <f>#REF!-"$Cm=!%3"</f>
        <v>#REF!</v>
      </c>
      <c r="GK1" t="e">
        <f>#REF!-"$Cm=!%4"</f>
        <v>#REF!</v>
      </c>
      <c r="GL1" t="e">
        <f>#REF!-"$Cm=!%5"</f>
        <v>#REF!</v>
      </c>
      <c r="GM1" t="e">
        <f>#REF!-"$Cm=!%6"</f>
        <v>#REF!</v>
      </c>
      <c r="GN1" t="e">
        <f>#REF!-"$Cm=!%7"</f>
        <v>#REF!</v>
      </c>
      <c r="GO1" t="e">
        <f>#REF!-"$Cm=!%8"</f>
        <v>#REF!</v>
      </c>
      <c r="GP1" t="e">
        <f>#REF!-"$Cm=!%9"</f>
        <v>#REF!</v>
      </c>
      <c r="GQ1" t="e">
        <f>#REF!-"$Cm=!%:"</f>
        <v>#REF!</v>
      </c>
      <c r="GR1" t="e">
        <f>#REF!-"$Cm=!%;"</f>
        <v>#REF!</v>
      </c>
      <c r="GS1" t="e">
        <f>#REF!-"$Cm=!%&lt;"</f>
        <v>#REF!</v>
      </c>
      <c r="GT1" t="e">
        <f>#REF!-"$Cm=!%="</f>
        <v>#REF!</v>
      </c>
      <c r="GU1" t="e">
        <f>#REF!-"$Cm=!%&gt;"</f>
        <v>#REF!</v>
      </c>
      <c r="GV1" t="e">
        <f>#REF!-"$Cm=!%?"</f>
        <v>#REF!</v>
      </c>
      <c r="GW1" t="e">
        <f>#REF!-"$Cm=!%@"</f>
        <v>#REF!</v>
      </c>
      <c r="GX1" t="e">
        <f>#REF!-"$Cm=!%A"</f>
        <v>#REF!</v>
      </c>
      <c r="GY1" t="e">
        <f>#REF!-"$Cm=!%B"</f>
        <v>#REF!</v>
      </c>
      <c r="GZ1" t="e">
        <f>#REF!-"$Cm=!%C"</f>
        <v>#REF!</v>
      </c>
      <c r="HA1" t="e">
        <f>#REF!-"$Cm=!%D"</f>
        <v>#REF!</v>
      </c>
      <c r="HB1" t="e">
        <f>#REF!-"$Cm=!%E"</f>
        <v>#REF!</v>
      </c>
      <c r="HC1" t="e">
        <f>#REF!-"$Cm=!%F"</f>
        <v>#REF!</v>
      </c>
      <c r="HD1" t="e">
        <f>#REF!-"$Cm=!%G"</f>
        <v>#REF!</v>
      </c>
      <c r="HE1" t="e">
        <f>#REF!-"$Cm=!%H"</f>
        <v>#REF!</v>
      </c>
      <c r="HF1" t="e">
        <f>#REF!-"$Cm=!%I"</f>
        <v>#REF!</v>
      </c>
      <c r="HG1" t="e">
        <f>#REF!-"$Cm=!%J"</f>
        <v>#REF!</v>
      </c>
      <c r="HH1" t="e">
        <f>#REF!-"$Cm=!%K"</f>
        <v>#REF!</v>
      </c>
      <c r="HI1" t="e">
        <f>#REF!-"$Cm=!%L"</f>
        <v>#REF!</v>
      </c>
      <c r="HJ1" t="e">
        <f>#REF!-"$Cm=!%M"</f>
        <v>#REF!</v>
      </c>
      <c r="HK1" t="e">
        <f>#REF!-"$Cm=!%N"</f>
        <v>#REF!</v>
      </c>
      <c r="HL1" t="e">
        <f>#REF!-"$Cm=!%O"</f>
        <v>#REF!</v>
      </c>
      <c r="HM1" t="e">
        <f>#REF!-"$Cm=!%P"</f>
        <v>#REF!</v>
      </c>
      <c r="HN1" t="e">
        <f>#REF!-"$Cm=!%Q"</f>
        <v>#REF!</v>
      </c>
      <c r="HO1" t="e">
        <f>#REF!-"$Cm=!%R"</f>
        <v>#REF!</v>
      </c>
      <c r="HP1" t="e">
        <f>#REF!-"$Cm=!%S"</f>
        <v>#REF!</v>
      </c>
      <c r="HQ1" t="e">
        <f>#REF!-"$Cm=!%T"</f>
        <v>#REF!</v>
      </c>
      <c r="HR1" t="e">
        <f>#REF!-"$Cm=!%U"</f>
        <v>#REF!</v>
      </c>
      <c r="HS1" t="e">
        <f>#REF!-"$Cm=!%V"</f>
        <v>#REF!</v>
      </c>
      <c r="HT1" t="e">
        <f>#REF!-"$Cm=!%W"</f>
        <v>#REF!</v>
      </c>
      <c r="HU1" t="e">
        <f>#REF!-"$Cm=!%X"</f>
        <v>#REF!</v>
      </c>
      <c r="HV1" t="e">
        <f>#REF!-"$Cm=!%Y"</f>
        <v>#REF!</v>
      </c>
      <c r="HW1" t="e">
        <f>#REF!-"$Cm=!%Z"</f>
        <v>#REF!</v>
      </c>
      <c r="HX1" t="e">
        <f>#REF!-"$Cm=!%["</f>
        <v>#REF!</v>
      </c>
      <c r="HY1" t="e">
        <f>#REF!-"$Cm=!%\"</f>
        <v>#REF!</v>
      </c>
      <c r="HZ1" t="e">
        <f>#REF!-"$Cm=!%]"</f>
        <v>#REF!</v>
      </c>
      <c r="IA1" t="e">
        <f>#REF!-"$Cm=!%^"</f>
        <v>#REF!</v>
      </c>
      <c r="IB1" t="e">
        <f>#REF!-"$Cm=!%_"</f>
        <v>#REF!</v>
      </c>
      <c r="IC1" t="e">
        <f>#REF!-"$Cm=!%`"</f>
        <v>#REF!</v>
      </c>
      <c r="ID1" t="e">
        <f>#REF!-"$Cm=!%a"</f>
        <v>#REF!</v>
      </c>
      <c r="IE1" t="e">
        <f>#REF!-"$Cm=!%b"</f>
        <v>#REF!</v>
      </c>
      <c r="IF1" t="e">
        <f>#REF!-"$Cm=!%c"</f>
        <v>#REF!</v>
      </c>
      <c r="IG1" t="e">
        <f>#REF!-"$Cm=!%d"</f>
        <v>#REF!</v>
      </c>
      <c r="IH1" t="e">
        <f>#REF!-"$Cm=!%e"</f>
        <v>#REF!</v>
      </c>
      <c r="II1" t="e">
        <f>#REF!-"$Cm=!%f"</f>
        <v>#REF!</v>
      </c>
      <c r="IJ1" t="e">
        <f>#REF!-"$Cm=!%g"</f>
        <v>#REF!</v>
      </c>
      <c r="IK1" t="e">
        <f>#REF!-"$Cm=!%h"</f>
        <v>#REF!</v>
      </c>
      <c r="IL1" t="e">
        <f>#REF!-"$Cm=!%i"</f>
        <v>#REF!</v>
      </c>
      <c r="IM1" t="e">
        <f>#REF!-"$Cm=!%j"</f>
        <v>#REF!</v>
      </c>
      <c r="IN1" t="e">
        <f>#REF!-"$Cm=!%k"</f>
        <v>#REF!</v>
      </c>
      <c r="IO1" t="e">
        <f>#REF!-"$Cm=!%l"</f>
        <v>#REF!</v>
      </c>
      <c r="IP1" t="e">
        <f>#REF!-"$Cm=!%m"</f>
        <v>#REF!</v>
      </c>
      <c r="IQ1" t="e">
        <f>#REF!-"$Cm=!%n"</f>
        <v>#REF!</v>
      </c>
      <c r="IR1" t="e">
        <f>#REF!-"$Cm=!%o"</f>
        <v>#REF!</v>
      </c>
      <c r="IS1" t="e">
        <f>#REF!-"$Cm=!%p"</f>
        <v>#REF!</v>
      </c>
      <c r="IT1" t="e">
        <f>#REF!-"$Cm=!%q"</f>
        <v>#REF!</v>
      </c>
      <c r="IU1" t="e">
        <f>#REF!-"$Cm=!%r"</f>
        <v>#REF!</v>
      </c>
      <c r="IV1" t="e">
        <f>#REF!-"$Cm=!%s"</f>
        <v>#REF!</v>
      </c>
    </row>
    <row r="2" spans="1:256">
      <c r="A2" t="s">
        <v>44</v>
      </c>
      <c r="F2" t="e">
        <f>#REF!-"$Cm=!%t"</f>
        <v>#REF!</v>
      </c>
      <c r="G2" t="e">
        <f>#REF!-"$Cm=!%u"</f>
        <v>#REF!</v>
      </c>
      <c r="H2" t="e">
        <f>#REF!-"$Cm=!%v"</f>
        <v>#REF!</v>
      </c>
      <c r="I2" t="e">
        <f>#REF!-"$Cm=!%w"</f>
        <v>#REF!</v>
      </c>
      <c r="J2" t="e">
        <f>#REF!-"$Cm=!%x"</f>
        <v>#REF!</v>
      </c>
      <c r="K2" t="e">
        <f>#REF!-"$Cm=!%y"</f>
        <v>#REF!</v>
      </c>
      <c r="L2" t="e">
        <f>#REF!-"$Cm=!%z"</f>
        <v>#REF!</v>
      </c>
      <c r="M2" t="e">
        <f>#REF!-"$Cm=!%{"</f>
        <v>#REF!</v>
      </c>
      <c r="N2" t="e">
        <f>#REF!-"$Cm=!%|"</f>
        <v>#REF!</v>
      </c>
      <c r="O2" t="e">
        <f>#REF!-"$Cm=!%}"</f>
        <v>#REF!</v>
      </c>
      <c r="P2" t="e">
        <f>#REF!-"$Cm=!%~"</f>
        <v>#REF!</v>
      </c>
      <c r="Q2" t="e">
        <f>#REF!-"$Cm=!&amp;#"</f>
        <v>#REF!</v>
      </c>
      <c r="R2" t="e">
        <f>#REF!-"$Cm=!&amp;$"</f>
        <v>#REF!</v>
      </c>
      <c r="S2" t="e">
        <f>#REF!-"$Cm=!&amp;%"</f>
        <v>#REF!</v>
      </c>
      <c r="T2" t="e">
        <f>#REF!-"$Cm=!&amp;&amp;"</f>
        <v>#REF!</v>
      </c>
      <c r="U2" t="e">
        <f>#REF!-"$Cm=!&amp;'"</f>
        <v>#REF!</v>
      </c>
      <c r="V2" t="e">
        <f>#REF!-"$Cm=!&amp;("</f>
        <v>#REF!</v>
      </c>
      <c r="W2" t="e">
        <f>#REF!-"$Cm=!&amp;)"</f>
        <v>#REF!</v>
      </c>
      <c r="X2" t="e">
        <f>#REF!-"$Cm=!&amp;."</f>
        <v>#REF!</v>
      </c>
      <c r="Y2" t="e">
        <f>#REF!-"$Cm=!&amp;/"</f>
        <v>#REF!</v>
      </c>
      <c r="Z2" t="e">
        <f>#REF!-"$Cm=!&amp;0"</f>
        <v>#REF!</v>
      </c>
      <c r="AA2" t="e">
        <f>#REF!-"$Cm=!&amp;1"</f>
        <v>#REF!</v>
      </c>
      <c r="AB2" t="e">
        <f>#REF!-"$Cm=!&amp;2"</f>
        <v>#REF!</v>
      </c>
      <c r="AC2" t="e">
        <f>#REF!-"$Cm=!&amp;3"</f>
        <v>#REF!</v>
      </c>
      <c r="AD2" t="e">
        <f>#REF!-"$Cm=!&amp;4"</f>
        <v>#REF!</v>
      </c>
      <c r="AE2" t="e">
        <f>#REF!-"$Cm=!&amp;5"</f>
        <v>#REF!</v>
      </c>
      <c r="AF2" t="e">
        <f>#REF!-"$Cm=!&amp;6"</f>
        <v>#REF!</v>
      </c>
      <c r="AG2" t="e">
        <f>#REF!-"$Cm=!&amp;7"</f>
        <v>#REF!</v>
      </c>
      <c r="AH2" t="e">
        <f>#REF!-"$Cm=!&amp;8"</f>
        <v>#REF!</v>
      </c>
      <c r="AI2" t="e">
        <f>#REF!-"$Cm=!&amp;9"</f>
        <v>#REF!</v>
      </c>
      <c r="AJ2" t="e">
        <f>#REF!-"$Cm=!&amp;:"</f>
        <v>#REF!</v>
      </c>
      <c r="AK2" t="e">
        <f>#REF!-"$Cm=!&amp;;"</f>
        <v>#REF!</v>
      </c>
      <c r="AL2" t="e">
        <f>#REF!-"$Cm=!&amp;&lt;"</f>
        <v>#REF!</v>
      </c>
      <c r="AM2" t="e">
        <f>#REF!-"$Cm=!&amp;="</f>
        <v>#REF!</v>
      </c>
      <c r="AN2" t="e">
        <f>#REF!-"$Cm=!&amp;&gt;"</f>
        <v>#REF!</v>
      </c>
      <c r="AO2" t="e">
        <f>#REF!-"$Cm=!&amp;?"</f>
        <v>#REF!</v>
      </c>
      <c r="AP2" t="e">
        <f>#REF!-"$Cm=!&amp;@"</f>
        <v>#REF!</v>
      </c>
      <c r="AQ2" t="e">
        <f>#REF!-"$Cm=!&amp;A"</f>
        <v>#REF!</v>
      </c>
      <c r="AR2" t="e">
        <f>#REF!-"$Cm=!&amp;B"</f>
        <v>#REF!</v>
      </c>
      <c r="AS2" t="e">
        <f>#REF!-"$Cm=!&amp;C"</f>
        <v>#REF!</v>
      </c>
      <c r="AT2" t="e">
        <f>#REF!-"$Cm=!&amp;D"</f>
        <v>#REF!</v>
      </c>
      <c r="AU2" t="e">
        <f>#REF!-"$Cm=!&amp;E"</f>
        <v>#REF!</v>
      </c>
      <c r="AV2" t="e">
        <f>#REF!-"$Cm=!&amp;F"</f>
        <v>#REF!</v>
      </c>
      <c r="AW2" t="e">
        <f>#REF!-"$Cm=!&amp;G"</f>
        <v>#REF!</v>
      </c>
      <c r="AX2" t="e">
        <f>#REF!-"$Cm=!&amp;H"</f>
        <v>#REF!</v>
      </c>
      <c r="AY2" t="e">
        <f>#REF!-"$Cm=!&amp;I"</f>
        <v>#REF!</v>
      </c>
      <c r="AZ2" t="e">
        <f>#REF!-"$Cm=!&amp;J"</f>
        <v>#REF!</v>
      </c>
      <c r="BA2" t="e">
        <f>#REF!-"$Cm=!&amp;K"</f>
        <v>#REF!</v>
      </c>
      <c r="BB2" t="e">
        <f>#REF!-"$Cm=!&amp;L"</f>
        <v>#REF!</v>
      </c>
      <c r="BC2" t="e">
        <f>#REF!-"$Cm=!&amp;M"</f>
        <v>#REF!</v>
      </c>
      <c r="BD2" t="e">
        <f>#REF!-"$Cm=!&amp;N"</f>
        <v>#REF!</v>
      </c>
      <c r="BE2" t="e">
        <f>#REF!-"$Cm=!&amp;O"</f>
        <v>#REF!</v>
      </c>
      <c r="BF2" t="e">
        <f>#REF!-"$Cm=!&amp;P"</f>
        <v>#REF!</v>
      </c>
      <c r="BG2" t="e">
        <f>#REF!-"$Cm=!&amp;Q"</f>
        <v>#REF!</v>
      </c>
      <c r="BH2" t="e">
        <f>#REF!-"$Cm=!&amp;R"</f>
        <v>#REF!</v>
      </c>
      <c r="BI2" t="e">
        <f>#REF!-"$Cm=!&amp;S"</f>
        <v>#REF!</v>
      </c>
      <c r="BJ2" t="e">
        <f>#REF!-"$Cm=!&amp;T"</f>
        <v>#REF!</v>
      </c>
      <c r="BK2" t="e">
        <f>#REF!-"$Cm=!&amp;U"</f>
        <v>#REF!</v>
      </c>
      <c r="BL2" t="e">
        <f>#REF!-"$Cm=!&amp;V"</f>
        <v>#REF!</v>
      </c>
      <c r="BM2" t="e">
        <f>#REF!-"$Cm=!&amp;W"</f>
        <v>#REF!</v>
      </c>
      <c r="BN2" t="e">
        <f>#REF!-"$Cm=!&amp;X"</f>
        <v>#REF!</v>
      </c>
      <c r="BO2" t="e">
        <f>#REF!-"$Cm=!&amp;Y"</f>
        <v>#REF!</v>
      </c>
      <c r="BP2" t="e">
        <f>#REF!-"$Cm=!&amp;Z"</f>
        <v>#REF!</v>
      </c>
      <c r="BQ2" t="e">
        <f>#REF!-"$Cm=!&amp;["</f>
        <v>#REF!</v>
      </c>
      <c r="BR2" t="e">
        <f>#REF!-"$Cm=!&amp;\"</f>
        <v>#REF!</v>
      </c>
      <c r="BS2" t="e">
        <f>#REF!-"$Cm=!&amp;]"</f>
        <v>#REF!</v>
      </c>
      <c r="BT2" t="e">
        <f>#REF!-"$Cm=!&amp;^"</f>
        <v>#REF!</v>
      </c>
      <c r="BU2" t="e">
        <f>#REF!-"$Cm=!&amp;_"</f>
        <v>#REF!</v>
      </c>
      <c r="BV2" t="e">
        <f>#REF!-"$Cm=!&amp;`"</f>
        <v>#REF!</v>
      </c>
      <c r="BW2" t="e">
        <f>#REF!-"$Cm=!&amp;a"</f>
        <v>#REF!</v>
      </c>
      <c r="BX2" t="e">
        <f>#REF!-"$Cm=!&amp;b"</f>
        <v>#REF!</v>
      </c>
      <c r="BY2" t="e">
        <f>#REF!-"$Cm=!&amp;c"</f>
        <v>#REF!</v>
      </c>
      <c r="BZ2" t="e">
        <f>#REF!-"$Cm=!&amp;d"</f>
        <v>#REF!</v>
      </c>
      <c r="CA2" t="e">
        <f>#REF!-"$Cm=!&amp;e"</f>
        <v>#REF!</v>
      </c>
      <c r="CB2" t="e">
        <f>#REF!-"$Cm=!&amp;f"</f>
        <v>#REF!</v>
      </c>
      <c r="CC2" t="e">
        <f>#REF!-"$Cm=!&amp;g"</f>
        <v>#REF!</v>
      </c>
      <c r="CD2" t="e">
        <f>#REF!-"$Cm=!&amp;h"</f>
        <v>#REF!</v>
      </c>
      <c r="CE2" t="e">
        <f>#REF!-"$Cm=!&amp;i"</f>
        <v>#REF!</v>
      </c>
      <c r="CF2" t="e">
        <f>#REF!-"$Cm=!&amp;j"</f>
        <v>#REF!</v>
      </c>
      <c r="CG2" t="e">
        <f>#REF!-"$Cm=!&amp;k"</f>
        <v>#REF!</v>
      </c>
      <c r="CH2" t="e">
        <f>#REF!-"$Cm=!&amp;l"</f>
        <v>#REF!</v>
      </c>
      <c r="CI2" t="e">
        <f>#REF!-"$Cm=!&amp;m"</f>
        <v>#REF!</v>
      </c>
      <c r="CJ2" t="e">
        <f>#REF!-"$Cm=!&amp;n"</f>
        <v>#REF!</v>
      </c>
      <c r="CK2" t="e">
        <f>#REF!-"$Cm=!&amp;o"</f>
        <v>#REF!</v>
      </c>
      <c r="CL2" t="e">
        <f>#REF!-"$Cm=!&amp;p"</f>
        <v>#REF!</v>
      </c>
      <c r="CM2" t="e">
        <f>#REF!-"$Cm=!&amp;q"</f>
        <v>#REF!</v>
      </c>
      <c r="CN2" t="e">
        <f>#REF!-"$Cm=!&amp;r"</f>
        <v>#REF!</v>
      </c>
      <c r="CO2" t="e">
        <f>#REF!-"$Cm=!&amp;s"</f>
        <v>#REF!</v>
      </c>
      <c r="CP2" t="e">
        <f>#REF!-"$Cm=!&amp;t"</f>
        <v>#REF!</v>
      </c>
      <c r="CQ2" t="e">
        <f>#REF!-"$Cm=!&amp;u"</f>
        <v>#REF!</v>
      </c>
      <c r="CR2" t="e">
        <f>#REF!-"$Cm=!&amp;v"</f>
        <v>#REF!</v>
      </c>
      <c r="CS2" t="e">
        <f>#REF!-"$Cm=!&amp;w"</f>
        <v>#REF!</v>
      </c>
      <c r="CT2" t="e">
        <f>#REF!-"$Cm=!&amp;x"</f>
        <v>#REF!</v>
      </c>
      <c r="CU2" t="e">
        <f>#REF!-"$Cm=!&amp;y"</f>
        <v>#REF!</v>
      </c>
      <c r="CV2" t="e">
        <f>#REF!-"$Cm=!&amp;z"</f>
        <v>#REF!</v>
      </c>
      <c r="CW2" t="e">
        <f>#REF!-"$Cm=!&amp;{"</f>
        <v>#REF!</v>
      </c>
      <c r="CX2" t="e">
        <f>#REF!-"$Cm=!&amp;|"</f>
        <v>#REF!</v>
      </c>
      <c r="CY2" t="e">
        <f>#REF!-"$Cm=!&amp;}"</f>
        <v>#REF!</v>
      </c>
      <c r="CZ2" t="e">
        <f>#REF!-"$Cm=!&amp;~"</f>
        <v>#REF!</v>
      </c>
      <c r="DA2" t="e">
        <f>#REF!-"$Cm=!'#"</f>
        <v>#REF!</v>
      </c>
      <c r="DB2" t="e">
        <f>#REF!-"$Cm=!'$"</f>
        <v>#REF!</v>
      </c>
      <c r="DC2" t="e">
        <f>#REF!-"$Cm=!'%"</f>
        <v>#REF!</v>
      </c>
      <c r="DD2" t="e">
        <f>#REF!-"$Cm=!'&amp;"</f>
        <v>#REF!</v>
      </c>
      <c r="DE2" t="e">
        <f>#REF!-"$Cm=!''"</f>
        <v>#REF!</v>
      </c>
      <c r="DF2" t="e">
        <f>#REF!+"$Cm=!'("</f>
        <v>#REF!</v>
      </c>
      <c r="DG2" t="e">
        <f>#REF!+"$Cm=!')"</f>
        <v>#REF!</v>
      </c>
      <c r="DH2" t="e">
        <f>#REF!+"$Cm=!'."</f>
        <v>#REF!</v>
      </c>
      <c r="DI2" t="e">
        <f>#REF!+"$Cm=!'/"</f>
        <v>#REF!</v>
      </c>
      <c r="DJ2" t="e">
        <f>#REF!+"$Cm=!'0"</f>
        <v>#REF!</v>
      </c>
      <c r="DK2" t="e">
        <f>#REF!+"$Cm=!'1"</f>
        <v>#REF!</v>
      </c>
      <c r="DL2" t="e">
        <f>#REF!+"$Cm=!'2"</f>
        <v>#REF!</v>
      </c>
      <c r="DM2" t="e">
        <f>#REF!+"$Cm=!'3"</f>
        <v>#REF!</v>
      </c>
      <c r="DN2" t="e">
        <f>#REF!+"$Cm=!'4"</f>
        <v>#REF!</v>
      </c>
      <c r="DO2" t="e">
        <f>#REF!+"$Cm=!'5"</f>
        <v>#REF!</v>
      </c>
      <c r="DP2" t="e">
        <f>#REF!+"$Cm=!'6"</f>
        <v>#REF!</v>
      </c>
      <c r="DQ2" t="e">
        <f>#REF!+"$Cm=!'7"</f>
        <v>#REF!</v>
      </c>
      <c r="DR2" t="e">
        <f>#REF!+"$Cm=!'8"</f>
        <v>#REF!</v>
      </c>
      <c r="DS2" t="e">
        <f>#REF!+"$Cm=!'9"</f>
        <v>#REF!</v>
      </c>
      <c r="DT2" t="e">
        <f>#REF!+"$Cm=!':"</f>
        <v>#REF!</v>
      </c>
      <c r="DU2" t="e">
        <f>#REF!+"$Cm=!';"</f>
        <v>#REF!</v>
      </c>
      <c r="DV2" t="e">
        <f>#REF!+"$Cm=!'&lt;"</f>
        <v>#REF!</v>
      </c>
      <c r="DW2" t="e">
        <f>#REF!+"$Cm=!'="</f>
        <v>#REF!</v>
      </c>
      <c r="DX2" t="e">
        <f>#REF!+"$Cm=!'&gt;"</f>
        <v>#REF!</v>
      </c>
      <c r="DY2" t="e">
        <f>#REF!+"$Cm=!'?"</f>
        <v>#REF!</v>
      </c>
      <c r="DZ2" t="e">
        <f>#REF!+"$Cm=!'@"</f>
        <v>#REF!</v>
      </c>
      <c r="EA2" t="e">
        <f>#REF!+"$Cm=!'A"</f>
        <v>#REF!</v>
      </c>
      <c r="EB2" t="e">
        <f>#REF!+"$Cm=!'B"</f>
        <v>#REF!</v>
      </c>
      <c r="EC2" t="e">
        <f>#REF!+"$Cm=!'C"</f>
        <v>#REF!</v>
      </c>
      <c r="ED2" t="e">
        <f>#REF!+"$Cm=!'D"</f>
        <v>#REF!</v>
      </c>
      <c r="EE2" t="e">
        <f>#REF!+"$Cm=!'E"</f>
        <v>#REF!</v>
      </c>
      <c r="EF2" t="e">
        <f>#REF!+"$Cm=!'F"</f>
        <v>#REF!</v>
      </c>
      <c r="EG2" s="1" t="e">
        <f>#REF!+"$Cm=!'G"</f>
        <v>#REF!</v>
      </c>
      <c r="EH2" t="e">
        <f>#REF!+"$Cm=!'H"</f>
        <v>#REF!</v>
      </c>
      <c r="EI2" t="e">
        <f>#REF!+"$Cm=!'I"</f>
        <v>#REF!</v>
      </c>
      <c r="EJ2" t="e">
        <f>#REF!+"$Cm=!'J"</f>
        <v>#REF!</v>
      </c>
      <c r="EK2" t="e">
        <f>#REF!+"$Cm=!'K"</f>
        <v>#REF!</v>
      </c>
      <c r="EL2" t="e">
        <f>#REF!+"$Cm=!'L"</f>
        <v>#REF!</v>
      </c>
      <c r="EM2" t="e">
        <f>#REF!+"$Cm=!'M"</f>
        <v>#REF!</v>
      </c>
      <c r="EN2" t="e">
        <f>#REF!+"$Cm=!'N"</f>
        <v>#REF!</v>
      </c>
      <c r="EO2" t="e">
        <f>#REF!+"$Cm=!'O"</f>
        <v>#REF!</v>
      </c>
      <c r="EP2" t="e">
        <f>#REF!+"$Cm=!'P"</f>
        <v>#REF!</v>
      </c>
      <c r="EQ2" t="e">
        <f>#REF!+"$Cm=!'Q"</f>
        <v>#REF!</v>
      </c>
      <c r="ER2" t="e">
        <f>#REF!+"$Cm=!'R"</f>
        <v>#REF!</v>
      </c>
      <c r="ES2" t="e">
        <f>#REF!+"$Cm=!'S"</f>
        <v>#REF!</v>
      </c>
      <c r="ET2" t="e">
        <f>#REF!+"$Cm=!'T"</f>
        <v>#REF!</v>
      </c>
      <c r="EU2" t="e">
        <f>#REF!+"$Cm=!'U"</f>
        <v>#REF!</v>
      </c>
      <c r="EV2" t="e">
        <f>#REF!+"$Cm=!'V"</f>
        <v>#REF!</v>
      </c>
      <c r="EW2" t="e">
        <f>#REF!+"$Cm=!'W"</f>
        <v>#REF!</v>
      </c>
      <c r="EX2" t="e">
        <f>#REF!+"$Cm=!'X"</f>
        <v>#REF!</v>
      </c>
      <c r="EY2" t="e">
        <f>#REF!+"$Cm=!'Y"</f>
        <v>#REF!</v>
      </c>
      <c r="EZ2" t="e">
        <f>#REF!+"$Cm=!'Z"</f>
        <v>#REF!</v>
      </c>
      <c r="FA2" t="e">
        <f>#REF!+"$Cm=!'["</f>
        <v>#REF!</v>
      </c>
      <c r="FB2" t="e">
        <f>#REF!+"$Cm=!'\"</f>
        <v>#REF!</v>
      </c>
      <c r="FC2" t="e">
        <f>#REF!+"$Cm=!']"</f>
        <v>#REF!</v>
      </c>
      <c r="FD2" t="e">
        <f>#REF!+"$Cm=!'^"</f>
        <v>#REF!</v>
      </c>
      <c r="FE2" t="e">
        <f>#REF!+"$Cm=!'_"</f>
        <v>#REF!</v>
      </c>
      <c r="FF2" t="e">
        <f>#REF!+"$Cm=!'`"</f>
        <v>#REF!</v>
      </c>
      <c r="FG2" t="e">
        <f>#REF!+"$Cm=!'a"</f>
        <v>#REF!</v>
      </c>
      <c r="FH2" t="e">
        <f>#REF!+"$Cm=!'b"</f>
        <v>#REF!</v>
      </c>
      <c r="FI2" t="e">
        <f>#REF!+"$Cm=!'c"</f>
        <v>#REF!</v>
      </c>
      <c r="FJ2" t="e">
        <f>#REF!+"$Cm=!'d"</f>
        <v>#REF!</v>
      </c>
      <c r="FK2" t="e">
        <f>#REF!+"$Cm=!'e"</f>
        <v>#REF!</v>
      </c>
      <c r="FL2" t="e">
        <f>#REF!+"$Cm=!'f"</f>
        <v>#REF!</v>
      </c>
      <c r="FM2" t="e">
        <f>#REF!+"$Cm=!'g"</f>
        <v>#REF!</v>
      </c>
      <c r="FN2" t="e">
        <f>#REF!+"$Cm=!'h"</f>
        <v>#REF!</v>
      </c>
      <c r="FO2" t="e">
        <f>#REF!+"$Cm=!'i"</f>
        <v>#REF!</v>
      </c>
      <c r="FP2" t="e">
        <f>#REF!+"$Cm=!'j"</f>
        <v>#REF!</v>
      </c>
      <c r="FQ2" t="e">
        <f>#REF!+"$Cm=!'k"</f>
        <v>#REF!</v>
      </c>
      <c r="FR2" t="e">
        <f>#REF!+"$Cm=!'l"</f>
        <v>#REF!</v>
      </c>
      <c r="FS2" t="e">
        <f>#REF!+"$Cm=!'m"</f>
        <v>#REF!</v>
      </c>
      <c r="FT2" t="e">
        <f>#REF!+"$Cm=!'n"</f>
        <v>#REF!</v>
      </c>
      <c r="FU2" t="e">
        <f>#REF!+"$Cm=!'o"</f>
        <v>#REF!</v>
      </c>
      <c r="FV2" t="e">
        <f>#REF!+"$Cm=!'p"</f>
        <v>#REF!</v>
      </c>
      <c r="FW2" t="e">
        <f>#REF!+"$Cm=!'q"</f>
        <v>#REF!</v>
      </c>
      <c r="FX2" t="e">
        <f>#REF!+"$Cm=!'r"</f>
        <v>#REF!</v>
      </c>
      <c r="FY2" t="e">
        <f>#REF!+"$Cm=!'s"</f>
        <v>#REF!</v>
      </c>
      <c r="FZ2" t="e">
        <f>#REF!+"$Cm=!'t"</f>
        <v>#REF!</v>
      </c>
      <c r="GA2" t="e">
        <f>#REF!+"$Cm=!'u"</f>
        <v>#REF!</v>
      </c>
      <c r="GB2" t="e">
        <f>#REF!+"$Cm=!'v"</f>
        <v>#REF!</v>
      </c>
      <c r="GC2" t="e">
        <f>#REF!+"$Cm=!'w"</f>
        <v>#REF!</v>
      </c>
      <c r="GD2" s="2" t="e">
        <f>#REF!+"$Cm=!'x"</f>
        <v>#REF!</v>
      </c>
      <c r="GE2" t="e">
        <f>#REF!+"$Cm=!'y"</f>
        <v>#REF!</v>
      </c>
      <c r="GF2" t="e">
        <f>#REF!+"$Cm=!'z"</f>
        <v>#REF!</v>
      </c>
      <c r="GG2" t="e">
        <f>#REF!+"$Cm=!'{"</f>
        <v>#REF!</v>
      </c>
      <c r="GH2" t="e">
        <f>#REF!+"$Cm=!'|"</f>
        <v>#REF!</v>
      </c>
      <c r="GI2" t="e">
        <f>#REF!+"$Cm=!'}"</f>
        <v>#REF!</v>
      </c>
      <c r="GJ2" t="e">
        <f>#REF!+"$Cm=!'~"</f>
        <v>#REF!</v>
      </c>
      <c r="GK2" t="e">
        <f>#REF!+"$Cm=!(#"</f>
        <v>#REF!</v>
      </c>
      <c r="GL2" t="e">
        <f>#REF!+"$Cm=!($"</f>
        <v>#REF!</v>
      </c>
      <c r="GM2" t="e">
        <f>#REF!+"$Cm=!(%"</f>
        <v>#REF!</v>
      </c>
      <c r="GN2" t="e">
        <f>#REF!+"$Cm=!(&amp;"</f>
        <v>#REF!</v>
      </c>
      <c r="GO2" t="e">
        <f>#REF!+"$Cm=!('"</f>
        <v>#REF!</v>
      </c>
      <c r="GP2" t="e">
        <f>#REF!+"$Cm=!(("</f>
        <v>#REF!</v>
      </c>
      <c r="GQ2" t="e">
        <f>#REF!+"$Cm=!()"</f>
        <v>#REF!</v>
      </c>
      <c r="GR2" t="e">
        <f>#REF!+"$Cm=!(."</f>
        <v>#REF!</v>
      </c>
      <c r="GS2" t="e">
        <f>#REF!+"$Cm=!(/"</f>
        <v>#REF!</v>
      </c>
      <c r="GT2" t="e">
        <f>#REF!+"$Cm=!(0"</f>
        <v>#REF!</v>
      </c>
      <c r="GU2" t="e">
        <f>#REF!+"$Cm=!(1"</f>
        <v>#REF!</v>
      </c>
      <c r="GV2" t="e">
        <f>#REF!+"$Cm=!(2"</f>
        <v>#REF!</v>
      </c>
      <c r="GW2" t="e">
        <f>#REF!+"$Cm=!(3"</f>
        <v>#REF!</v>
      </c>
      <c r="GX2" t="e">
        <f>#REF!+"$Cm=!(4"</f>
        <v>#REF!</v>
      </c>
      <c r="GY2" t="e">
        <f>#REF!+"$Cm=!(5"</f>
        <v>#REF!</v>
      </c>
      <c r="GZ2" t="e">
        <f>#REF!+"$Cm=!(6"</f>
        <v>#REF!</v>
      </c>
      <c r="HA2" t="e">
        <f>#REF!+"$Cm=!(7"</f>
        <v>#REF!</v>
      </c>
      <c r="HB2" t="e">
        <f>#REF!+"$Cm=!(8"</f>
        <v>#REF!</v>
      </c>
      <c r="HC2" t="e">
        <f>#REF!+"$Cm=!(9"</f>
        <v>#REF!</v>
      </c>
      <c r="HD2" s="2" t="e">
        <f>#REF!+"$Cm=!(:"</f>
        <v>#REF!</v>
      </c>
      <c r="HE2" t="e">
        <f>#REF!+"$Cm=!(;"</f>
        <v>#REF!</v>
      </c>
      <c r="HF2" t="e">
        <f>#REF!+"$Cm=!(&lt;"</f>
        <v>#REF!</v>
      </c>
      <c r="HG2" s="3" t="e">
        <f>#REF!+"$Cm=!(="</f>
        <v>#REF!</v>
      </c>
      <c r="HH2" s="3" t="e">
        <f>#REF!+"$Cm=!(&gt;"</f>
        <v>#REF!</v>
      </c>
      <c r="HI2" t="e">
        <f>#REF!+"$Cm=!(?"</f>
        <v>#REF!</v>
      </c>
      <c r="HJ2" t="e">
        <f>#REF!+"$Cm=!(@"</f>
        <v>#REF!</v>
      </c>
      <c r="HK2" t="e">
        <f>#REF!+"$Cm=!(A"</f>
        <v>#REF!</v>
      </c>
      <c r="HL2" t="e">
        <f>#REF!+"$Cm=!(B"</f>
        <v>#REF!</v>
      </c>
      <c r="HM2" t="e">
        <f>#REF!+"$Cm=!(C"</f>
        <v>#REF!</v>
      </c>
      <c r="HN2" t="e">
        <f>#REF!+"$Cm=!(D"</f>
        <v>#REF!</v>
      </c>
      <c r="HO2" t="e">
        <f>#REF!+"$Cm=!(E"</f>
        <v>#REF!</v>
      </c>
      <c r="HP2" s="2" t="e">
        <f>#REF!+"$Cm=!(F"</f>
        <v>#REF!</v>
      </c>
      <c r="HQ2" t="e">
        <f>#REF!+"$Cm=!(G"</f>
        <v>#REF!</v>
      </c>
      <c r="HR2" t="e">
        <f>#REF!+"$Cm=!(H"</f>
        <v>#REF!</v>
      </c>
      <c r="HS2" s="3" t="e">
        <f>#REF!+"$Cm=!(I"</f>
        <v>#REF!</v>
      </c>
      <c r="HT2" s="3" t="e">
        <f>#REF!+"$Cm=!(J"</f>
        <v>#REF!</v>
      </c>
      <c r="HU2" t="e">
        <f>#REF!+"$Cm=!(K"</f>
        <v>#REF!</v>
      </c>
      <c r="HV2" t="e">
        <f>#REF!+"$Cm=!(L"</f>
        <v>#REF!</v>
      </c>
      <c r="HW2" t="e">
        <f>#REF!+"$Cm=!(M"</f>
        <v>#REF!</v>
      </c>
      <c r="HX2" t="e">
        <f>#REF!+"$Cm=!(N"</f>
        <v>#REF!</v>
      </c>
      <c r="HY2" t="e">
        <f>#REF!+"$Cm=!(O"</f>
        <v>#REF!</v>
      </c>
      <c r="HZ2" t="e">
        <f>#REF!+"$Cm=!(P"</f>
        <v>#REF!</v>
      </c>
      <c r="IA2" t="e">
        <f>#REF!+"$Cm=!(Q"</f>
        <v>#REF!</v>
      </c>
      <c r="IB2" t="e">
        <f>#REF!+"$Cm=!(R"</f>
        <v>#REF!</v>
      </c>
      <c r="IC2" s="2" t="e">
        <f>#REF!+"$Cm=!(S"</f>
        <v>#REF!</v>
      </c>
      <c r="ID2" t="e">
        <f>#REF!+"$Cm=!(T"</f>
        <v>#REF!</v>
      </c>
      <c r="IE2" t="e">
        <f>#REF!+"$Cm=!(U"</f>
        <v>#REF!</v>
      </c>
      <c r="IF2" t="e">
        <f>#REF!+"$Cm=!(V"</f>
        <v>#REF!</v>
      </c>
      <c r="IG2" t="e">
        <f>#REF!+"$Cm=!(W"</f>
        <v>#REF!</v>
      </c>
      <c r="IH2" t="e">
        <f>#REF!+"$Cm=!(X"</f>
        <v>#REF!</v>
      </c>
      <c r="II2" t="e">
        <f>#REF!+"$Cm=!(Y"</f>
        <v>#REF!</v>
      </c>
      <c r="IJ2" t="e">
        <f>#REF!+"$Cm=!(Z"</f>
        <v>#REF!</v>
      </c>
      <c r="IK2" t="e">
        <f>#REF!+"$Cm=!(["</f>
        <v>#REF!</v>
      </c>
      <c r="IL2" t="e">
        <f>#REF!+"$Cm=!(\"</f>
        <v>#REF!</v>
      </c>
      <c r="IM2" t="e">
        <f>#REF!+"$Cm=!(]"</f>
        <v>#REF!</v>
      </c>
      <c r="IN2" t="e">
        <f>#REF!+"$Cm=!(^"</f>
        <v>#REF!</v>
      </c>
      <c r="IO2" t="e">
        <f>#REF!+"$Cm=!(_"</f>
        <v>#REF!</v>
      </c>
      <c r="IP2" s="2" t="e">
        <f>#REF!+"$Cm=!(`"</f>
        <v>#REF!</v>
      </c>
      <c r="IQ2" t="e">
        <f>#REF!+"$Cm=!(a"</f>
        <v>#REF!</v>
      </c>
      <c r="IR2" t="e">
        <f>#REF!+"$Cm=!(b"</f>
        <v>#REF!</v>
      </c>
      <c r="IS2" t="e">
        <f>#REF!+"$Cm=!(c"</f>
        <v>#REF!</v>
      </c>
      <c r="IT2" t="e">
        <f>#REF!+"$Cm=!(d"</f>
        <v>#REF!</v>
      </c>
      <c r="IU2" t="e">
        <f>#REF!+"$Cm=!(e"</f>
        <v>#REF!</v>
      </c>
      <c r="IV2" t="e">
        <f>#REF!+"$Cm=!(f"</f>
        <v>#REF!</v>
      </c>
    </row>
    <row r="3" spans="1:256">
      <c r="A3" t="s">
        <v>45</v>
      </c>
      <c r="F3" t="e">
        <f>#REF!+"$Cm=!(g"</f>
        <v>#REF!</v>
      </c>
      <c r="G3" t="e">
        <f>#REF!+"$Cm=!(h"</f>
        <v>#REF!</v>
      </c>
      <c r="H3" t="e">
        <f>#REF!+"$Cm=!(i"</f>
        <v>#REF!</v>
      </c>
      <c r="I3" t="e">
        <f>#REF!+"$Cm=!(j"</f>
        <v>#REF!</v>
      </c>
      <c r="J3" t="e">
        <f>#REF!+"$Cm=!(k"</f>
        <v>#REF!</v>
      </c>
      <c r="K3" t="e">
        <f>#REF!+"$Cm=!(l"</f>
        <v>#REF!</v>
      </c>
      <c r="L3" s="2" t="e">
        <f>#REF!+"$Cm=!(m"</f>
        <v>#REF!</v>
      </c>
      <c r="M3" t="e">
        <f>#REF!+"$Cm=!(n"</f>
        <v>#REF!</v>
      </c>
      <c r="N3" t="e">
        <f>#REF!+"$Cm=!(o"</f>
        <v>#REF!</v>
      </c>
      <c r="O3" t="e">
        <f>#REF!+"$Cm=!(p"</f>
        <v>#REF!</v>
      </c>
      <c r="P3" t="e">
        <f>#REF!+"$Cm=!(q"</f>
        <v>#REF!</v>
      </c>
      <c r="Q3" t="e">
        <f>#REF!+"$Cm=!(r"</f>
        <v>#REF!</v>
      </c>
      <c r="R3" t="e">
        <f>#REF!+"$Cm=!(s"</f>
        <v>#REF!</v>
      </c>
      <c r="S3" t="e">
        <f>#REF!+"$Cm=!(t"</f>
        <v>#REF!</v>
      </c>
      <c r="T3" t="e">
        <f>#REF!+"$Cm=!(u"</f>
        <v>#REF!</v>
      </c>
      <c r="U3" t="e">
        <f>#REF!+"$Cm=!(v"</f>
        <v>#REF!</v>
      </c>
      <c r="V3" t="e">
        <f>#REF!+"$Cm=!(w"</f>
        <v>#REF!</v>
      </c>
      <c r="W3" t="e">
        <f>#REF!+"$Cm=!(x"</f>
        <v>#REF!</v>
      </c>
      <c r="X3" t="e">
        <f>#REF!+"$Cm=!(y"</f>
        <v>#REF!</v>
      </c>
      <c r="Y3" s="2" t="e">
        <f>#REF!+"$Cm=!(z"</f>
        <v>#REF!</v>
      </c>
      <c r="Z3" t="e">
        <f>#REF!+"$Cm=!({"</f>
        <v>#REF!</v>
      </c>
      <c r="AA3" t="e">
        <f>#REF!+"$Cm=!(|"</f>
        <v>#REF!</v>
      </c>
      <c r="AB3" s="1" t="e">
        <f>#REF!+"$Cm=!(}"</f>
        <v>#REF!</v>
      </c>
      <c r="AC3" s="1" t="e">
        <f>#REF!+"$Cm=!(~"</f>
        <v>#REF!</v>
      </c>
      <c r="AD3" t="e">
        <f>#REF!+"$Cm=!)#"</f>
        <v>#REF!</v>
      </c>
      <c r="AE3" t="e">
        <f>#REF!+"$Cm=!)$"</f>
        <v>#REF!</v>
      </c>
      <c r="AF3" t="e">
        <f>#REF!+"$Cm=!)%"</f>
        <v>#REF!</v>
      </c>
      <c r="AG3" t="e">
        <f>#REF!+"$Cm=!)&amp;"</f>
        <v>#REF!</v>
      </c>
      <c r="AH3" t="e">
        <f>#REF!+"$Cm=!)'"</f>
        <v>#REF!</v>
      </c>
      <c r="AI3" t="e">
        <f>#REF!+"$Cm=!)("</f>
        <v>#REF!</v>
      </c>
      <c r="AJ3" t="e">
        <f>#REF!+"$Cm=!))"</f>
        <v>#REF!</v>
      </c>
      <c r="AK3" t="e">
        <f>#REF!+"$Cm=!)."</f>
        <v>#REF!</v>
      </c>
      <c r="AL3" s="2" t="e">
        <f>#REF!+"$Cm=!)/"</f>
        <v>#REF!</v>
      </c>
      <c r="AM3" t="e">
        <f>#REF!+"$Cm=!)0"</f>
        <v>#REF!</v>
      </c>
      <c r="AN3" t="e">
        <f>#REF!+"$Cm=!)1"</f>
        <v>#REF!</v>
      </c>
      <c r="AO3" t="e">
        <f>#REF!+"$Cm=!)2"</f>
        <v>#REF!</v>
      </c>
      <c r="AP3" t="e">
        <f>#REF!+"$Cm=!)3"</f>
        <v>#REF!</v>
      </c>
      <c r="AQ3" t="e">
        <f>#REF!+"$Cm=!)4"</f>
        <v>#REF!</v>
      </c>
      <c r="AR3" t="e">
        <f>#REF!+"$Cm=!)5"</f>
        <v>#REF!</v>
      </c>
      <c r="AS3" t="e">
        <f>#REF!+"$Cm=!)6"</f>
        <v>#REF!</v>
      </c>
      <c r="AT3" t="e">
        <f>#REF!+"$Cm=!)7"</f>
        <v>#REF!</v>
      </c>
      <c r="AU3" t="e">
        <f>#REF!+"$Cm=!)8"</f>
        <v>#REF!</v>
      </c>
      <c r="AV3" t="e">
        <f>#REF!+"$Cm=!)9"</f>
        <v>#REF!</v>
      </c>
      <c r="AW3" t="e">
        <f>#REF!+"$Cm=!):"</f>
        <v>#REF!</v>
      </c>
      <c r="AX3" t="e">
        <f>#REF!+"$Cm=!);"</f>
        <v>#REF!</v>
      </c>
      <c r="AY3" s="2" t="e">
        <f>#REF!+"$Cm=!)&lt;"</f>
        <v>#REF!</v>
      </c>
      <c r="AZ3" t="e">
        <f>#REF!+"$Cm=!)="</f>
        <v>#REF!</v>
      </c>
      <c r="BA3" t="e">
        <f>#REF!+"$Cm=!)&gt;"</f>
        <v>#REF!</v>
      </c>
      <c r="BB3" t="e">
        <f>#REF!+"$Cm=!)?"</f>
        <v>#REF!</v>
      </c>
      <c r="BC3" t="e">
        <f>#REF!+"$Cm=!)@"</f>
        <v>#REF!</v>
      </c>
      <c r="BD3" t="e">
        <f>#REF!+"$Cm=!)A"</f>
        <v>#REF!</v>
      </c>
      <c r="BE3" t="e">
        <f>#REF!+"$Cm=!)B"</f>
        <v>#REF!</v>
      </c>
      <c r="BF3" t="e">
        <f>#REF!+"$Cm=!)C"</f>
        <v>#REF!</v>
      </c>
      <c r="BG3" t="e">
        <f>#REF!+"$Cm=!)D"</f>
        <v>#REF!</v>
      </c>
      <c r="BH3" t="e">
        <f>#REF!+"$Cm=!)E"</f>
        <v>#REF!</v>
      </c>
      <c r="BI3" t="e">
        <f>#REF!+"$Cm=!)F"</f>
        <v>#REF!</v>
      </c>
      <c r="BJ3" t="e">
        <f>#REF!+"$Cm=!)G"</f>
        <v>#REF!</v>
      </c>
      <c r="BK3" t="e">
        <f>#REF!+"$Cm=!)H"</f>
        <v>#REF!</v>
      </c>
      <c r="BL3" s="2" t="e">
        <f>#REF!+"$Cm=!)I"</f>
        <v>#REF!</v>
      </c>
      <c r="BM3" t="e">
        <f>#REF!+"$Cm=!)J"</f>
        <v>#REF!</v>
      </c>
      <c r="BN3" t="e">
        <f>#REF!+"$Cm=!)K"</f>
        <v>#REF!</v>
      </c>
      <c r="BO3" t="e">
        <f>#REF!+"$Cm=!)L"</f>
        <v>#REF!</v>
      </c>
      <c r="BP3" s="3" t="e">
        <f>#REF!+"$Cm=!)M"</f>
        <v>#REF!</v>
      </c>
      <c r="BQ3" t="e">
        <f>#REF!+"$Cm=!)N"</f>
        <v>#REF!</v>
      </c>
      <c r="BR3" t="e">
        <f>#REF!+"$Cm=!)O"</f>
        <v>#REF!</v>
      </c>
      <c r="BS3" t="e">
        <f>#REF!+"$Cm=!)P"</f>
        <v>#REF!</v>
      </c>
      <c r="BT3" t="e">
        <f>#REF!+"$Cm=!)Q"</f>
        <v>#REF!</v>
      </c>
      <c r="BU3" t="e">
        <f>#REF!+"$Cm=!)R"</f>
        <v>#REF!</v>
      </c>
      <c r="BV3" t="e">
        <f>#REF!+"$Cm=!)S"</f>
        <v>#REF!</v>
      </c>
      <c r="BW3" t="e">
        <f>#REF!+"$Cm=!)T"</f>
        <v>#REF!</v>
      </c>
      <c r="BX3" t="e">
        <f>#REF!+"$Cm=!)U"</f>
        <v>#REF!</v>
      </c>
      <c r="BY3" s="2" t="e">
        <f>#REF!+"$Cm=!)V"</f>
        <v>#REF!</v>
      </c>
      <c r="BZ3" t="e">
        <f>#REF!+"$Cm=!)W"</f>
        <v>#REF!</v>
      </c>
      <c r="CA3" t="e">
        <f>#REF!+"$Cm=!)X"</f>
        <v>#REF!</v>
      </c>
      <c r="CB3" t="e">
        <f>#REF!+"$Cm=!)Y"</f>
        <v>#REF!</v>
      </c>
      <c r="CC3" s="3" t="e">
        <f>#REF!+"$Cm=!)Z"</f>
        <v>#REF!</v>
      </c>
      <c r="CD3" t="e">
        <f>#REF!+"$Cm=!)["</f>
        <v>#REF!</v>
      </c>
      <c r="CE3" t="e">
        <f>#REF!+"$Cm=!)\"</f>
        <v>#REF!</v>
      </c>
      <c r="CF3" t="e">
        <f>#REF!+"$Cm=!)]"</f>
        <v>#REF!</v>
      </c>
      <c r="CG3" t="e">
        <f>#REF!+"$Cm=!)^"</f>
        <v>#REF!</v>
      </c>
      <c r="CH3" t="e">
        <f>#REF!+"$Cm=!)_"</f>
        <v>#REF!</v>
      </c>
      <c r="CI3" t="e">
        <f>#REF!+"$Cm=!)`"</f>
        <v>#REF!</v>
      </c>
      <c r="CJ3" t="e">
        <f>#REF!+"$Cm=!)a"</f>
        <v>#REF!</v>
      </c>
      <c r="CK3" t="e">
        <f>#REF!+"$Cm=!)b"</f>
        <v>#REF!</v>
      </c>
      <c r="CL3" t="e">
        <f>#REF!+"$Cm=!)c"</f>
        <v>#REF!</v>
      </c>
      <c r="CM3" t="e">
        <f>#REF!+"$Cm=!)d"</f>
        <v>#REF!</v>
      </c>
      <c r="CN3" t="e">
        <f>#REF!+"$Cm=!)e"</f>
        <v>#REF!</v>
      </c>
      <c r="CO3" t="e">
        <f>#REF!+"$Cm=!)f"</f>
        <v>#REF!</v>
      </c>
      <c r="CP3" t="e">
        <f>#REF!+"$Cm=!)g"</f>
        <v>#REF!</v>
      </c>
      <c r="CQ3" t="e">
        <f>#REF!+"$Cm=!)h"</f>
        <v>#REF!</v>
      </c>
      <c r="CR3" t="e">
        <f>#REF!+"$Cm=!)i"</f>
        <v>#REF!</v>
      </c>
      <c r="CS3" t="e">
        <f>#REF!+"$Cm=!)j"</f>
        <v>#REF!</v>
      </c>
      <c r="CT3" t="e">
        <f>#REF!+"$Cm=!)k"</f>
        <v>#REF!</v>
      </c>
      <c r="CU3" t="e">
        <f>#REF!+"$Cm=!)l"</f>
        <v>#REF!</v>
      </c>
      <c r="CV3" t="e">
        <f>#REF!+"$Cm=!)m"</f>
        <v>#REF!</v>
      </c>
      <c r="CW3" t="e">
        <f>#REF!+"$Cm=!)n"</f>
        <v>#REF!</v>
      </c>
      <c r="CX3" t="e">
        <f>#REF!+"$Cm=!)o"</f>
        <v>#REF!</v>
      </c>
      <c r="CY3" t="e">
        <f>#REF!+"$Cm=!)p"</f>
        <v>#REF!</v>
      </c>
      <c r="CZ3" t="e">
        <f>#REF!+"$Cm=!)q"</f>
        <v>#REF!</v>
      </c>
      <c r="DA3" s="3" t="e">
        <f>#REF!+"$Cm=!)r"</f>
        <v>#REF!</v>
      </c>
      <c r="DB3" t="e">
        <f>#REF!+"$Cm=!)s"</f>
        <v>#REF!</v>
      </c>
      <c r="DC3" t="e">
        <f>#REF!+"$Cm=!)t"</f>
        <v>#REF!</v>
      </c>
      <c r="DD3" t="e">
        <f>#REF!+"$Cm=!)u"</f>
        <v>#REF!</v>
      </c>
      <c r="DE3" t="e">
        <f>#REF!+"$Cm=!)v"</f>
        <v>#REF!</v>
      </c>
      <c r="DF3" t="e">
        <f>#REF!+"$Cm=!)w"</f>
        <v>#REF!</v>
      </c>
      <c r="DG3" t="e">
        <f>#REF!+"$Cm=!)x"</f>
        <v>#REF!</v>
      </c>
      <c r="DH3" s="2" t="e">
        <f>#REF!+"$Cm=!)y"</f>
        <v>#REF!</v>
      </c>
      <c r="DI3" t="e">
        <f>#REF!+"$Cm=!)z"</f>
        <v>#REF!</v>
      </c>
      <c r="DJ3" t="e">
        <f>#REF!+"$Cm=!){"</f>
        <v>#REF!</v>
      </c>
      <c r="DK3" t="e">
        <f>#REF!+"$Cm=!)|"</f>
        <v>#REF!</v>
      </c>
      <c r="DL3" t="e">
        <f>#REF!+"$Cm=!)}"</f>
        <v>#REF!</v>
      </c>
      <c r="DM3" t="e">
        <f>#REF!+"$Cm=!)~"</f>
        <v>#REF!</v>
      </c>
      <c r="DN3" t="e">
        <f>#REF!+"$Cm=!.#"</f>
        <v>#REF!</v>
      </c>
      <c r="DO3" t="e">
        <f>#REF!+"$Cm=!.$"</f>
        <v>#REF!</v>
      </c>
      <c r="DP3" t="e">
        <f>#REF!+"$Cm=!.%"</f>
        <v>#REF!</v>
      </c>
      <c r="DQ3" t="e">
        <f>#REF!+"$Cm=!.&amp;"</f>
        <v>#REF!</v>
      </c>
      <c r="DR3" t="e">
        <f>#REF!+"$Cm=!.'"</f>
        <v>#REF!</v>
      </c>
      <c r="DS3" s="2" t="e">
        <f>#REF!+"$Cm=!.("</f>
        <v>#REF!</v>
      </c>
      <c r="DT3" t="e">
        <f>#REF!+"$Cm=!.)"</f>
        <v>#REF!</v>
      </c>
      <c r="DU3" t="e">
        <f>#REF!+"$Cm=!.."</f>
        <v>#REF!</v>
      </c>
      <c r="DV3" t="e">
        <f>#REF!+"$Cm=!./"</f>
        <v>#REF!</v>
      </c>
      <c r="DW3" t="e">
        <f>#REF!+"$Cm=!.0"</f>
        <v>#REF!</v>
      </c>
      <c r="DX3" t="e">
        <f>#REF!+"$Cm=!.1"</f>
        <v>#REF!</v>
      </c>
      <c r="DY3" t="e">
        <f>#REF!+"$Cm=!.2"</f>
        <v>#REF!</v>
      </c>
      <c r="DZ3" t="e">
        <f>#REF!+"$Cm=!.3"</f>
        <v>#REF!</v>
      </c>
      <c r="EA3" t="e">
        <f>#REF!+"$Cm=!.4"</f>
        <v>#REF!</v>
      </c>
      <c r="EB3" t="e">
        <f>#REF!+"$Cm=!.5"</f>
        <v>#REF!</v>
      </c>
      <c r="EC3" t="e">
        <f>#REF!+"$Cm=!.6"</f>
        <v>#REF!</v>
      </c>
      <c r="ED3" s="2" t="e">
        <f>#REF!+"$Cm=!.7"</f>
        <v>#REF!</v>
      </c>
      <c r="EE3" t="e">
        <f>#REF!+"$Cm=!.8"</f>
        <v>#REF!</v>
      </c>
      <c r="EF3" t="e">
        <f>#REF!+"$Cm=!.9"</f>
        <v>#REF!</v>
      </c>
      <c r="EG3" t="e">
        <f>#REF!+"$Cm=!.:"</f>
        <v>#REF!</v>
      </c>
      <c r="EH3" t="e">
        <f>#REF!+"$Cm=!.;"</f>
        <v>#REF!</v>
      </c>
      <c r="EI3" t="e">
        <f>#REF!+"$Cm=!.&lt;"</f>
        <v>#REF!</v>
      </c>
      <c r="EJ3" t="e">
        <f>#REF!+"$Cm=!.="</f>
        <v>#REF!</v>
      </c>
      <c r="EK3" t="e">
        <f>#REF!+"$Cm=!.&gt;"</f>
        <v>#REF!</v>
      </c>
      <c r="EL3" t="e">
        <f>#REF!+"$Cm=!.?"</f>
        <v>#REF!</v>
      </c>
      <c r="EM3" t="e">
        <f>#REF!+"$Cm=!.@"</f>
        <v>#REF!</v>
      </c>
      <c r="EN3" t="e">
        <f>#REF!+"$Cm=!.A"</f>
        <v>#REF!</v>
      </c>
      <c r="EO3" s="2" t="e">
        <f>#REF!+"$Cm=!.B"</f>
        <v>#REF!</v>
      </c>
      <c r="EP3" t="e">
        <f>#REF!+"$Cm=!.C"</f>
        <v>#REF!</v>
      </c>
      <c r="EQ3" t="e">
        <f>#REF!+"$Cm=!.D"</f>
        <v>#REF!</v>
      </c>
      <c r="ER3" t="e">
        <f>#REF!+"$Cm=!.E"</f>
        <v>#REF!</v>
      </c>
      <c r="ES3" t="e">
        <f>#REF!+"$Cm=!.F"</f>
        <v>#REF!</v>
      </c>
      <c r="ET3" t="e">
        <f>#REF!+"$Cm=!.G"</f>
        <v>#REF!</v>
      </c>
      <c r="EU3" t="e">
        <f>#REF!+"$Cm=!.H"</f>
        <v>#REF!</v>
      </c>
      <c r="EV3" t="e">
        <f>#REF!+"$Cm=!.I"</f>
        <v>#REF!</v>
      </c>
      <c r="EW3" t="e">
        <f>#REF!+"$Cm=!.J"</f>
        <v>#REF!</v>
      </c>
      <c r="EX3" t="e">
        <f>#REF!+"$Cm=!.K"</f>
        <v>#REF!</v>
      </c>
      <c r="EY3" s="2" t="e">
        <f>#REF!+"$Cm=!.L"</f>
        <v>#REF!</v>
      </c>
      <c r="EZ3" t="e">
        <f>#REF!+"$Cm=!.M"</f>
        <v>#REF!</v>
      </c>
      <c r="FA3" t="e">
        <f>#REF!+"$Cm=!.N"</f>
        <v>#REF!</v>
      </c>
      <c r="FB3" t="e">
        <f>#REF!+"$Cm=!.O"</f>
        <v>#REF!</v>
      </c>
      <c r="FC3" t="e">
        <f>#REF!+"$Cm=!.P"</f>
        <v>#REF!</v>
      </c>
      <c r="FD3" t="e">
        <f>#REF!+"$Cm=!.Q"</f>
        <v>#REF!</v>
      </c>
      <c r="FE3" t="e">
        <f>#REF!+"$Cm=!.R"</f>
        <v>#REF!</v>
      </c>
      <c r="FF3" t="e">
        <f>#REF!+"$Cm=!.S"</f>
        <v>#REF!</v>
      </c>
      <c r="FG3" t="e">
        <f>#REF!+"$Cm=!.T"</f>
        <v>#REF!</v>
      </c>
      <c r="FH3" t="e">
        <f>#REF!+"$Cm=!.U"</f>
        <v>#REF!</v>
      </c>
      <c r="FI3" t="e">
        <f>#REF!+"$Cm=!.V"</f>
        <v>#REF!</v>
      </c>
      <c r="FJ3" t="e">
        <f>#REF!+"$Cm=!.W"</f>
        <v>#REF!</v>
      </c>
      <c r="FK3" t="e">
        <f>#REF!+"$Cm=!.X"</f>
        <v>#REF!</v>
      </c>
      <c r="FL3" t="e">
        <f>#REF!+"$Cm=!.Y"</f>
        <v>#REF!</v>
      </c>
      <c r="FM3" t="e">
        <f>#REF!+"$Cm=!.Z"</f>
        <v>#REF!</v>
      </c>
      <c r="FN3" t="e">
        <f>#REF!+"$Cm=!.["</f>
        <v>#REF!</v>
      </c>
      <c r="FO3" t="e">
        <f>#REF!+"$Cm=!.\"</f>
        <v>#REF!</v>
      </c>
      <c r="FP3" t="e">
        <f>#REF!+"$Cm=!.]"</f>
        <v>#REF!</v>
      </c>
      <c r="FQ3" t="e">
        <f>#REF!+"$Cm=!.^"</f>
        <v>#REF!</v>
      </c>
      <c r="FR3" t="e">
        <f>#REF!+"$Cm=!._"</f>
        <v>#REF!</v>
      </c>
      <c r="FS3" t="e">
        <f>#REF!+"$Cm=!.`"</f>
        <v>#REF!</v>
      </c>
      <c r="FT3" t="e">
        <f>#REF!+"$Cm=!.a"</f>
        <v>#REF!</v>
      </c>
      <c r="FU3" t="e">
        <f>#REF!+"$Cm=!.b"</f>
        <v>#REF!</v>
      </c>
      <c r="FV3" t="e">
        <f>#REF!+"$Cm=!.c"</f>
        <v>#REF!</v>
      </c>
      <c r="FW3" t="e">
        <f>#REF!+"$Cm=!.d"</f>
        <v>#REF!</v>
      </c>
      <c r="FX3" t="e">
        <f>#REF!+"$Cm=!.e"</f>
        <v>#REF!</v>
      </c>
      <c r="FY3" t="e">
        <f>#REF!+"$Cm=!.f"</f>
        <v>#REF!</v>
      </c>
      <c r="FZ3" t="e">
        <f>#REF!+"$Cm=!.g"</f>
        <v>#REF!</v>
      </c>
      <c r="GA3" t="e">
        <f>#REF!+"$Cm=!.h"</f>
        <v>#REF!</v>
      </c>
      <c r="GB3" t="e">
        <f>#REF!+"$Cm=!.i"</f>
        <v>#REF!</v>
      </c>
      <c r="GC3" t="e">
        <f>#REF!+"$Cm=!.j"</f>
        <v>#REF!</v>
      </c>
      <c r="GD3" t="e">
        <f>#REF!+"$Cm=!.k"</f>
        <v>#REF!</v>
      </c>
      <c r="GE3" t="e">
        <f>#REF!+"$Cm=!.l"</f>
        <v>#REF!</v>
      </c>
      <c r="GF3" t="e">
        <f>#REF!+"$Cm=!.m"</f>
        <v>#REF!</v>
      </c>
      <c r="GG3" t="e">
        <f>#REF!+"$Cm=!.n"</f>
        <v>#REF!</v>
      </c>
      <c r="GH3" t="e">
        <f>#REF!+"$Cm=!.o"</f>
        <v>#REF!</v>
      </c>
      <c r="GI3" t="e">
        <f>#REF!+"$Cm=!.p"</f>
        <v>#REF!</v>
      </c>
      <c r="GJ3" t="e">
        <f>#REF!+"$Cm=!.q"</f>
        <v>#REF!</v>
      </c>
      <c r="GK3" t="e">
        <f>#REF!+"$Cm=!.r"</f>
        <v>#REF!</v>
      </c>
      <c r="GL3" t="e">
        <f>#REF!+"$Cm=!.s"</f>
        <v>#REF!</v>
      </c>
      <c r="GM3" t="e">
        <f>#REF!+"$Cm=!.t"</f>
        <v>#REF!</v>
      </c>
      <c r="GN3" t="e">
        <f>#REF!+"$Cm=!.u"</f>
        <v>#REF!</v>
      </c>
      <c r="GO3" t="e">
        <f>#REF!+"$Cm=!.v"</f>
        <v>#REF!</v>
      </c>
      <c r="GP3" t="e">
        <f>#REF!+"$Cm=!.w"</f>
        <v>#REF!</v>
      </c>
      <c r="GQ3" s="3" t="e">
        <f>#REF!+"$Cm=!.x"</f>
        <v>#REF!</v>
      </c>
      <c r="GR3" t="e">
        <f>#REF!+"$Cm=!.y"</f>
        <v>#REF!</v>
      </c>
      <c r="GS3" t="e">
        <f>#REF!+"$Cm=!.z"</f>
        <v>#REF!</v>
      </c>
      <c r="GT3" t="e">
        <f>#REF!+"$Cm=!.{"</f>
        <v>#REF!</v>
      </c>
      <c r="GU3" t="e">
        <f>#REF!+"$Cm=!.|"</f>
        <v>#REF!</v>
      </c>
      <c r="GV3" t="e">
        <f>#REF!+"$Cm=!.}"</f>
        <v>#REF!</v>
      </c>
      <c r="GW3" t="e">
        <f>#REF!+"$Cm=!.~"</f>
        <v>#REF!</v>
      </c>
      <c r="GX3" t="e">
        <f>#REF!+"$Cm=!/#"</f>
        <v>#REF!</v>
      </c>
      <c r="GY3" s="2" t="e">
        <f>#REF!+"$Cm=!/$"</f>
        <v>#REF!</v>
      </c>
      <c r="GZ3" t="e">
        <f>#REF!+"$Cm=!/%"</f>
        <v>#REF!</v>
      </c>
      <c r="HA3" t="e">
        <f>#REF!+"$Cm=!/&amp;"</f>
        <v>#REF!</v>
      </c>
      <c r="HB3" t="e">
        <f>#REF!+"$Cm=!/'"</f>
        <v>#REF!</v>
      </c>
      <c r="HC3" t="e">
        <f>#REF!+"$Cm=!/("</f>
        <v>#REF!</v>
      </c>
      <c r="HD3" t="e">
        <f>#REF!+"$Cm=!/)"</f>
        <v>#REF!</v>
      </c>
      <c r="HE3" t="e">
        <f>#REF!+"$Cm=!/."</f>
        <v>#REF!</v>
      </c>
      <c r="HF3" t="e">
        <f>#REF!+"$Cm=!//"</f>
        <v>#REF!</v>
      </c>
      <c r="HG3" t="e">
        <f>#REF!+"$Cm=!/0"</f>
        <v>#REF!</v>
      </c>
      <c r="HH3" t="e">
        <f>#REF!+"$Cm=!/1"</f>
        <v>#REF!</v>
      </c>
      <c r="HI3" t="e">
        <f>#REF!+"$Cm=!/2"</f>
        <v>#REF!</v>
      </c>
      <c r="HJ3" t="e">
        <f>#REF!+"$Cm=!/3"</f>
        <v>#REF!</v>
      </c>
      <c r="HK3" t="e">
        <f>#REF!+"$Cm=!/4"</f>
        <v>#REF!</v>
      </c>
      <c r="HL3" t="e">
        <f>#REF!+"$Cm=!/5"</f>
        <v>#REF!</v>
      </c>
      <c r="HM3" t="e">
        <f>#REF!+"$Cm=!/6"</f>
        <v>#REF!</v>
      </c>
      <c r="HN3" t="e">
        <f>#REF!+"$Cm=!/7"</f>
        <v>#REF!</v>
      </c>
      <c r="HO3" s="2" t="e">
        <f>#REF!+"$Cm=!/8"</f>
        <v>#REF!</v>
      </c>
      <c r="HP3" t="e">
        <f>#REF!+"$Cm=!/9"</f>
        <v>#REF!</v>
      </c>
      <c r="HQ3" t="e">
        <f>#REF!+"$Cm=!/:"</f>
        <v>#REF!</v>
      </c>
      <c r="HR3" t="e">
        <f>#REF!+"$Cm=!/;"</f>
        <v>#REF!</v>
      </c>
      <c r="HS3" t="e">
        <f>#REF!+"$Cm=!/&lt;"</f>
        <v>#REF!</v>
      </c>
      <c r="HT3" t="e">
        <f>#REF!+"$Cm=!/="</f>
        <v>#REF!</v>
      </c>
      <c r="HU3" t="e">
        <f>#REF!+"$Cm=!/&gt;"</f>
        <v>#REF!</v>
      </c>
      <c r="HV3" s="2" t="e">
        <f>#REF!+"$Cm=!/?"</f>
        <v>#REF!</v>
      </c>
      <c r="HW3" t="e">
        <f>#REF!+"$Cm=!/@"</f>
        <v>#REF!</v>
      </c>
      <c r="HX3" t="e">
        <f>#REF!+"$Cm=!/A"</f>
        <v>#REF!</v>
      </c>
      <c r="HY3" t="e">
        <f>#REF!+"$Cm=!/B"</f>
        <v>#REF!</v>
      </c>
      <c r="HZ3" t="e">
        <f>#REF!+"$Cm=!/C"</f>
        <v>#REF!</v>
      </c>
      <c r="IA3" t="e">
        <f>#REF!+"$Cm=!/D"</f>
        <v>#REF!</v>
      </c>
      <c r="IB3" t="e">
        <f>#REF!+"$Cm=!/E"</f>
        <v>#REF!</v>
      </c>
      <c r="IC3" t="e">
        <f>#REF!+"$Cm=!/F"</f>
        <v>#REF!</v>
      </c>
      <c r="ID3" t="e">
        <f>#REF!+"$Cm=!/G"</f>
        <v>#REF!</v>
      </c>
      <c r="IE3" s="2" t="e">
        <f>#REF!+"$Cm=!/H"</f>
        <v>#REF!</v>
      </c>
      <c r="IF3" t="e">
        <f>#REF!+"$Cm=!/I"</f>
        <v>#REF!</v>
      </c>
      <c r="IG3" t="e">
        <f>#REF!+"$Cm=!/J"</f>
        <v>#REF!</v>
      </c>
      <c r="IH3" t="e">
        <f>#REF!+"$Cm=!/K"</f>
        <v>#REF!</v>
      </c>
      <c r="II3" t="e">
        <f>#REF!+"$Cm=!/L"</f>
        <v>#REF!</v>
      </c>
      <c r="IJ3" t="e">
        <f>#REF!+"$Cm=!/M"</f>
        <v>#REF!</v>
      </c>
      <c r="IK3" t="e">
        <f>#REF!+"$Cm=!/N"</f>
        <v>#REF!</v>
      </c>
      <c r="IL3" t="e">
        <f>#REF!+"$Cm=!/O"</f>
        <v>#REF!</v>
      </c>
      <c r="IM3" t="e">
        <f>#REF!+"$Cm=!/P"</f>
        <v>#REF!</v>
      </c>
      <c r="IN3" t="e">
        <f>#REF!+"$Cm=!/Q"</f>
        <v>#REF!</v>
      </c>
      <c r="IO3" t="e">
        <f>#REF!+"$Cm=!/R"</f>
        <v>#REF!</v>
      </c>
      <c r="IP3" t="e">
        <f>#REF!+"$Cm=!/S"</f>
        <v>#REF!</v>
      </c>
      <c r="IQ3" t="e">
        <f>#REF!+"$Cm=!/T"</f>
        <v>#REF!</v>
      </c>
      <c r="IR3" t="e">
        <f>#REF!+"$Cm=!/U"</f>
        <v>#REF!</v>
      </c>
      <c r="IS3" t="e">
        <f>#REF!+"$Cm=!/V"</f>
        <v>#REF!</v>
      </c>
      <c r="IT3" t="e">
        <f>#REF!+"$Cm=!/W"</f>
        <v>#REF!</v>
      </c>
      <c r="IU3" t="e">
        <f>#REF!+"$Cm=!/X"</f>
        <v>#REF!</v>
      </c>
      <c r="IV3" t="e">
        <f>#REF!+"$Cm=!/Y"</f>
        <v>#REF!</v>
      </c>
    </row>
    <row r="4" spans="1:256">
      <c r="F4" t="e">
        <f>#REF!+"$Cm=!/Z"</f>
        <v>#REF!</v>
      </c>
      <c r="G4" t="e">
        <f>#REF!+"$Cm=!/["</f>
        <v>#REF!</v>
      </c>
      <c r="H4" t="e">
        <f>#REF!+"$Cm=!/\"</f>
        <v>#REF!</v>
      </c>
      <c r="I4" t="e">
        <f>#REF!+"$Cm=!/]"</f>
        <v>#REF!</v>
      </c>
      <c r="J4" t="e">
        <f>#REF!+"$Cm=!/^"</f>
        <v>#REF!</v>
      </c>
      <c r="K4" t="e">
        <f>#REF!+"$Cm=!/_"</f>
        <v>#REF!</v>
      </c>
      <c r="L4" t="e">
        <f>#REF!+"$Cm=!/`"</f>
        <v>#REF!</v>
      </c>
      <c r="M4" t="e">
        <f>#REF!+"$Cm=!/a"</f>
        <v>#REF!</v>
      </c>
      <c r="N4" t="e">
        <f>#REF!+"$Cm=!/b"</f>
        <v>#REF!</v>
      </c>
      <c r="O4" t="e">
        <f>#REF!+"$Cm=!/c"</f>
        <v>#REF!</v>
      </c>
      <c r="P4" t="e">
        <f>#REF!+"$Cm=!/d"</f>
        <v>#REF!</v>
      </c>
      <c r="Q4" t="e">
        <f>#REF!+"$Cm=!/e"</f>
        <v>#REF!</v>
      </c>
      <c r="R4" t="e">
        <f>#REF!+"$Cm=!/f"</f>
        <v>#REF!</v>
      </c>
      <c r="S4" t="e">
        <f>#REF!+"$Cm=!/g"</f>
        <v>#REF!</v>
      </c>
      <c r="T4" t="e">
        <f>#REF!+"$Cm=!/h"</f>
        <v>#REF!</v>
      </c>
      <c r="U4" t="e">
        <f>#REF!+"$Cm=!/i"</f>
        <v>#REF!</v>
      </c>
      <c r="V4" t="e">
        <f>#REF!+"$Cm=!/j"</f>
        <v>#REF!</v>
      </c>
      <c r="W4" t="e">
        <f>#REF!+"$Cm=!/k"</f>
        <v>#REF!</v>
      </c>
      <c r="X4" t="e">
        <f>#REF!+"$Cm=!/l"</f>
        <v>#REF!</v>
      </c>
      <c r="Y4" t="e">
        <f>#REF!+"$Cm=!/m"</f>
        <v>#REF!</v>
      </c>
      <c r="Z4" t="e">
        <f>#REF!+"$Cm=!/n"</f>
        <v>#REF!</v>
      </c>
      <c r="AA4" t="e">
        <f>#REF!+"$Cm=!/o"</f>
        <v>#REF!</v>
      </c>
      <c r="AB4" t="e">
        <f>#REF!+"$Cm=!/p"</f>
        <v>#REF!</v>
      </c>
      <c r="AC4" t="e">
        <f>#REF!+"$Cm=!/q"</f>
        <v>#REF!</v>
      </c>
      <c r="AD4" t="e">
        <f>#REF!+"$Cm=!/r"</f>
        <v>#REF!</v>
      </c>
      <c r="AE4" t="e">
        <f>#REF!+"$Cm=!/s"</f>
        <v>#REF!</v>
      </c>
      <c r="AF4" t="e">
        <f>#REF!+"$Cm=!/t"</f>
        <v>#REF!</v>
      </c>
      <c r="AG4" t="e">
        <f>#REF!+"$Cm=!/u"</f>
        <v>#REF!</v>
      </c>
      <c r="AH4" t="e">
        <f>#REF!+"$Cm=!/v"</f>
        <v>#REF!</v>
      </c>
      <c r="AI4" t="e">
        <f>#REF!+"$Cm=!/w"</f>
        <v>#REF!</v>
      </c>
      <c r="AJ4" t="e">
        <f>#REF!+"$Cm=!/x"</f>
        <v>#REF!</v>
      </c>
      <c r="AK4" t="e">
        <f>#REF!+"$Cm=!/y"</f>
        <v>#REF!</v>
      </c>
      <c r="AL4" t="e">
        <f>#REF!+"$Cm=!/z"</f>
        <v>#REF!</v>
      </c>
      <c r="AM4" t="e">
        <f>#REF!+"$Cm=!/{"</f>
        <v>#REF!</v>
      </c>
      <c r="AN4" t="e">
        <f>#REF!+"$Cm=!/|"</f>
        <v>#REF!</v>
      </c>
      <c r="AO4" t="e">
        <f>#REF!+"$Cm=!/}"</f>
        <v>#REF!</v>
      </c>
      <c r="AP4" t="e">
        <f>#REF!+"$Cm=!/~"</f>
        <v>#REF!</v>
      </c>
      <c r="AQ4" t="e">
        <f>#REF!+"$Cm=!0#"</f>
        <v>#REF!</v>
      </c>
      <c r="AR4" t="e">
        <f>#REF!+"$Cm=!0$"</f>
        <v>#REF!</v>
      </c>
      <c r="AS4" t="e">
        <f>#REF!+"$Cm=!0%"</f>
        <v>#REF!</v>
      </c>
      <c r="AT4" t="e">
        <f>#REF!+"$Cm=!0&amp;"</f>
        <v>#REF!</v>
      </c>
      <c r="AU4" t="e">
        <f>#REF!+"$Cm=!0'"</f>
        <v>#REF!</v>
      </c>
      <c r="AV4" t="e">
        <f>#REF!+"$Cm=!0("</f>
        <v>#REF!</v>
      </c>
      <c r="AW4" t="e">
        <f>#REF!+"$Cm=!0)"</f>
        <v>#REF!</v>
      </c>
      <c r="AX4" t="e">
        <f>#REF!+"$Cm=!0."</f>
        <v>#REF!</v>
      </c>
      <c r="AY4" t="e">
        <f>#REF!+"$Cm=!0/"</f>
        <v>#REF!</v>
      </c>
      <c r="AZ4" t="e">
        <f>#REF!+"$Cm=!00"</f>
        <v>#REF!</v>
      </c>
      <c r="BA4" t="e">
        <f>#REF!+"$Cm=!01"</f>
        <v>#REF!</v>
      </c>
      <c r="BB4" t="e">
        <f>#REF!+"$Cm=!02"</f>
        <v>#REF!</v>
      </c>
      <c r="BC4" t="e">
        <f>#REF!+"$Cm=!03"</f>
        <v>#REF!</v>
      </c>
      <c r="BD4" t="e">
        <f>#REF!+"$Cm=!04"</f>
        <v>#REF!</v>
      </c>
      <c r="BE4" t="e">
        <f>#REF!+"$Cm=!05"</f>
        <v>#REF!</v>
      </c>
      <c r="BF4" t="e">
        <f>#REF!+"$Cm=!06"</f>
        <v>#REF!</v>
      </c>
      <c r="BG4" t="e">
        <f>#REF!+"$Cm=!07"</f>
        <v>#REF!</v>
      </c>
      <c r="BH4" t="e">
        <f>#REF!+"$Cm=!08"</f>
        <v>#REF!</v>
      </c>
      <c r="BI4" t="e">
        <f>#REF!+"$Cm=!09"</f>
        <v>#REF!</v>
      </c>
      <c r="BJ4" t="e">
        <f>#REF!+"$Cm=!0:"</f>
        <v>#REF!</v>
      </c>
      <c r="BK4" t="e">
        <f>#REF!+"$Cm=!0;"</f>
        <v>#REF!</v>
      </c>
      <c r="BL4" t="e">
        <f>#REF!+"$Cm=!0&lt;"</f>
        <v>#REF!</v>
      </c>
      <c r="BM4" t="e">
        <f>#REF!+"$Cm=!0="</f>
        <v>#REF!</v>
      </c>
      <c r="BN4" t="e">
        <f>#REF!+"$Cm=!0&gt;"</f>
        <v>#REF!</v>
      </c>
      <c r="BO4" t="e">
        <f>#REF!+"$Cm=!0?"</f>
        <v>#REF!</v>
      </c>
      <c r="BP4" t="e">
        <f>#REF!+"$Cm=!0@"</f>
        <v>#REF!</v>
      </c>
      <c r="BQ4" t="e">
        <f>#REF!+"$Cm=!0A"</f>
        <v>#REF!</v>
      </c>
      <c r="BR4" t="e">
        <f>#REF!+"$Cm=!0B"</f>
        <v>#REF!</v>
      </c>
      <c r="BS4" t="e">
        <f>#REF!+"$Cm=!0C"</f>
        <v>#REF!</v>
      </c>
      <c r="BT4" t="e">
        <f>#REF!+"$Cm=!0D"</f>
        <v>#REF!</v>
      </c>
      <c r="BU4" t="e">
        <f>#REF!+"$Cm=!0E"</f>
        <v>#REF!</v>
      </c>
      <c r="BV4" t="e">
        <f>#REF!+"$Cm=!0F"</f>
        <v>#REF!</v>
      </c>
      <c r="BW4" t="e">
        <f>#REF!+"$Cm=!0G"</f>
        <v>#REF!</v>
      </c>
      <c r="BX4" t="e">
        <f>#REF!+"$Cm=!0H"</f>
        <v>#REF!</v>
      </c>
      <c r="BY4" t="e">
        <f>#REF!+"$Cm=!0I"</f>
        <v>#REF!</v>
      </c>
      <c r="BZ4" t="e">
        <f>#REF!+"$Cm=!0J"</f>
        <v>#REF!</v>
      </c>
      <c r="CA4" t="e">
        <f>#REF!+"$Cm=!0K"</f>
        <v>#REF!</v>
      </c>
      <c r="CB4" t="e">
        <f>#REF!+"$Cm=!0L"</f>
        <v>#REF!</v>
      </c>
      <c r="CC4" t="e">
        <f>#REF!+"$Cm=!0M"</f>
        <v>#REF!</v>
      </c>
      <c r="CD4" t="e">
        <f>#REF!+"$Cm=!0N"</f>
        <v>#REF!</v>
      </c>
      <c r="CE4" t="e">
        <f>#REF!+"$Cm=!0O"</f>
        <v>#REF!</v>
      </c>
      <c r="CF4" t="e">
        <f>#REF!+"$Cm=!0P"</f>
        <v>#REF!</v>
      </c>
      <c r="CG4" t="e">
        <f>#REF!+"$Cm=!0Q"</f>
        <v>#REF!</v>
      </c>
      <c r="CH4" t="e">
        <f>#REF!+"$Cm=!0R"</f>
        <v>#REF!</v>
      </c>
      <c r="CI4" t="e">
        <f>#REF!+"$Cm=!0S"</f>
        <v>#REF!</v>
      </c>
      <c r="CJ4" t="e">
        <f>#REF!+"$Cm=!0T"</f>
        <v>#REF!</v>
      </c>
      <c r="CK4" t="e">
        <f>#REF!+"$Cm=!0U"</f>
        <v>#REF!</v>
      </c>
      <c r="CL4" t="e">
        <f>#REF!+"$Cm=!0V"</f>
        <v>#REF!</v>
      </c>
      <c r="CM4" t="e">
        <f>#REF!+"$Cm=!0W"</f>
        <v>#REF!</v>
      </c>
      <c r="CN4" t="e">
        <f>#REF!+"$Cm=!0X"</f>
        <v>#REF!</v>
      </c>
      <c r="CO4" t="e">
        <f>#REF!+"$Cm=!0Y"</f>
        <v>#REF!</v>
      </c>
      <c r="CP4" t="e">
        <f>#REF!+"$Cm=!0Z"</f>
        <v>#REF!</v>
      </c>
      <c r="CQ4" t="e">
        <f>#REF!+"$Cm=!0["</f>
        <v>#REF!</v>
      </c>
      <c r="CR4" t="e">
        <f>#REF!+"$Cm=!0\"</f>
        <v>#REF!</v>
      </c>
      <c r="CS4" t="e">
        <f>#REF!+"$Cm=!0]"</f>
        <v>#REF!</v>
      </c>
      <c r="CT4" t="e">
        <f>#REF!+"$Cm=!0^"</f>
        <v>#REF!</v>
      </c>
      <c r="CU4" t="e">
        <f>#REF!+"$Cm=!0_"</f>
        <v>#REF!</v>
      </c>
      <c r="CV4" t="e">
        <f>#REF!+"$Cm=!0`"</f>
        <v>#REF!</v>
      </c>
      <c r="CW4" t="e">
        <f>#REF!+"$Cm=!0a"</f>
        <v>#REF!</v>
      </c>
      <c r="CX4" t="e">
        <f>#REF!+"$Cm=!0b"</f>
        <v>#REF!</v>
      </c>
      <c r="CY4" t="e">
        <f>#REF!+"$Cm=!0c"</f>
        <v>#REF!</v>
      </c>
      <c r="CZ4" t="e">
        <f>#REF!+"$Cm=!0d"</f>
        <v>#REF!</v>
      </c>
      <c r="DA4" t="e">
        <f>#REF!+"$Cm=!0e"</f>
        <v>#REF!</v>
      </c>
      <c r="DB4" t="e">
        <f>#REF!+"$Cm=!0f"</f>
        <v>#REF!</v>
      </c>
      <c r="DC4" t="e">
        <f>#REF!+"$Cm=!0g"</f>
        <v>#REF!</v>
      </c>
      <c r="DD4" s="2" t="e">
        <f>#REF!+"$Cm=!0h"</f>
        <v>#REF!</v>
      </c>
      <c r="DE4" t="e">
        <f>#REF!+"$Cm=!0i"</f>
        <v>#REF!</v>
      </c>
      <c r="DF4" t="e">
        <f>#REF!+"$Cm=!0j"</f>
        <v>#REF!</v>
      </c>
      <c r="DG4" s="2" t="e">
        <f>#REF!+"$Cm=!0k"</f>
        <v>#REF!</v>
      </c>
      <c r="DH4" s="2" t="e">
        <f>#REF!+"$Cm=!0l"</f>
        <v>#REF!</v>
      </c>
      <c r="DI4" s="2" t="e">
        <f>#REF!+"$Cm=!0m"</f>
        <v>#REF!</v>
      </c>
      <c r="DJ4" s="2" t="e">
        <f>#REF!+"$Cm=!0n"</f>
        <v>#REF!</v>
      </c>
      <c r="DK4" t="e">
        <f>#REF!+"$Cm=!0o"</f>
        <v>#REF!</v>
      </c>
      <c r="DL4" t="e">
        <f>#REF!+"$Cm=!0p"</f>
        <v>#REF!</v>
      </c>
      <c r="DM4" s="2" t="e">
        <f>#REF!+"$Cm=!0q"</f>
        <v>#REF!</v>
      </c>
      <c r="DN4" t="e">
        <f>#REF!+"$Cm=!0r"</f>
        <v>#REF!</v>
      </c>
      <c r="DO4" t="e">
        <f>#REF!+"$Cm=!0s"</f>
        <v>#REF!</v>
      </c>
      <c r="DP4" s="2" t="e">
        <f>#REF!+"$Cm=!0t"</f>
        <v>#REF!</v>
      </c>
      <c r="DQ4" s="2" t="e">
        <f>#REF!+"$Cm=!0u"</f>
        <v>#REF!</v>
      </c>
      <c r="DR4" s="2" t="e">
        <f>#REF!+"$Cm=!0v"</f>
        <v>#REF!</v>
      </c>
      <c r="DS4" s="2" t="e">
        <f>#REF!+"$Cm=!0w"</f>
        <v>#REF!</v>
      </c>
      <c r="DT4" t="e">
        <f>#REF!+"$Cm=!0x"</f>
        <v>#REF!</v>
      </c>
      <c r="DU4" t="e">
        <f>#REF!+"$Cm=!0y"</f>
        <v>#REF!</v>
      </c>
      <c r="DV4" t="e">
        <f>#REF!+"$Cm=!0z"</f>
        <v>#REF!</v>
      </c>
      <c r="DW4" s="2" t="e">
        <f>#REF!+"$Cm=!0{"</f>
        <v>#REF!</v>
      </c>
      <c r="DX4" t="e">
        <f>#REF!+"$Cm=!0|"</f>
        <v>#REF!</v>
      </c>
      <c r="DY4" t="e">
        <f>#REF!+"$Cm=!0}"</f>
        <v>#REF!</v>
      </c>
      <c r="DZ4" s="2" t="e">
        <f>#REF!+"$Cm=!0~"</f>
        <v>#REF!</v>
      </c>
      <c r="EA4" s="2" t="e">
        <f>#REF!+"$Cm=!1#"</f>
        <v>#REF!</v>
      </c>
      <c r="EB4" s="2" t="e">
        <f>#REF!+"$Cm=!1$"</f>
        <v>#REF!</v>
      </c>
      <c r="EC4" s="2" t="e">
        <f>#REF!+"$Cm=!1%"</f>
        <v>#REF!</v>
      </c>
      <c r="ED4" t="e">
        <f>#REF!+"$Cm=!1&amp;"</f>
        <v>#REF!</v>
      </c>
      <c r="EE4" t="e">
        <f>#REF!+"$Cm=!1'"</f>
        <v>#REF!</v>
      </c>
      <c r="EF4" t="e">
        <f>#REF!+"$Cm=!1("</f>
        <v>#REF!</v>
      </c>
      <c r="EG4" s="2" t="e">
        <f>#REF!+"$Cm=!1)"</f>
        <v>#REF!</v>
      </c>
      <c r="EH4" t="e">
        <f>#REF!+"$Cm=!1."</f>
        <v>#REF!</v>
      </c>
      <c r="EI4" t="e">
        <f>#REF!+"$Cm=!1/"</f>
        <v>#REF!</v>
      </c>
      <c r="EJ4" s="2" t="e">
        <f>#REF!+"$Cm=!10"</f>
        <v>#REF!</v>
      </c>
      <c r="EK4" s="2" t="e">
        <f>#REF!+"$Cm=!11"</f>
        <v>#REF!</v>
      </c>
      <c r="EL4" s="2" t="e">
        <f>#REF!+"$Cm=!12"</f>
        <v>#REF!</v>
      </c>
      <c r="EM4" t="e">
        <f>#REF!+"$Cm=!13"</f>
        <v>#REF!</v>
      </c>
      <c r="EN4" t="e">
        <f>#REF!+"$Cm=!14"</f>
        <v>#REF!</v>
      </c>
      <c r="EO4" t="e">
        <f>#REF!+"$Cm=!15"</f>
        <v>#REF!</v>
      </c>
      <c r="EP4" t="e">
        <f>#REF!+"$Cm=!16"</f>
        <v>#REF!</v>
      </c>
      <c r="EQ4" s="2" t="e">
        <f>#REF!+"$Cm=!17"</f>
        <v>#REF!</v>
      </c>
      <c r="ER4" t="e">
        <f>#REF!+"$Cm=!18"</f>
        <v>#REF!</v>
      </c>
      <c r="ES4" t="e">
        <f>#REF!+"$Cm=!19"</f>
        <v>#REF!</v>
      </c>
      <c r="ET4" s="2" t="e">
        <f>#REF!+"$Cm=!1:"</f>
        <v>#REF!</v>
      </c>
      <c r="EU4" s="2" t="e">
        <f>#REF!+"$Cm=!1;"</f>
        <v>#REF!</v>
      </c>
      <c r="EV4" s="2" t="e">
        <f>#REF!+"$Cm=!1&lt;"</f>
        <v>#REF!</v>
      </c>
      <c r="EW4" t="e">
        <f>#REF!+"$Cm=!1="</f>
        <v>#REF!</v>
      </c>
      <c r="EX4" t="e">
        <f>#REF!+"$Cm=!1&gt;"</f>
        <v>#REF!</v>
      </c>
      <c r="EY4" t="e">
        <f>#REF!+"$Cm=!1?"</f>
        <v>#REF!</v>
      </c>
      <c r="EZ4" t="e">
        <f>#REF!+"$Cm=!1@"</f>
        <v>#REF!</v>
      </c>
      <c r="FA4" s="2" t="e">
        <f>#REF!+"$Cm=!1A"</f>
        <v>#REF!</v>
      </c>
      <c r="FB4" t="e">
        <f>#REF!+"$Cm=!1B"</f>
        <v>#REF!</v>
      </c>
      <c r="FC4" t="e">
        <f>#REF!+"$Cm=!1C"</f>
        <v>#REF!</v>
      </c>
      <c r="FD4" s="2" t="e">
        <f>#REF!+"$Cm=!1D"</f>
        <v>#REF!</v>
      </c>
      <c r="FE4" s="2" t="e">
        <f>#REF!+"$Cm=!1E"</f>
        <v>#REF!</v>
      </c>
      <c r="FF4" s="2" t="e">
        <f>#REF!+"$Cm=!1F"</f>
        <v>#REF!</v>
      </c>
      <c r="FG4" s="2" t="e">
        <f>#REF!+"$Cm=!1G"</f>
        <v>#REF!</v>
      </c>
      <c r="FH4" t="e">
        <f>#REF!+"$Cm=!1H"</f>
        <v>#REF!</v>
      </c>
      <c r="FI4" t="e">
        <f>#REF!+"$Cm=!1I"</f>
        <v>#REF!</v>
      </c>
      <c r="FJ4" t="e">
        <f>#REF!+"$Cm=!1J"</f>
        <v>#REF!</v>
      </c>
      <c r="FK4" s="2" t="e">
        <f>#REF!+"$Cm=!1K"</f>
        <v>#REF!</v>
      </c>
      <c r="FL4" t="e">
        <f>#REF!+"$Cm=!1L"</f>
        <v>#REF!</v>
      </c>
      <c r="FM4" t="e">
        <f>#REF!+"$Cm=!1M"</f>
        <v>#REF!</v>
      </c>
      <c r="FN4" s="2" t="e">
        <f>#REF!+"$Cm=!1N"</f>
        <v>#REF!</v>
      </c>
      <c r="FO4" s="2" t="e">
        <f>#REF!+"$Cm=!1O"</f>
        <v>#REF!</v>
      </c>
      <c r="FP4" s="2" t="e">
        <f>#REF!+"$Cm=!1P"</f>
        <v>#REF!</v>
      </c>
      <c r="FQ4" s="2" t="e">
        <f>#REF!+"$Cm=!1Q"</f>
        <v>#REF!</v>
      </c>
      <c r="FR4" t="e">
        <f>#REF!+"$Cm=!1R"</f>
        <v>#REF!</v>
      </c>
      <c r="FS4" t="e">
        <f>#REF!+"$Cm=!1S"</f>
        <v>#REF!</v>
      </c>
      <c r="FT4" t="e">
        <f>#REF!+"$Cm=!1T"</f>
        <v>#REF!</v>
      </c>
      <c r="FU4" t="e">
        <f>#REF!+"$Cm=!1U"</f>
        <v>#REF!</v>
      </c>
      <c r="FV4" t="e">
        <f>#REF!+"$Cm=!1V"</f>
        <v>#REF!</v>
      </c>
      <c r="FW4" t="e">
        <f>#REF!+"$Cm=!1W"</f>
        <v>#REF!</v>
      </c>
      <c r="FX4" t="e">
        <f>#REF!+"$Cm=!1X"</f>
        <v>#REF!</v>
      </c>
      <c r="FY4" t="e">
        <f>#REF!+"$Cm=!1Y"</f>
        <v>#REF!</v>
      </c>
      <c r="FZ4" t="e">
        <f>#REF!+"$Cm=!1Z"</f>
        <v>#REF!</v>
      </c>
      <c r="GA4" t="e">
        <f>#REF!+"$Cm=!1["</f>
        <v>#REF!</v>
      </c>
      <c r="GB4" t="e">
        <f>#REF!+"$Cm=!1\"</f>
        <v>#REF!</v>
      </c>
      <c r="GC4" t="e">
        <f>#REF!+"$Cm=!1]"</f>
        <v>#REF!</v>
      </c>
      <c r="GD4" t="e">
        <f>#REF!+"$Cm=!1^"</f>
        <v>#REF!</v>
      </c>
      <c r="GE4" t="e">
        <f>#REF!+"$Cm=!1_"</f>
        <v>#REF!</v>
      </c>
      <c r="GF4" t="e">
        <f>#REF!+"$Cm=!1`"</f>
        <v>#REF!</v>
      </c>
      <c r="GG4" t="e">
        <f>#REF!+"$Cm=!1a"</f>
        <v>#REF!</v>
      </c>
      <c r="GH4" t="e">
        <f>#REF!+"$Cm=!1b"</f>
        <v>#REF!</v>
      </c>
      <c r="GI4" t="e">
        <f>#REF!+"$Cm=!1c"</f>
        <v>#REF!</v>
      </c>
      <c r="GJ4" t="e">
        <f>#REF!+"$Cm=!1d"</f>
        <v>#REF!</v>
      </c>
      <c r="GK4" t="e">
        <f>#REF!+"$Cm=!1e"</f>
        <v>#REF!</v>
      </c>
      <c r="GL4" t="e">
        <f>#REF!+"$Cm=!1f"</f>
        <v>#REF!</v>
      </c>
      <c r="GM4" t="e">
        <f>#REF!+"$Cm=!1g"</f>
        <v>#REF!</v>
      </c>
      <c r="GN4" t="e">
        <f>#REF!+"$Cm=!1h"</f>
        <v>#REF!</v>
      </c>
      <c r="GO4" t="e">
        <f>#REF!+"$Cm=!1i"</f>
        <v>#REF!</v>
      </c>
      <c r="GP4" t="e">
        <f>#REF!+"$Cm=!1j"</f>
        <v>#REF!</v>
      </c>
      <c r="GQ4" t="e">
        <f>#REF!+"$Cm=!1k"</f>
        <v>#REF!</v>
      </c>
      <c r="GR4" t="e">
        <f>#REF!+"$Cm=!1l"</f>
        <v>#REF!</v>
      </c>
      <c r="GS4" t="e">
        <f>#REF!+"$Cm=!1m"</f>
        <v>#REF!</v>
      </c>
      <c r="GT4" t="e">
        <f>#REF!+"$Cm=!1n"</f>
        <v>#REF!</v>
      </c>
      <c r="GU4" t="e">
        <f>#REF!+"$Cm=!1o"</f>
        <v>#REF!</v>
      </c>
      <c r="GV4" t="e">
        <f>#REF!+"$Cm=!1p"</f>
        <v>#REF!</v>
      </c>
      <c r="GW4" t="e">
        <f>#REF!+"$Cm=!1q"</f>
        <v>#REF!</v>
      </c>
      <c r="GX4" t="e">
        <f>#REF!+"$Cm=!1r"</f>
        <v>#REF!</v>
      </c>
      <c r="GY4" t="e">
        <f>#REF!+"$Cm=!1s"</f>
        <v>#REF!</v>
      </c>
      <c r="GZ4" t="e">
        <f>#REF!+"$Cm=!1t"</f>
        <v>#REF!</v>
      </c>
      <c r="HA4" t="e">
        <f>#REF!+"$Cm=!1u"</f>
        <v>#REF!</v>
      </c>
      <c r="HB4" t="e">
        <f>#REF!+"$Cm=!1v"</f>
        <v>#REF!</v>
      </c>
      <c r="HC4" t="e">
        <f>#REF!+"$Cm=!1w"</f>
        <v>#REF!</v>
      </c>
      <c r="HD4" t="e">
        <f>#REF!+"$Cm=!1x"</f>
        <v>#REF!</v>
      </c>
      <c r="HE4" t="e">
        <f>#REF!+"$Cm=!1y"</f>
        <v>#REF!</v>
      </c>
      <c r="HF4" t="e">
        <f>#REF!+"$Cm=!1z"</f>
        <v>#REF!</v>
      </c>
      <c r="HG4" t="e">
        <f>#REF!+"$Cm=!1{"</f>
        <v>#REF!</v>
      </c>
      <c r="HH4" t="e">
        <f>#REF!+"$Cm=!1|"</f>
        <v>#REF!</v>
      </c>
      <c r="HI4" t="e">
        <f>#REF!+"$Cm=!1}"</f>
        <v>#REF!</v>
      </c>
      <c r="HJ4" t="e">
        <f>#REF!+"$Cm=!1~"</f>
        <v>#REF!</v>
      </c>
      <c r="HK4" t="e">
        <f>#REF!+"$Cm=!2#"</f>
        <v>#REF!</v>
      </c>
      <c r="HL4" t="e">
        <f>#REF!+"$Cm=!2$"</f>
        <v>#REF!</v>
      </c>
      <c r="HM4" t="e">
        <f>#REF!+"$Cm=!2%"</f>
        <v>#REF!</v>
      </c>
      <c r="HN4" t="e">
        <f>#REF!+"$Cm=!2&amp;"</f>
        <v>#REF!</v>
      </c>
      <c r="HO4" t="e">
        <f>#REF!+"$Cm=!2'"</f>
        <v>#REF!</v>
      </c>
      <c r="HP4" t="e">
        <f>#REF!+"$Cm=!2("</f>
        <v>#REF!</v>
      </c>
      <c r="HQ4" t="e">
        <f>#REF!+"$Cm=!2)"</f>
        <v>#REF!</v>
      </c>
      <c r="HR4" t="e">
        <f>#REF!+"$Cm=!2."</f>
        <v>#REF!</v>
      </c>
      <c r="HS4" t="e">
        <f>#REF!+"$Cm=!2/"</f>
        <v>#REF!</v>
      </c>
      <c r="HT4" t="e">
        <f>#REF!+"$Cm=!20"</f>
        <v>#REF!</v>
      </c>
      <c r="HU4" t="e">
        <f>#REF!+"$Cm=!21"</f>
        <v>#REF!</v>
      </c>
      <c r="HV4" t="e">
        <f>#REF!+"$Cm=!22"</f>
        <v>#REF!</v>
      </c>
      <c r="HW4" t="e">
        <f>#REF!+"$Cm=!23"</f>
        <v>#REF!</v>
      </c>
      <c r="HX4" t="e">
        <f>#REF!+"$Cm=!24"</f>
        <v>#REF!</v>
      </c>
      <c r="HY4" t="e">
        <f>#REF!+"$Cm=!25"</f>
        <v>#REF!</v>
      </c>
      <c r="HZ4" t="e">
        <f>#REF!+"$Cm=!26"</f>
        <v>#REF!</v>
      </c>
      <c r="IA4" t="e">
        <f>#REF!+"$Cm=!27"</f>
        <v>#REF!</v>
      </c>
      <c r="IB4" t="e">
        <f>#REF!+"$Cm=!28"</f>
        <v>#REF!</v>
      </c>
      <c r="IC4" t="e">
        <f>#REF!+"$Cm=!29"</f>
        <v>#REF!</v>
      </c>
      <c r="ID4" t="e">
        <f>#REF!+"$Cm=!2:"</f>
        <v>#REF!</v>
      </c>
      <c r="IE4" t="e">
        <f>#REF!+"$Cm=!2;"</f>
        <v>#REF!</v>
      </c>
      <c r="IF4" t="e">
        <f>#REF!+"$Cm=!2&lt;"</f>
        <v>#REF!</v>
      </c>
      <c r="IG4" t="e">
        <f>#REF!+"$Cm=!2="</f>
        <v>#REF!</v>
      </c>
      <c r="IH4" t="e">
        <f>#REF!+"$Cm=!2&gt;"</f>
        <v>#REF!</v>
      </c>
      <c r="II4" t="e">
        <f>#REF!+"$Cm=!2?"</f>
        <v>#REF!</v>
      </c>
      <c r="IJ4" t="e">
        <f>#REF!+"$Cm=!2@"</f>
        <v>#REF!</v>
      </c>
      <c r="IK4" t="e">
        <f>#REF!+"$Cm=!2A"</f>
        <v>#REF!</v>
      </c>
      <c r="IL4" t="e">
        <f>#REF!+"$Cm=!2B"</f>
        <v>#REF!</v>
      </c>
      <c r="IM4" t="e">
        <f>#REF!+"$Cm=!2C"</f>
        <v>#REF!</v>
      </c>
      <c r="IN4" t="e">
        <f>#REF!+"$Cm=!2D"</f>
        <v>#REF!</v>
      </c>
      <c r="IO4" t="e">
        <f>#REF!+"$Cm=!2E"</f>
        <v>#REF!</v>
      </c>
      <c r="IP4" t="e">
        <f>#REF!+"$Cm=!2F"</f>
        <v>#REF!</v>
      </c>
      <c r="IQ4" t="e">
        <f>#REF!+"$Cm=!2G"</f>
        <v>#REF!</v>
      </c>
      <c r="IR4" t="e">
        <f>#REF!+"$Cm=!2H"</f>
        <v>#REF!</v>
      </c>
      <c r="IS4" t="e">
        <f>#REF!+"$Cm=!2I"</f>
        <v>#REF!</v>
      </c>
      <c r="IT4" t="e">
        <f>#REF!+"$Cm=!2J"</f>
        <v>#REF!</v>
      </c>
      <c r="IU4" t="e">
        <f>#REF!+"$Cm=!2K"</f>
        <v>#REF!</v>
      </c>
      <c r="IV4" t="e">
        <f>#REF!+"$Cm=!2L"</f>
        <v>#REF!</v>
      </c>
    </row>
    <row r="5" spans="1:256">
      <c r="F5" t="e">
        <f>#REF!+"$Cm=!2M"</f>
        <v>#REF!</v>
      </c>
      <c r="G5" t="e">
        <f>#REF!+"$Cm=!2N"</f>
        <v>#REF!</v>
      </c>
      <c r="H5" t="e">
        <f>#REF!+"$Cm=!2O"</f>
        <v>#REF!</v>
      </c>
      <c r="I5" t="e">
        <f>#REF!+"$Cm=!2P"</f>
        <v>#REF!</v>
      </c>
      <c r="J5" t="e">
        <f>#REF!+"$Cm=!2Q"</f>
        <v>#REF!</v>
      </c>
      <c r="K5" t="e">
        <f>#REF!+"$Cm=!2R"</f>
        <v>#REF!</v>
      </c>
      <c r="L5" t="e">
        <f>#REF!+"$Cm=!2S"</f>
        <v>#REF!</v>
      </c>
      <c r="M5" t="e">
        <f>#REF!+"$Cm=!2T"</f>
        <v>#REF!</v>
      </c>
      <c r="N5" t="e">
        <f>#REF!+"$Cm=!2U"</f>
        <v>#REF!</v>
      </c>
      <c r="O5" t="e">
        <f>#REF!+"$Cm=!2V"</f>
        <v>#REF!</v>
      </c>
      <c r="P5" t="e">
        <f>#REF!+"$Cm=!2W"</f>
        <v>#REF!</v>
      </c>
      <c r="Q5" t="e">
        <f>#REF!+"$Cm=!2X"</f>
        <v>#REF!</v>
      </c>
      <c r="R5" t="e">
        <f>#REF!+"$Cm=!2Y"</f>
        <v>#REF!</v>
      </c>
      <c r="S5" t="e">
        <f>#REF!+"$Cm=!2Z"</f>
        <v>#REF!</v>
      </c>
      <c r="T5" t="e">
        <f>#REF!+"$Cm=!2["</f>
        <v>#REF!</v>
      </c>
      <c r="U5" t="e">
        <f>#REF!+"$Cm=!2\"</f>
        <v>#REF!</v>
      </c>
      <c r="V5" t="e">
        <f>#REF!+"$Cm=!2]"</f>
        <v>#REF!</v>
      </c>
      <c r="W5" t="e">
        <f>#REF!+"$Cm=!2^"</f>
        <v>#REF!</v>
      </c>
      <c r="X5" t="e">
        <f>#REF!+"$Cm=!2_"</f>
        <v>#REF!</v>
      </c>
      <c r="Y5" t="e">
        <f>#REF!+"$Cm=!2`"</f>
        <v>#REF!</v>
      </c>
      <c r="Z5" t="e">
        <f>#REF!+"$Cm=!2a"</f>
        <v>#REF!</v>
      </c>
      <c r="AA5" t="e">
        <f>#REF!+"$Cm=!2b"</f>
        <v>#REF!</v>
      </c>
      <c r="AB5" t="e">
        <f>#REF!+"$Cm=!2c"</f>
        <v>#REF!</v>
      </c>
      <c r="AC5" t="e">
        <f>#REF!+"$Cm=!2d"</f>
        <v>#REF!</v>
      </c>
      <c r="AD5" t="e">
        <f>#REF!+"$Cm=!2e"</f>
        <v>#REF!</v>
      </c>
      <c r="AE5" t="e">
        <f>#REF!+"$Cm=!2f"</f>
        <v>#REF!</v>
      </c>
      <c r="AF5" t="e">
        <f>#REF!+"$Cm=!2g"</f>
        <v>#REF!</v>
      </c>
      <c r="AG5" t="e">
        <f>#REF!+"$Cm=!2h"</f>
        <v>#REF!</v>
      </c>
      <c r="AH5" t="e">
        <f>#REF!+"$Cm=!2i"</f>
        <v>#REF!</v>
      </c>
      <c r="AI5" t="e">
        <f>#REF!+"$Cm=!2j"</f>
        <v>#REF!</v>
      </c>
      <c r="AJ5" t="e">
        <f>#REF!+"$Cm=!2k"</f>
        <v>#REF!</v>
      </c>
      <c r="AK5" t="e">
        <f>#REF!+"$Cm=!2l"</f>
        <v>#REF!</v>
      </c>
      <c r="AL5" t="e">
        <f>#REF!+"$Cm=!2m"</f>
        <v>#REF!</v>
      </c>
      <c r="AM5" t="e">
        <f>#REF!+"$Cm=!2n"</f>
        <v>#REF!</v>
      </c>
      <c r="AN5" t="e">
        <f>#REF!+"$Cm=!2o"</f>
        <v>#REF!</v>
      </c>
      <c r="AO5" t="e">
        <f>#REF!+"$Cm=!2p"</f>
        <v>#REF!</v>
      </c>
      <c r="AP5" t="e">
        <f>#REF!+"$Cm=!2q"</f>
        <v>#REF!</v>
      </c>
      <c r="AQ5" t="e">
        <f>#REF!+"$Cm=!2r"</f>
        <v>#REF!</v>
      </c>
      <c r="AR5" t="e">
        <f>#REF!+"$Cm=!2s"</f>
        <v>#REF!</v>
      </c>
      <c r="AS5" t="e">
        <f>#REF!+"$Cm=!2t"</f>
        <v>#REF!</v>
      </c>
      <c r="AT5" t="e">
        <f>#REF!+"$Cm=!2u"</f>
        <v>#REF!</v>
      </c>
      <c r="AU5" t="e">
        <f>#REF!+"$Cm=!2v"</f>
        <v>#REF!</v>
      </c>
      <c r="AV5" t="e">
        <f>#REF!+"$Cm=!2w"</f>
        <v>#REF!</v>
      </c>
      <c r="AW5" t="e">
        <f>#REF!+"$Cm=!2x"</f>
        <v>#REF!</v>
      </c>
      <c r="AX5" t="e">
        <f>#REF!+"$Cm=!2y"</f>
        <v>#REF!</v>
      </c>
      <c r="AY5" t="e">
        <f>#REF!+"$Cm=!2z"</f>
        <v>#REF!</v>
      </c>
      <c r="AZ5" t="e">
        <f>#REF!+"$Cm=!2{"</f>
        <v>#REF!</v>
      </c>
      <c r="BA5" t="e">
        <f>#REF!+"$Cm=!2|"</f>
        <v>#REF!</v>
      </c>
      <c r="BB5" t="e">
        <f>#REF!+"$Cm=!2}"</f>
        <v>#REF!</v>
      </c>
      <c r="BC5" t="e">
        <f>#REF!+"$Cm=!2~"</f>
        <v>#REF!</v>
      </c>
      <c r="BD5" t="e">
        <f>#REF!+"$Cm=!3#"</f>
        <v>#REF!</v>
      </c>
      <c r="BE5" t="e">
        <f>#REF!+"$Cm=!3$"</f>
        <v>#REF!</v>
      </c>
      <c r="BF5" t="e">
        <f>#REF!+"$Cm=!3%"</f>
        <v>#REF!</v>
      </c>
      <c r="BG5" t="e">
        <f>#REF!+"$Cm=!3&amp;"</f>
        <v>#REF!</v>
      </c>
      <c r="BH5" t="e">
        <f>#REF!+"$Cm=!3'"</f>
        <v>#REF!</v>
      </c>
      <c r="BI5" t="e">
        <f>#REF!+"$Cm=!3("</f>
        <v>#REF!</v>
      </c>
      <c r="BJ5" t="e">
        <f>#REF!+"$Cm=!3)"</f>
        <v>#REF!</v>
      </c>
      <c r="BK5" t="e">
        <f>#REF!+"$Cm=!3."</f>
        <v>#REF!</v>
      </c>
      <c r="BL5" t="e">
        <f>#REF!+"$Cm=!3/"</f>
        <v>#REF!</v>
      </c>
      <c r="BM5" t="e">
        <f>#REF!+"$Cm=!30"</f>
        <v>#REF!</v>
      </c>
      <c r="BN5" t="e">
        <f>#REF!+"$Cm=!31"</f>
        <v>#REF!</v>
      </c>
      <c r="BO5" t="e">
        <f>#REF!+"$Cm=!32"</f>
        <v>#REF!</v>
      </c>
      <c r="BP5" t="e">
        <f>#REF!+"$Cm=!33"</f>
        <v>#REF!</v>
      </c>
      <c r="BQ5" t="e">
        <f>#REF!+"$Cm=!34"</f>
        <v>#REF!</v>
      </c>
      <c r="BR5" t="e">
        <f>#REF!+"$Cm=!35"</f>
        <v>#REF!</v>
      </c>
      <c r="BS5" t="e">
        <f>#REF!+"$Cm=!36"</f>
        <v>#REF!</v>
      </c>
      <c r="BT5" t="e">
        <f>#REF!+"$Cm=!37"</f>
        <v>#REF!</v>
      </c>
      <c r="BU5" t="e">
        <f>#REF!+"$Cm=!38"</f>
        <v>#REF!</v>
      </c>
      <c r="BV5" t="e">
        <f>#REF!+"$Cm=!39"</f>
        <v>#REF!</v>
      </c>
      <c r="BW5" t="e">
        <f>#REF!+"$Cm=!3:"</f>
        <v>#REF!</v>
      </c>
      <c r="BX5" t="e">
        <f>#REF!+"$Cm=!3;"</f>
        <v>#REF!</v>
      </c>
      <c r="BY5" t="e">
        <f>#REF!+"$Cm=!3&lt;"</f>
        <v>#REF!</v>
      </c>
      <c r="BZ5" t="e">
        <f>#REF!+"$Cm=!3="</f>
        <v>#REF!</v>
      </c>
      <c r="CA5" t="e">
        <f>#REF!*"$Cm=!3&gt;"</f>
        <v>#REF!</v>
      </c>
      <c r="CB5" t="e">
        <f>#REF!*"$Cm=!3?"</f>
        <v>#REF!</v>
      </c>
      <c r="CC5" t="e">
        <f>#REF!*"$Cm=!3@"</f>
        <v>#REF!</v>
      </c>
      <c r="CD5" t="e">
        <f>#REF!*"$Cm=!3A"</f>
        <v>#REF!</v>
      </c>
      <c r="CE5" t="e">
        <f>#REF!*"$Cm=!3B"</f>
        <v>#REF!</v>
      </c>
      <c r="CF5" t="e">
        <f>#REF!*"$Cm=!3C"</f>
        <v>#REF!</v>
      </c>
      <c r="CG5" t="e">
        <f>#REF!*"$Cm=!3D"</f>
        <v>#REF!</v>
      </c>
      <c r="CH5" t="e">
        <f>#REF!*"$Cm=!3E"</f>
        <v>#REF!</v>
      </c>
      <c r="CI5" t="e">
        <f>#REF!*"$Cm=!3F"</f>
        <v>#REF!</v>
      </c>
      <c r="CJ5" t="e">
        <f>#REF!*"$Cm=!3G"</f>
        <v>#REF!</v>
      </c>
      <c r="CK5" t="e">
        <f>#REF!*"$Cm=!3H"</f>
        <v>#REF!</v>
      </c>
      <c r="CL5" t="e">
        <f>#REF!*"$Cm=!3I"</f>
        <v>#REF!</v>
      </c>
      <c r="CM5" t="e">
        <f>#REF!*"$Cm=!3J"</f>
        <v>#REF!</v>
      </c>
      <c r="CN5" t="e">
        <f>#REF!*"$Cm=!3K"</f>
        <v>#REF!</v>
      </c>
      <c r="CO5" t="e">
        <f>#REF!*"$Cm=!3L"</f>
        <v>#REF!</v>
      </c>
      <c r="CP5" t="e">
        <f>#REF!*"$Cm=!3M"</f>
        <v>#REF!</v>
      </c>
      <c r="CQ5" t="e">
        <f>#REF!*"$Cm=!3N"</f>
        <v>#REF!</v>
      </c>
      <c r="CR5" t="e">
        <f>#REF!*"$Cm=!3O"</f>
        <v>#REF!</v>
      </c>
      <c r="CS5" t="e">
        <f>#REF!*"$Cm=!3P"</f>
        <v>#REF!</v>
      </c>
      <c r="CT5" t="e">
        <f>#REF!*"$Cm=!3Q"</f>
        <v>#REF!</v>
      </c>
      <c r="CU5" t="e">
        <f>#REF!*"$Cm=!3R"</f>
        <v>#REF!</v>
      </c>
      <c r="CV5" t="e">
        <f>#REF!*"$Cm=!3S"</f>
        <v>#REF!</v>
      </c>
      <c r="CW5" t="e">
        <f>#REF!*"$Cm=!3T"</f>
        <v>#REF!</v>
      </c>
      <c r="CX5" t="e">
        <f>#REF!*"$Cm=!3U"</f>
        <v>#REF!</v>
      </c>
      <c r="CY5" t="e">
        <f>#REF!*"$Cm=!3V"</f>
        <v>#REF!</v>
      </c>
      <c r="CZ5" t="e">
        <f>#REF!*"$Cm=!3W"</f>
        <v>#REF!</v>
      </c>
      <c r="DA5" t="e">
        <f>#REF!*"$Cm=!3X"</f>
        <v>#REF!</v>
      </c>
      <c r="DB5" t="e">
        <f>#REF!*"$Cm=!3Y"</f>
        <v>#REF!</v>
      </c>
      <c r="DC5" t="e">
        <f>#REF!*"$Cm=!3Z"</f>
        <v>#REF!</v>
      </c>
      <c r="DD5" t="e">
        <f>#REF!*"$Cm=!3["</f>
        <v>#REF!</v>
      </c>
      <c r="DE5" t="e">
        <f>#REF!*"$Cm=!3\"</f>
        <v>#REF!</v>
      </c>
      <c r="DF5" t="e">
        <f>#REF!*"$Cm=!3]"</f>
        <v>#REF!</v>
      </c>
      <c r="DG5" t="e">
        <f>#REF!*"$Cm=!3^"</f>
        <v>#REF!</v>
      </c>
      <c r="DH5" t="e">
        <f>#REF!*"$Cm=!3_"</f>
        <v>#REF!</v>
      </c>
      <c r="DI5" t="e">
        <f>#REF!*"$Cm=!3`"</f>
        <v>#REF!</v>
      </c>
      <c r="DJ5" t="e">
        <f>#REF!*"$Cm=!3a"</f>
        <v>#REF!</v>
      </c>
      <c r="DK5" t="e">
        <f>#REF!*"$Cm=!3b"</f>
        <v>#REF!</v>
      </c>
      <c r="DL5" t="e">
        <f>#REF!*"$Cm=!3c"</f>
        <v>#REF!</v>
      </c>
      <c r="DM5" t="e">
        <f>#REF!*"$Cm=!3d"</f>
        <v>#REF!</v>
      </c>
      <c r="DN5" t="e">
        <f>#REF!*"$Cm=!3e"</f>
        <v>#REF!</v>
      </c>
      <c r="DO5" t="e">
        <f>#REF!*"$Cm=!3f"</f>
        <v>#REF!</v>
      </c>
      <c r="DP5" t="e">
        <f>#REF!*"$Cm=!3g"</f>
        <v>#REF!</v>
      </c>
      <c r="DQ5" t="e">
        <f>#REF!*"$Cm=!3h"</f>
        <v>#REF!</v>
      </c>
      <c r="DR5" t="e">
        <f>#REF!*"$Cm=!3i"</f>
        <v>#REF!</v>
      </c>
      <c r="DS5" t="e">
        <f>#REF!*"$Cm=!3j"</f>
        <v>#REF!</v>
      </c>
      <c r="DT5" t="e">
        <f>#REF!*"$Cm=!3k"</f>
        <v>#REF!</v>
      </c>
      <c r="DU5" t="e">
        <f>#REF!*"$Cm=!3l"</f>
        <v>#REF!</v>
      </c>
      <c r="DV5" t="e">
        <f>#REF!*"$Cm=!3m"</f>
        <v>#REF!</v>
      </c>
      <c r="DW5" t="e">
        <f>#REF!*"$Cm=!3n"</f>
        <v>#REF!</v>
      </c>
      <c r="DX5" t="e">
        <f>#REF!*"$Cm=!3o"</f>
        <v>#REF!</v>
      </c>
      <c r="DY5" t="e">
        <f>#REF!*"$Cm=!3p"</f>
        <v>#REF!</v>
      </c>
      <c r="DZ5" t="e">
        <f>#REF!*"$Cm=!3q"</f>
        <v>#REF!</v>
      </c>
      <c r="EA5" t="e">
        <f>#REF!*"$Cm=!3r"</f>
        <v>#REF!</v>
      </c>
      <c r="EB5" t="e">
        <f>#REF!*"$Cm=!3s"</f>
        <v>#REF!</v>
      </c>
      <c r="EC5" t="e">
        <f>#REF!*"$Cm=!3t"</f>
        <v>#REF!</v>
      </c>
      <c r="ED5" t="e">
        <f>#REF!*"$Cm=!3u"</f>
        <v>#REF!</v>
      </c>
      <c r="EE5" t="e">
        <f>#REF!*"$Cm=!3v"</f>
        <v>#REF!</v>
      </c>
      <c r="EF5" t="e">
        <f>#REF!*"$Cm=!3w"</f>
        <v>#REF!</v>
      </c>
      <c r="EG5" t="e">
        <f>#REF!*"$Cm=!3x"</f>
        <v>#REF!</v>
      </c>
      <c r="EH5" t="e">
        <f>#REF!-"$Cm=!3y"</f>
        <v>#REF!</v>
      </c>
      <c r="EI5" t="e">
        <f>#REF!-"$Cm=!3z"</f>
        <v>#REF!</v>
      </c>
      <c r="EJ5" t="e">
        <f>#REF!-"$Cm=!3{"</f>
        <v>#REF!</v>
      </c>
      <c r="EK5" t="e">
        <f>#REF!-"$Cm=!3|"</f>
        <v>#REF!</v>
      </c>
      <c r="EL5" t="e">
        <f>#REF!-"$Cm=!3}"</f>
        <v>#REF!</v>
      </c>
      <c r="EM5" t="e">
        <f>#REF!-"$Cm=!3~"</f>
        <v>#REF!</v>
      </c>
      <c r="EN5" t="e">
        <f>#REF!-"$Cm=!4#"</f>
        <v>#REF!</v>
      </c>
      <c r="EO5" t="e">
        <f>#REF!-"$Cm=!4$"</f>
        <v>#REF!</v>
      </c>
      <c r="EP5" t="e">
        <f>#REF!-"$Cm=!4%"</f>
        <v>#REF!</v>
      </c>
      <c r="EQ5" t="e">
        <f>#REF!-"$Cm=!4&amp;"</f>
        <v>#REF!</v>
      </c>
      <c r="ER5" t="e">
        <f>#REF!-"$Cm=!4'"</f>
        <v>#REF!</v>
      </c>
      <c r="ES5" t="e">
        <f>#REF!-"$Cm=!4("</f>
        <v>#REF!</v>
      </c>
      <c r="ET5" t="e">
        <f>#REF!-"$Cm=!4)"</f>
        <v>#REF!</v>
      </c>
      <c r="EU5" t="e">
        <f>#REF!-"$Cm=!4."</f>
        <v>#REF!</v>
      </c>
      <c r="EV5" t="e">
        <f>#REF!-"$Cm=!4/"</f>
        <v>#REF!</v>
      </c>
      <c r="EW5" t="e">
        <f>#REF!-"$Cm=!40"</f>
        <v>#REF!</v>
      </c>
      <c r="EX5" t="e">
        <f>#REF!-"$Cm=!41"</f>
        <v>#REF!</v>
      </c>
      <c r="EY5" t="e">
        <f>#REF!-"$Cm=!42"</f>
        <v>#REF!</v>
      </c>
      <c r="EZ5" t="e">
        <f>#REF!-"$Cm=!43"</f>
        <v>#REF!</v>
      </c>
      <c r="FA5" t="e">
        <f>#REF!-"$Cm=!44"</f>
        <v>#REF!</v>
      </c>
      <c r="FB5" t="e">
        <f>#REF!-"$Cm=!45"</f>
        <v>#REF!</v>
      </c>
      <c r="FC5" t="e">
        <f>#REF!-"$Cm=!46"</f>
        <v>#REF!</v>
      </c>
      <c r="FD5" t="e">
        <f>#REF!-"$Cm=!47"</f>
        <v>#REF!</v>
      </c>
      <c r="FE5" t="e">
        <f>#REF!-"$Cm=!48"</f>
        <v>#REF!</v>
      </c>
      <c r="FF5" t="e">
        <f>#REF!-"$Cm=!49"</f>
        <v>#REF!</v>
      </c>
      <c r="FG5" t="e">
        <f>#REF!-"$Cm=!4:"</f>
        <v>#REF!</v>
      </c>
      <c r="FH5" t="e">
        <f>#REF!-"$Cm=!4;"</f>
        <v>#REF!</v>
      </c>
      <c r="FI5" t="e">
        <f>#REF!-"$Cm=!4&lt;"</f>
        <v>#REF!</v>
      </c>
      <c r="FJ5" t="e">
        <f>#REF!-"$Cm=!4="</f>
        <v>#REF!</v>
      </c>
      <c r="FK5" t="e">
        <f>#REF!-"$Cm=!4&gt;"</f>
        <v>#REF!</v>
      </c>
      <c r="FL5" t="e">
        <f>#REF!-"$Cm=!4?"</f>
        <v>#REF!</v>
      </c>
      <c r="FM5" t="e">
        <f>#REF!-"$Cm=!4@"</f>
        <v>#REF!</v>
      </c>
      <c r="FN5" t="e">
        <f>#REF!-"$Cm=!4A"</f>
        <v>#REF!</v>
      </c>
      <c r="FO5" t="e">
        <f>#REF!-"$Cm=!4B"</f>
        <v>#REF!</v>
      </c>
      <c r="FP5" t="e">
        <f>#REF!-"$Cm=!4C"</f>
        <v>#REF!</v>
      </c>
      <c r="FQ5" t="e">
        <f>#REF!-"$Cm=!4D"</f>
        <v>#REF!</v>
      </c>
      <c r="FR5" t="e">
        <f>#REF!-"$Cm=!4E"</f>
        <v>#REF!</v>
      </c>
      <c r="FS5" t="e">
        <f>#REF!-"$Cm=!4F"</f>
        <v>#REF!</v>
      </c>
      <c r="FT5" t="e">
        <f>#REF!-"$Cm=!4G"</f>
        <v>#REF!</v>
      </c>
      <c r="FU5" t="e">
        <f>#REF!-"$Cm=!4H"</f>
        <v>#REF!</v>
      </c>
      <c r="FV5" t="e">
        <f>#REF!-"$Cm=!4I"</f>
        <v>#REF!</v>
      </c>
      <c r="FW5" t="e">
        <f>#REF!-"$Cm=!4J"</f>
        <v>#REF!</v>
      </c>
      <c r="FX5" t="e">
        <f>#REF!-"$Cm=!4K"</f>
        <v>#REF!</v>
      </c>
      <c r="FY5" t="e">
        <f>#REF!-"$Cm=!4L"</f>
        <v>#REF!</v>
      </c>
      <c r="FZ5" t="e">
        <f>#REF!-"$Cm=!4M"</f>
        <v>#REF!</v>
      </c>
      <c r="GA5" t="e">
        <f>#REF!-"$Cm=!4N"</f>
        <v>#REF!</v>
      </c>
      <c r="GB5" t="e">
        <f>#REF!-"$Cm=!4O"</f>
        <v>#REF!</v>
      </c>
      <c r="GC5" t="e">
        <f>#REF!-"$Cm=!4P"</f>
        <v>#REF!</v>
      </c>
      <c r="GD5" t="e">
        <f>#REF!-"$Cm=!4Q"</f>
        <v>#REF!</v>
      </c>
      <c r="GE5" t="e">
        <f>#REF!-"$Cm=!4R"</f>
        <v>#REF!</v>
      </c>
      <c r="GF5" t="e">
        <f>#REF!-"$Cm=!4S"</f>
        <v>#REF!</v>
      </c>
      <c r="GG5" t="e">
        <f>#REF!-"$Cm=!4T"</f>
        <v>#REF!</v>
      </c>
      <c r="GH5" t="e">
        <f>#REF!-"$Cm=!4U"</f>
        <v>#REF!</v>
      </c>
      <c r="GI5" t="e">
        <f>#REF!-"$Cm=!4V"</f>
        <v>#REF!</v>
      </c>
      <c r="GJ5" t="e">
        <f>#REF!-"$Cm=!4W"</f>
        <v>#REF!</v>
      </c>
      <c r="GK5" t="e">
        <f>#REF!-"$Cm=!4X"</f>
        <v>#REF!</v>
      </c>
      <c r="GL5" t="e">
        <f>#REF!-"$Cm=!4Y"</f>
        <v>#REF!</v>
      </c>
      <c r="GM5" t="e">
        <f>#REF!-"$Cm=!4Z"</f>
        <v>#REF!</v>
      </c>
      <c r="GN5" t="e">
        <f>#REF!-"$Cm=!4["</f>
        <v>#REF!</v>
      </c>
      <c r="GO5" t="e">
        <f>#REF!-"$Cm=!4\"</f>
        <v>#REF!</v>
      </c>
      <c r="GP5" t="e">
        <f>#REF!-"$Cm=!4]"</f>
        <v>#REF!</v>
      </c>
      <c r="GQ5" t="e">
        <f>#REF!-"$Cm=!4^"</f>
        <v>#REF!</v>
      </c>
      <c r="GR5" t="e">
        <f>#REF!-"$Cm=!4_"</f>
        <v>#REF!</v>
      </c>
      <c r="GS5" t="e">
        <f>#REF!-"$Cm=!4`"</f>
        <v>#REF!</v>
      </c>
      <c r="GT5" t="e">
        <f>#REF!-"$Cm=!4a"</f>
        <v>#REF!</v>
      </c>
      <c r="GU5" t="e">
        <f>#REF!-"$Cm=!4b"</f>
        <v>#REF!</v>
      </c>
      <c r="GV5" t="e">
        <f>#REF!-"$Cm=!4c"</f>
        <v>#REF!</v>
      </c>
      <c r="GW5" t="e">
        <f>#REF!-"$Cm=!4d"</f>
        <v>#REF!</v>
      </c>
      <c r="GX5" t="e">
        <f>#REF!-"$Cm=!4e"</f>
        <v>#REF!</v>
      </c>
      <c r="GY5" t="e">
        <f>#REF!-"$Cm=!4f"</f>
        <v>#REF!</v>
      </c>
      <c r="GZ5" t="e">
        <f>#REF!-"$Cm=!4g"</f>
        <v>#REF!</v>
      </c>
      <c r="HA5" t="e">
        <f>#REF!-"$Cm=!4h"</f>
        <v>#REF!</v>
      </c>
      <c r="HB5" t="e">
        <f>#REF!-"$Cm=!4i"</f>
        <v>#REF!</v>
      </c>
      <c r="HC5" t="e">
        <f>#REF!-"$Cm=!4j"</f>
        <v>#REF!</v>
      </c>
      <c r="HD5" t="e">
        <f>#REF!-"$Cm=!4k"</f>
        <v>#REF!</v>
      </c>
      <c r="HE5" t="e">
        <f>#REF!-"$Cm=!4l"</f>
        <v>#REF!</v>
      </c>
      <c r="HF5" t="e">
        <f>#REF!-"$Cm=!4m"</f>
        <v>#REF!</v>
      </c>
      <c r="HG5" t="e">
        <f>#REF!-"$Cm=!4n"</f>
        <v>#REF!</v>
      </c>
      <c r="HH5" t="e">
        <f>#REF!-"$Cm=!4o"</f>
        <v>#REF!</v>
      </c>
      <c r="HI5" t="e">
        <f>#REF!-"$Cm=!4p"</f>
        <v>#REF!</v>
      </c>
      <c r="HJ5" t="e">
        <f>#REF!-"$Cm=!4q"</f>
        <v>#REF!</v>
      </c>
      <c r="HK5" t="e">
        <f>#REF!-"$Cm=!4r"</f>
        <v>#REF!</v>
      </c>
      <c r="HL5" t="e">
        <f>#REF!-"$Cm=!4s"</f>
        <v>#REF!</v>
      </c>
      <c r="HM5" t="e">
        <f>#REF!-"$Cm=!4t"</f>
        <v>#REF!</v>
      </c>
      <c r="HN5" t="e">
        <f>#REF!-"$Cm=!4u"</f>
        <v>#REF!</v>
      </c>
      <c r="HO5" t="e">
        <f>#REF!-"$Cm=!4v"</f>
        <v>#REF!</v>
      </c>
      <c r="HP5" t="e">
        <f>#REF!-"$Cm=!4w"</f>
        <v>#REF!</v>
      </c>
      <c r="HQ5" t="e">
        <f>#REF!-"$Cm=!4x"</f>
        <v>#REF!</v>
      </c>
      <c r="HR5" t="e">
        <f>#REF!-"$Cm=!4y"</f>
        <v>#REF!</v>
      </c>
      <c r="HS5" t="e">
        <f>#REF!-"$Cm=!4z"</f>
        <v>#REF!</v>
      </c>
      <c r="HT5" t="e">
        <f>#REF!-"$Cm=!4{"</f>
        <v>#REF!</v>
      </c>
      <c r="HU5" t="e">
        <f>#REF!-"$Cm=!4|"</f>
        <v>#REF!</v>
      </c>
      <c r="HV5" t="e">
        <f>#REF!-"$Cm=!4}"</f>
        <v>#REF!</v>
      </c>
      <c r="HW5" t="e">
        <f>#REF!-"$Cm=!4~"</f>
        <v>#REF!</v>
      </c>
      <c r="HX5" t="e">
        <f>#REF!-"$Cm=!5#"</f>
        <v>#REF!</v>
      </c>
      <c r="HY5" t="e">
        <f>#REF!-"$Cm=!5$"</f>
        <v>#REF!</v>
      </c>
      <c r="HZ5" t="e">
        <f>#REF!-"$Cm=!5%"</f>
        <v>#REF!</v>
      </c>
      <c r="IA5" t="e">
        <f>#REF!-"$Cm=!5&amp;"</f>
        <v>#REF!</v>
      </c>
      <c r="IB5" t="e">
        <f>#REF!-"$Cm=!5'"</f>
        <v>#REF!</v>
      </c>
      <c r="IC5" t="e">
        <f>#REF!-"$Cm=!5("</f>
        <v>#REF!</v>
      </c>
      <c r="ID5" t="e">
        <f>#REF!-"$Cm=!5)"</f>
        <v>#REF!</v>
      </c>
      <c r="IE5" t="e">
        <f>#REF!-"$Cm=!5."</f>
        <v>#REF!</v>
      </c>
      <c r="IF5" t="e">
        <f>#REF!-"$Cm=!5/"</f>
        <v>#REF!</v>
      </c>
      <c r="IG5" t="e">
        <f>#REF!-"$Cm=!50"</f>
        <v>#REF!</v>
      </c>
      <c r="IH5" t="e">
        <f>#REF!-"$Cm=!51"</f>
        <v>#REF!</v>
      </c>
      <c r="II5" t="e">
        <f>#REF!-"$Cm=!52"</f>
        <v>#REF!</v>
      </c>
      <c r="IJ5" t="e">
        <f>#REF!-"$Cm=!53"</f>
        <v>#REF!</v>
      </c>
      <c r="IK5" t="e">
        <f>#REF!-"$Cm=!54"</f>
        <v>#REF!</v>
      </c>
      <c r="IL5" t="e">
        <f>#REF!-"$Cm=!55"</f>
        <v>#REF!</v>
      </c>
      <c r="IM5" t="e">
        <f>#REF!-"$Cm=!56"</f>
        <v>#REF!</v>
      </c>
      <c r="IN5" t="e">
        <f>#REF!-"$Cm=!57"</f>
        <v>#REF!</v>
      </c>
      <c r="IO5" t="e">
        <f>#REF!-"$Cm=!58"</f>
        <v>#REF!</v>
      </c>
      <c r="IP5" t="e">
        <f>#REF!-"$Cm=!59"</f>
        <v>#REF!</v>
      </c>
      <c r="IQ5" t="e">
        <f>#REF!-"$Cm=!5:"</f>
        <v>#REF!</v>
      </c>
      <c r="IR5" t="e">
        <f>#REF!-"$Cm=!5;"</f>
        <v>#REF!</v>
      </c>
      <c r="IS5" t="e">
        <f>#REF!-"$Cm=!5&lt;"</f>
        <v>#REF!</v>
      </c>
      <c r="IT5" t="e">
        <f>#REF!-"$Cm=!5="</f>
        <v>#REF!</v>
      </c>
      <c r="IU5" t="e">
        <f>#REF!-"$Cm=!5&gt;"</f>
        <v>#REF!</v>
      </c>
      <c r="IV5" t="e">
        <f>#REF!-"$Cm=!5?"</f>
        <v>#REF!</v>
      </c>
    </row>
    <row r="6" spans="1:256">
      <c r="F6" t="e">
        <f>#REF!-"$Cm=!5@"</f>
        <v>#REF!</v>
      </c>
      <c r="G6" t="e">
        <f>#REF!-"$Cm=!5A"</f>
        <v>#REF!</v>
      </c>
      <c r="H6" t="e">
        <f>#REF!-"$Cm=!5B"</f>
        <v>#REF!</v>
      </c>
      <c r="I6" t="e">
        <f>#REF!-"$Cm=!5C"</f>
        <v>#REF!</v>
      </c>
      <c r="J6" t="e">
        <f>#REF!-"$Cm=!5D"</f>
        <v>#REF!</v>
      </c>
      <c r="K6" t="e">
        <f>#REF!-"$Cm=!5E"</f>
        <v>#REF!</v>
      </c>
      <c r="L6" t="e">
        <f>#REF!-"$Cm=!5F"</f>
        <v>#REF!</v>
      </c>
      <c r="M6" t="e">
        <f>#REF!-"$Cm=!5G"</f>
        <v>#REF!</v>
      </c>
      <c r="N6" t="e">
        <f>#REF!-"$Cm=!5H"</f>
        <v>#REF!</v>
      </c>
      <c r="O6" t="e">
        <f>#REF!-"$Cm=!5I"</f>
        <v>#REF!</v>
      </c>
      <c r="P6" t="e">
        <f>#REF!-"$Cm=!5J"</f>
        <v>#REF!</v>
      </c>
      <c r="Q6" t="e">
        <f>#REF!-"$Cm=!5K"</f>
        <v>#REF!</v>
      </c>
      <c r="R6" t="e">
        <f>#REF!-"$Cm=!5L"</f>
        <v>#REF!</v>
      </c>
      <c r="S6" t="e">
        <f>#REF!-"$Cm=!5M"</f>
        <v>#REF!</v>
      </c>
      <c r="T6" t="e">
        <f>#REF!-"$Cm=!5N"</f>
        <v>#REF!</v>
      </c>
      <c r="U6" t="e">
        <f>#REF!-"$Cm=!5O"</f>
        <v>#REF!</v>
      </c>
      <c r="V6" t="e">
        <f>#REF!-"$Cm=!5P"</f>
        <v>#REF!</v>
      </c>
      <c r="W6" t="e">
        <f>#REF!-"$Cm=!5Q"</f>
        <v>#REF!</v>
      </c>
      <c r="X6" t="e">
        <f>#REF!-"$Cm=!5R"</f>
        <v>#REF!</v>
      </c>
      <c r="Y6" t="e">
        <f>#REF!-"$Cm=!5S"</f>
        <v>#REF!</v>
      </c>
      <c r="Z6" t="e">
        <f>#REF!-"$Cm=!5T"</f>
        <v>#REF!</v>
      </c>
      <c r="AA6" t="e">
        <f>#REF!-"$Cm=!5U"</f>
        <v>#REF!</v>
      </c>
      <c r="AB6" t="e">
        <f>#REF!-"$Cm=!5V"</f>
        <v>#REF!</v>
      </c>
      <c r="AC6" t="e">
        <f>#REF!-"$Cm=!5W"</f>
        <v>#REF!</v>
      </c>
      <c r="AD6" t="e">
        <f>#REF!-"$Cm=!5X"</f>
        <v>#REF!</v>
      </c>
      <c r="AE6" t="e">
        <f>#REF!-"$Cm=!5Y"</f>
        <v>#REF!</v>
      </c>
      <c r="AF6" t="e">
        <f>#REF!-"$Cm=!5Z"</f>
        <v>#REF!</v>
      </c>
      <c r="AG6" t="e">
        <f>#REF!-"$Cm=!5["</f>
        <v>#REF!</v>
      </c>
      <c r="AH6" t="e">
        <f>#REF!-"$Cm=!5\"</f>
        <v>#REF!</v>
      </c>
      <c r="AI6" t="e">
        <f>#REF!-"$Cm=!5]"</f>
        <v>#REF!</v>
      </c>
      <c r="AJ6" t="e">
        <f>#REF!-"$Cm=!5^"</f>
        <v>#REF!</v>
      </c>
      <c r="AK6" t="e">
        <f>#REF!-"$Cm=!5_"</f>
        <v>#REF!</v>
      </c>
      <c r="AL6" t="e">
        <f>#REF!-"$Cm=!5`"</f>
        <v>#REF!</v>
      </c>
      <c r="AM6" t="e">
        <f>#REF!-"$Cm=!5a"</f>
        <v>#REF!</v>
      </c>
      <c r="AN6" t="e">
        <f>#REF!-"$Cm=!5b"</f>
        <v>#REF!</v>
      </c>
      <c r="AO6" t="e">
        <f>#REF!-"$Cm=!5c"</f>
        <v>#REF!</v>
      </c>
      <c r="AP6" t="e">
        <f>#REF!-"$Cm=!5d"</f>
        <v>#REF!</v>
      </c>
      <c r="AQ6" t="e">
        <f>#REF!-"$Cm=!5e"</f>
        <v>#REF!</v>
      </c>
      <c r="AR6" t="e">
        <f>#REF!-"$Cm=!5f"</f>
        <v>#REF!</v>
      </c>
      <c r="AS6" t="e">
        <f>#REF!-"$Cm=!5g"</f>
        <v>#REF!</v>
      </c>
      <c r="AT6" t="e">
        <f>#REF!-"$Cm=!5h"</f>
        <v>#REF!</v>
      </c>
      <c r="AU6" t="e">
        <f>#REF!-"$Cm=!5i"</f>
        <v>#REF!</v>
      </c>
      <c r="AV6" t="e">
        <f>#REF!-"$Cm=!5j"</f>
        <v>#REF!</v>
      </c>
      <c r="AW6" t="e">
        <f>#REF!-"$Cm=!5k"</f>
        <v>#REF!</v>
      </c>
      <c r="AX6" t="e">
        <f>#REF!-"$Cm=!5l"</f>
        <v>#REF!</v>
      </c>
      <c r="AY6" t="e">
        <f>#REF!-"$Cm=!5m"</f>
        <v>#REF!</v>
      </c>
      <c r="AZ6" t="e">
        <f>#REF!-"$Cm=!5n"</f>
        <v>#REF!</v>
      </c>
      <c r="BA6" t="e">
        <f>#REF!-"$Cm=!5o"</f>
        <v>#REF!</v>
      </c>
      <c r="BB6" t="e">
        <f>#REF!-"$Cm=!5p"</f>
        <v>#REF!</v>
      </c>
      <c r="BC6" t="e">
        <f>#REF!-"$Cm=!5q"</f>
        <v>#REF!</v>
      </c>
      <c r="BD6" t="e">
        <f>#REF!-"$Cm=!5r"</f>
        <v>#REF!</v>
      </c>
      <c r="BE6" t="e">
        <f>#REF!-"$Cm=!5s"</f>
        <v>#REF!</v>
      </c>
      <c r="BF6" t="e">
        <f>#REF!-"$Cm=!5t"</f>
        <v>#REF!</v>
      </c>
      <c r="BG6" t="e">
        <f>#REF!-"$Cm=!5u"</f>
        <v>#REF!</v>
      </c>
      <c r="BH6" t="e">
        <f>#REF!-"$Cm=!5v"</f>
        <v>#REF!</v>
      </c>
      <c r="BI6" t="e">
        <f>#REF!-"$Cm=!5w"</f>
        <v>#REF!</v>
      </c>
      <c r="BJ6" t="e">
        <f>#REF!-"$Cm=!5x"</f>
        <v>#REF!</v>
      </c>
      <c r="BK6" t="e">
        <f>#REF!-"$Cm=!5y"</f>
        <v>#REF!</v>
      </c>
      <c r="BL6" t="e">
        <f>#REF!-"$Cm=!5z"</f>
        <v>#REF!</v>
      </c>
      <c r="BM6" t="e">
        <f>#REF!-"$Cm=!5{"</f>
        <v>#REF!</v>
      </c>
      <c r="BN6" t="e">
        <f>#REF!-"$Cm=!5|"</f>
        <v>#REF!</v>
      </c>
      <c r="BO6" t="e">
        <f>#REF!-"$Cm=!5}"</f>
        <v>#REF!</v>
      </c>
      <c r="BP6" t="e">
        <f>#REF!-"$Cm=!5~"</f>
        <v>#REF!</v>
      </c>
      <c r="BQ6" t="e">
        <f>#REF!-"$Cm=!6#"</f>
        <v>#REF!</v>
      </c>
      <c r="BR6" t="e">
        <f>#REF!-"$Cm=!6$"</f>
        <v>#REF!</v>
      </c>
      <c r="BS6" t="e">
        <f>#REF!-"$Cm=!6%"</f>
        <v>#REF!</v>
      </c>
      <c r="BT6" t="e">
        <f>#REF!-"$Cm=!6&amp;"</f>
        <v>#REF!</v>
      </c>
      <c r="BU6" t="e">
        <f>#REF!-"$Cm=!6'"</f>
        <v>#REF!</v>
      </c>
      <c r="BV6" t="e">
        <f>#REF!-"$Cm=!6("</f>
        <v>#REF!</v>
      </c>
      <c r="BW6" t="e">
        <f>#REF!-"$Cm=!6)"</f>
        <v>#REF!</v>
      </c>
      <c r="BX6" t="e">
        <f>#REF!-"$Cm=!6."</f>
        <v>#REF!</v>
      </c>
      <c r="BY6" t="e">
        <f>#REF!-"$Cm=!6/"</f>
        <v>#REF!</v>
      </c>
      <c r="BZ6" t="e">
        <f>#REF!-"$Cm=!60"</f>
        <v>#REF!</v>
      </c>
      <c r="CA6" t="e">
        <f>#REF!-"$Cm=!61"</f>
        <v>#REF!</v>
      </c>
      <c r="CB6" t="e">
        <f>#REF!-"$Cm=!62"</f>
        <v>#REF!</v>
      </c>
      <c r="CC6" t="e">
        <f>#REF!-"$Cm=!63"</f>
        <v>#REF!</v>
      </c>
      <c r="CD6" t="e">
        <f>#REF!-"$Cm=!64"</f>
        <v>#REF!</v>
      </c>
      <c r="CE6" t="e">
        <f>#REF!-"$Cm=!65"</f>
        <v>#REF!</v>
      </c>
      <c r="CF6" t="e">
        <f>#REF!-"$Cm=!66"</f>
        <v>#REF!</v>
      </c>
      <c r="CG6" t="e">
        <f>#REF!-"$Cm=!67"</f>
        <v>#REF!</v>
      </c>
      <c r="CH6" t="e">
        <f>#REF!-"$Cm=!68"</f>
        <v>#REF!</v>
      </c>
      <c r="CI6" t="e">
        <f>#REF!-"$Cm=!69"</f>
        <v>#REF!</v>
      </c>
      <c r="CJ6" t="e">
        <f>#REF!-"$Cm=!6:"</f>
        <v>#REF!</v>
      </c>
      <c r="CK6" t="e">
        <f>#REF!-"$Cm=!6;"</f>
        <v>#REF!</v>
      </c>
      <c r="CL6" t="e">
        <f>#REF!-"$Cm=!6&lt;"</f>
        <v>#REF!</v>
      </c>
      <c r="CM6" t="e">
        <f>#REF!-"$Cm=!6="</f>
        <v>#REF!</v>
      </c>
      <c r="CN6" t="e">
        <f>#REF!-"$Cm=!6&gt;"</f>
        <v>#REF!</v>
      </c>
      <c r="CO6" t="e">
        <f>#REF!-"$Cm=!6?"</f>
        <v>#REF!</v>
      </c>
      <c r="CP6" t="e">
        <f>#REF!-"$Cm=!6@"</f>
        <v>#REF!</v>
      </c>
      <c r="CQ6" t="e">
        <f>#REF!-"$Cm=!6A"</f>
        <v>#REF!</v>
      </c>
      <c r="CR6" t="e">
        <f>#REF!-"$Cm=!6B"</f>
        <v>#REF!</v>
      </c>
      <c r="CS6" t="e">
        <f>#REF!-"$Cm=!6C"</f>
        <v>#REF!</v>
      </c>
      <c r="CT6" t="e">
        <f>#REF!-"$Cm=!6D"</f>
        <v>#REF!</v>
      </c>
      <c r="CU6" t="e">
        <f>#REF!-"$Cm=!6E"</f>
        <v>#REF!</v>
      </c>
      <c r="CV6" t="e">
        <f>#REF!-"$Cm=!6F"</f>
        <v>#REF!</v>
      </c>
      <c r="CW6" t="e">
        <f>#REF!-"$Cm=!6G"</f>
        <v>#REF!</v>
      </c>
      <c r="CX6" t="e">
        <f>#REF!-"$Cm=!6H"</f>
        <v>#REF!</v>
      </c>
      <c r="CY6" t="e">
        <f>#REF!-"$Cm=!6I"</f>
        <v>#REF!</v>
      </c>
      <c r="CZ6" t="e">
        <f>#REF!-"$Cm=!6J"</f>
        <v>#REF!</v>
      </c>
      <c r="DA6" t="e">
        <f>#REF!+"$Cm=!6K"</f>
        <v>#REF!</v>
      </c>
      <c r="DB6" t="e">
        <f>#REF!+"$Cm=!6L"</f>
        <v>#REF!</v>
      </c>
      <c r="DC6" t="e">
        <f>#REF!+"$Cm=!6M"</f>
        <v>#REF!</v>
      </c>
      <c r="DD6" t="e">
        <f>#REF!+"$Cm=!6N"</f>
        <v>#REF!</v>
      </c>
      <c r="DE6" t="e">
        <f>#REF!+"$Cm=!6O"</f>
        <v>#REF!</v>
      </c>
      <c r="DF6" t="e">
        <f>#REF!+"$Cm=!6P"</f>
        <v>#REF!</v>
      </c>
      <c r="DG6" t="e">
        <f>#REF!+"$Cm=!6Q"</f>
        <v>#REF!</v>
      </c>
      <c r="DH6" t="e">
        <f>#REF!+"$Cm=!6R"</f>
        <v>#REF!</v>
      </c>
      <c r="DI6" t="e">
        <f>#REF!+"$Cm=!6S"</f>
        <v>#REF!</v>
      </c>
      <c r="DJ6" t="e">
        <f>#REF!+"$Cm=!6T"</f>
        <v>#REF!</v>
      </c>
      <c r="DK6" t="e">
        <f>#REF!+"$Cm=!6U"</f>
        <v>#REF!</v>
      </c>
      <c r="DL6" t="e">
        <f>#REF!+"$Cm=!6V"</f>
        <v>#REF!</v>
      </c>
      <c r="DM6" t="e">
        <f>#REF!+"$Cm=!6W"</f>
        <v>#REF!</v>
      </c>
      <c r="DN6" t="e">
        <f>#REF!+"$Cm=!6X"</f>
        <v>#REF!</v>
      </c>
      <c r="DO6" t="e">
        <f>#REF!+"$Cm=!6Y"</f>
        <v>#REF!</v>
      </c>
      <c r="DP6" t="e">
        <f>#REF!+"$Cm=!6Z"</f>
        <v>#REF!</v>
      </c>
      <c r="DQ6" t="e">
        <f>#REF!+"$Cm=!6["</f>
        <v>#REF!</v>
      </c>
      <c r="DR6" t="e">
        <f>#REF!+"$Cm=!6\"</f>
        <v>#REF!</v>
      </c>
      <c r="DS6" t="e">
        <f>#REF!+"$Cm=!6]"</f>
        <v>#REF!</v>
      </c>
      <c r="DT6" t="e">
        <f>#REF!+"$Cm=!6^"</f>
        <v>#REF!</v>
      </c>
      <c r="DU6" t="e">
        <f>#REF!+"$Cm=!6_"</f>
        <v>#REF!</v>
      </c>
      <c r="DV6" t="e">
        <f>#REF!+"$Cm=!6`"</f>
        <v>#REF!</v>
      </c>
      <c r="DW6" t="e">
        <f>#REF!+"$Cm=!6a"</f>
        <v>#REF!</v>
      </c>
      <c r="DX6" t="e">
        <f>#REF!+"$Cm=!6b"</f>
        <v>#REF!</v>
      </c>
      <c r="DY6" t="e">
        <f>#REF!+"$Cm=!6c"</f>
        <v>#REF!</v>
      </c>
      <c r="DZ6" t="e">
        <f>#REF!+"$Cm=!6d"</f>
        <v>#REF!</v>
      </c>
      <c r="EA6" t="e">
        <f>#REF!+"$Cm=!6e"</f>
        <v>#REF!</v>
      </c>
      <c r="EB6" t="e">
        <f>#REF!+"$Cm=!6f"</f>
        <v>#REF!</v>
      </c>
      <c r="EC6" t="e">
        <f>#REF!+"$Cm=!6g"</f>
        <v>#REF!</v>
      </c>
      <c r="ED6" t="e">
        <f>#REF!+"$Cm=!6h"</f>
        <v>#REF!</v>
      </c>
      <c r="EE6" t="e">
        <f>#REF!+"$Cm=!6i"</f>
        <v>#REF!</v>
      </c>
      <c r="EF6" t="e">
        <f>#REF!+"$Cm=!6j"</f>
        <v>#REF!</v>
      </c>
      <c r="EG6" t="e">
        <f>#REF!+"$Cm=!6k"</f>
        <v>#REF!</v>
      </c>
      <c r="EH6" t="e">
        <f>#REF!+"$Cm=!6l"</f>
        <v>#REF!</v>
      </c>
      <c r="EI6" t="e">
        <f>#REF!+"$Cm=!6m"</f>
        <v>#REF!</v>
      </c>
      <c r="EJ6" t="e">
        <f>#REF!+"$Cm=!6n"</f>
        <v>#REF!</v>
      </c>
      <c r="EK6" t="e">
        <f>#REF!+"$Cm=!6o"</f>
        <v>#REF!</v>
      </c>
      <c r="EL6" t="e">
        <f>#REF!+"$Cm=!6p"</f>
        <v>#REF!</v>
      </c>
      <c r="EM6" t="e">
        <f>#REF!+"$Cm=!6q"</f>
        <v>#REF!</v>
      </c>
      <c r="EN6" t="e">
        <f>#REF!+"$Cm=!6r"</f>
        <v>#REF!</v>
      </c>
      <c r="EO6" t="e">
        <f>#REF!+"$Cm=!6s"</f>
        <v>#REF!</v>
      </c>
      <c r="EP6" t="e">
        <f>#REF!+"$Cm=!6t"</f>
        <v>#REF!</v>
      </c>
      <c r="EQ6" t="e">
        <f>#REF!+"$Cm=!6u"</f>
        <v>#REF!</v>
      </c>
      <c r="ER6" t="e">
        <f>#REF!+"$Cm=!6v"</f>
        <v>#REF!</v>
      </c>
      <c r="ES6" t="e">
        <f>#REF!+"$Cm=!6w"</f>
        <v>#REF!</v>
      </c>
      <c r="ET6" t="e">
        <f>#REF!+"$Cm=!6x"</f>
        <v>#REF!</v>
      </c>
      <c r="EU6" t="e">
        <f>#REF!+"$Cm=!6y"</f>
        <v>#REF!</v>
      </c>
      <c r="EV6" t="e">
        <f>#REF!+"$Cm=!6z"</f>
        <v>#REF!</v>
      </c>
      <c r="EW6" t="e">
        <f>#REF!+"$Cm=!6{"</f>
        <v>#REF!</v>
      </c>
      <c r="EX6" t="e">
        <f>#REF!+"$Cm=!6|"</f>
        <v>#REF!</v>
      </c>
      <c r="EY6" t="e">
        <f>#REF!+"$Cm=!6}"</f>
        <v>#REF!</v>
      </c>
      <c r="EZ6" t="e">
        <f>#REF!+"$Cm=!6~"</f>
        <v>#REF!</v>
      </c>
      <c r="FA6" t="e">
        <f>#REF!+"$Cm=!7#"</f>
        <v>#REF!</v>
      </c>
      <c r="FB6" t="e">
        <f>#REF!+"$Cm=!7$"</f>
        <v>#REF!</v>
      </c>
      <c r="FC6" t="e">
        <f>#REF!+"$Cm=!7%"</f>
        <v>#REF!</v>
      </c>
      <c r="FD6" t="e">
        <f>#REF!+"$Cm=!7&amp;"</f>
        <v>#REF!</v>
      </c>
      <c r="FE6" t="e">
        <f>#REF!+"$Cm=!7'"</f>
        <v>#REF!</v>
      </c>
      <c r="FF6" t="e">
        <f>#REF!+"$Cm=!7("</f>
        <v>#REF!</v>
      </c>
      <c r="FG6" t="e">
        <f>#REF!+"$Cm=!7)"</f>
        <v>#REF!</v>
      </c>
      <c r="FH6" t="e">
        <f>#REF!+"$Cm=!7."</f>
        <v>#REF!</v>
      </c>
      <c r="FI6" t="e">
        <f>#REF!+"$Cm=!7/"</f>
        <v>#REF!</v>
      </c>
      <c r="FJ6" t="e">
        <f>#REF!+"$Cm=!70"</f>
        <v>#REF!</v>
      </c>
      <c r="FK6" t="e">
        <f>#REF!+"$Cm=!71"</f>
        <v>#REF!</v>
      </c>
      <c r="FL6" t="e">
        <f>#REF!+"$Cm=!72"</f>
        <v>#REF!</v>
      </c>
      <c r="FM6" t="e">
        <f>#REF!+"$Cm=!73"</f>
        <v>#REF!</v>
      </c>
      <c r="FN6" t="e">
        <f>#REF!+"$Cm=!74"</f>
        <v>#REF!</v>
      </c>
      <c r="FO6" t="e">
        <f>#REF!+"$Cm=!75"</f>
        <v>#REF!</v>
      </c>
      <c r="FP6" t="e">
        <f>#REF!+"$Cm=!76"</f>
        <v>#REF!</v>
      </c>
      <c r="FQ6" t="e">
        <f>#REF!+"$Cm=!77"</f>
        <v>#REF!</v>
      </c>
      <c r="FR6" t="e">
        <f>#REF!+"$Cm=!78"</f>
        <v>#REF!</v>
      </c>
      <c r="FS6" t="e">
        <f>#REF!+"$Cm=!79"</f>
        <v>#REF!</v>
      </c>
      <c r="FT6" t="e">
        <f>#REF!+"$Cm=!7:"</f>
        <v>#REF!</v>
      </c>
      <c r="FU6" t="e">
        <f>#REF!+"$Cm=!7;"</f>
        <v>#REF!</v>
      </c>
      <c r="FV6" t="e">
        <f>#REF!+"$Cm=!7&lt;"</f>
        <v>#REF!</v>
      </c>
      <c r="FW6" t="e">
        <f>#REF!+"$Cm=!7="</f>
        <v>#REF!</v>
      </c>
      <c r="FX6" t="e">
        <f>#REF!+"$Cm=!7&gt;"</f>
        <v>#REF!</v>
      </c>
      <c r="FY6" t="e">
        <f>#REF!+"$Cm=!7?"</f>
        <v>#REF!</v>
      </c>
      <c r="FZ6" t="e">
        <f>#REF!+"$Cm=!7@"</f>
        <v>#REF!</v>
      </c>
      <c r="GA6" t="e">
        <f>#REF!+"$Cm=!7A"</f>
        <v>#REF!</v>
      </c>
      <c r="GB6" t="e">
        <f>#REF!+"$Cm=!7B"</f>
        <v>#REF!</v>
      </c>
      <c r="GC6" t="e">
        <f>#REF!+"$Cm=!7C"</f>
        <v>#REF!</v>
      </c>
      <c r="GD6" t="e">
        <f>#REF!+"$Cm=!7D"</f>
        <v>#REF!</v>
      </c>
      <c r="GE6" t="e">
        <f>#REF!+"$Cm=!7E"</f>
        <v>#REF!</v>
      </c>
      <c r="GF6" t="e">
        <f>#REF!+"$Cm=!7F"</f>
        <v>#REF!</v>
      </c>
      <c r="GG6" t="e">
        <f>#REF!+"$Cm=!7G"</f>
        <v>#REF!</v>
      </c>
      <c r="GH6" t="e">
        <f>#REF!+"$Cm=!7H"</f>
        <v>#REF!</v>
      </c>
      <c r="GI6" t="e">
        <f>#REF!+"$Cm=!7I"</f>
        <v>#REF!</v>
      </c>
      <c r="GJ6" t="e">
        <f>#REF!+"$Cm=!7J"</f>
        <v>#REF!</v>
      </c>
      <c r="GK6" t="e">
        <f>#REF!+"$Cm=!7K"</f>
        <v>#REF!</v>
      </c>
      <c r="GL6" t="e">
        <f>#REF!+"$Cm=!7L"</f>
        <v>#REF!</v>
      </c>
      <c r="GM6" t="e">
        <f>#REF!+"$Cm=!7M"</f>
        <v>#REF!</v>
      </c>
      <c r="GN6" t="e">
        <f>#REF!+"$Cm=!7N"</f>
        <v>#REF!</v>
      </c>
      <c r="GO6" t="e">
        <f>#REF!+"$Cm=!7O"</f>
        <v>#REF!</v>
      </c>
      <c r="GP6" t="e">
        <f>#REF!+"$Cm=!7P"</f>
        <v>#REF!</v>
      </c>
      <c r="GQ6" t="e">
        <f>#REF!+"$Cm=!7Q"</f>
        <v>#REF!</v>
      </c>
      <c r="GR6" t="e">
        <f>#REF!+"$Cm=!7R"</f>
        <v>#REF!</v>
      </c>
      <c r="GS6" t="e">
        <f>#REF!+"$Cm=!7S"</f>
        <v>#REF!</v>
      </c>
      <c r="GT6" t="e">
        <f>#REF!+"$Cm=!7T"</f>
        <v>#REF!</v>
      </c>
      <c r="GU6" t="e">
        <f>#REF!+"$Cm=!7U"</f>
        <v>#REF!</v>
      </c>
      <c r="GV6" t="e">
        <f>#REF!+"$Cm=!7V"</f>
        <v>#REF!</v>
      </c>
      <c r="GW6" t="e">
        <f>#REF!+"$Cm=!7W"</f>
        <v>#REF!</v>
      </c>
      <c r="GX6" t="e">
        <f>#REF!+"$Cm=!7X"</f>
        <v>#REF!</v>
      </c>
      <c r="GY6" t="e">
        <f>#REF!+"$Cm=!7Y"</f>
        <v>#REF!</v>
      </c>
      <c r="GZ6" t="e">
        <f>#REF!+"$Cm=!7Z"</f>
        <v>#REF!</v>
      </c>
      <c r="HA6" t="e">
        <f>#REF!+"$Cm=!7["</f>
        <v>#REF!</v>
      </c>
      <c r="HB6" t="e">
        <f>#REF!+"$Cm=!7\"</f>
        <v>#REF!</v>
      </c>
      <c r="HC6" t="e">
        <f>#REF!+"$Cm=!7]"</f>
        <v>#REF!</v>
      </c>
      <c r="HD6" t="e">
        <f>#REF!+"$Cm=!7^"</f>
        <v>#REF!</v>
      </c>
      <c r="HE6" t="e">
        <f>#REF!+"$Cm=!7_"</f>
        <v>#REF!</v>
      </c>
      <c r="HF6" t="e">
        <f>#REF!+"$Cm=!7`"</f>
        <v>#REF!</v>
      </c>
      <c r="HG6" t="e">
        <f>#REF!+"$Cm=!7a"</f>
        <v>#REF!</v>
      </c>
      <c r="HH6" t="e">
        <f>#REF!+"$Cm=!7b"</f>
        <v>#REF!</v>
      </c>
      <c r="HI6" t="e">
        <f>#REF!+"$Cm=!7c"</f>
        <v>#REF!</v>
      </c>
      <c r="HJ6" t="e">
        <f>#REF!+"$Cm=!7d"</f>
        <v>#REF!</v>
      </c>
      <c r="HK6" t="e">
        <f>#REF!+"$Cm=!7e"</f>
        <v>#REF!</v>
      </c>
      <c r="HL6" t="e">
        <f>#REF!*"$Cm=!7j"</f>
        <v>#REF!</v>
      </c>
      <c r="HM6" t="e">
        <f>#REF!*"$Cm=!7k"</f>
        <v>#REF!</v>
      </c>
      <c r="HN6" t="e">
        <f>#REF!*"$Cm=!7l"</f>
        <v>#REF!</v>
      </c>
      <c r="HO6" t="e">
        <f>#REF!*"$Cm=!7m"</f>
        <v>#REF!</v>
      </c>
      <c r="HP6" t="e">
        <f>#REF!*"$Cm=!7n"</f>
        <v>#REF!</v>
      </c>
      <c r="HQ6" t="e">
        <f>#REF!*"$Cm=!7o"</f>
        <v>#REF!</v>
      </c>
      <c r="HR6" t="e">
        <f>#REF!*"$Cm=!7p"</f>
        <v>#REF!</v>
      </c>
      <c r="HS6" t="e">
        <f>#REF!*"$Cm=!7q"</f>
        <v>#REF!</v>
      </c>
      <c r="HT6" t="e">
        <f>#REF!*"$Cm=!7r"</f>
        <v>#REF!</v>
      </c>
      <c r="HU6" t="e">
        <f>#REF!*"$Cm=!7s"</f>
        <v>#REF!</v>
      </c>
      <c r="HV6" t="e">
        <f>#REF!*"$Cm=!7t"</f>
        <v>#REF!</v>
      </c>
      <c r="HW6" t="e">
        <f>#REF!*"$Cm=!7u"</f>
        <v>#REF!</v>
      </c>
      <c r="HX6" t="e">
        <f>#REF!*"$Cm=!7v"</f>
        <v>#REF!</v>
      </c>
      <c r="HY6" t="e">
        <f>#REF!*"$Cm=!7w"</f>
        <v>#REF!</v>
      </c>
      <c r="HZ6" t="e">
        <f>#REF!*"$Cm=!7x"</f>
        <v>#REF!</v>
      </c>
      <c r="IA6" t="e">
        <f>#REF!*"$Cm=!7y"</f>
        <v>#REF!</v>
      </c>
      <c r="IB6" t="e">
        <f>#REF!*"$Cm=!7z"</f>
        <v>#REF!</v>
      </c>
      <c r="IC6" t="e">
        <f>#REF!*"$Cm=!7{"</f>
        <v>#REF!</v>
      </c>
      <c r="ID6" t="e">
        <f>#REF!*"$Cm=!7|"</f>
        <v>#REF!</v>
      </c>
      <c r="IE6" t="e">
        <f>#REF!*"$Cm=!7}"</f>
        <v>#REF!</v>
      </c>
      <c r="IF6" t="e">
        <f>#REF!*"$Cm=!7~"</f>
        <v>#REF!</v>
      </c>
      <c r="IG6" t="e">
        <f>#REF!*"$Cm=!8#"</f>
        <v>#REF!</v>
      </c>
      <c r="IH6" t="e">
        <f>#REF!*"$Cm=!8$"</f>
        <v>#REF!</v>
      </c>
      <c r="II6" t="e">
        <f>#REF!*"$Cm=!8%"</f>
        <v>#REF!</v>
      </c>
      <c r="IJ6" t="e">
        <f>#REF!*"$Cm=!8&amp;"</f>
        <v>#REF!</v>
      </c>
      <c r="IK6" t="e">
        <f>#REF!*"$Cm=!8'"</f>
        <v>#REF!</v>
      </c>
      <c r="IL6" t="e">
        <f>#REF!*"$Cm=!8("</f>
        <v>#REF!</v>
      </c>
      <c r="IM6" t="e">
        <f>#REF!*"$Cm=!8)"</f>
        <v>#REF!</v>
      </c>
      <c r="IN6" t="e">
        <f>#REF!*"$Cm=!8."</f>
        <v>#REF!</v>
      </c>
      <c r="IO6" t="e">
        <f>#REF!*"$Cm=!8/"</f>
        <v>#REF!</v>
      </c>
      <c r="IP6" t="e">
        <f>#REF!*"$Cm=!80"</f>
        <v>#REF!</v>
      </c>
      <c r="IQ6" t="e">
        <f>#REF!*"$Cm=!81"</f>
        <v>#REF!</v>
      </c>
      <c r="IR6" t="e">
        <f>#REF!*"$Cm=!82"</f>
        <v>#REF!</v>
      </c>
      <c r="IS6" t="e">
        <f>#REF!*"$Cm=!83"</f>
        <v>#REF!</v>
      </c>
      <c r="IT6" t="e">
        <f>#REF!*"$Cm=!84"</f>
        <v>#REF!</v>
      </c>
      <c r="IU6" t="e">
        <f>#REF!*"$Cm=!85"</f>
        <v>#REF!</v>
      </c>
      <c r="IV6" t="e">
        <f>#REF!*"$Cm=!86"</f>
        <v>#REF!</v>
      </c>
    </row>
    <row r="7" spans="1:256">
      <c r="F7" t="e">
        <f>#REF!*"$Cm=!87"</f>
        <v>#REF!</v>
      </c>
      <c r="G7" t="e">
        <f>#REF!*"$Cm=!88"</f>
        <v>#REF!</v>
      </c>
      <c r="H7" t="e">
        <f>#REF!*"$Cm=!89"</f>
        <v>#REF!</v>
      </c>
      <c r="I7" t="e">
        <f>#REF!*"$Cm=!8:"</f>
        <v>#REF!</v>
      </c>
      <c r="J7" t="e">
        <f>#REF!*"$Cm=!8;"</f>
        <v>#REF!</v>
      </c>
      <c r="K7" t="e">
        <f>#REF!*"$Cm=!8&lt;"</f>
        <v>#REF!</v>
      </c>
      <c r="L7" t="e">
        <f>#REF!*"$Cm=!8="</f>
        <v>#REF!</v>
      </c>
      <c r="M7" t="e">
        <f>#REF!*"$Cm=!8&gt;"</f>
        <v>#REF!</v>
      </c>
      <c r="N7" t="e">
        <f>#REF!*"$Cm=!8?"</f>
        <v>#REF!</v>
      </c>
      <c r="O7" t="e">
        <f>#REF!*"$Cm=!8@"</f>
        <v>#REF!</v>
      </c>
      <c r="P7" t="e">
        <f>#REF!*"$Cm=!8A"</f>
        <v>#REF!</v>
      </c>
      <c r="Q7" t="e">
        <f>#REF!*"$Cm=!8B"</f>
        <v>#REF!</v>
      </c>
      <c r="R7" t="e">
        <f>#REF!*"$Cm=!8C"</f>
        <v>#REF!</v>
      </c>
      <c r="S7" t="e">
        <f>#REF!*"$Cm=!8D"</f>
        <v>#REF!</v>
      </c>
      <c r="T7" t="e">
        <f>#REF!*"$Cm=!8E"</f>
        <v>#REF!</v>
      </c>
      <c r="U7" t="e">
        <f>#REF!*"$Cm=!8F"</f>
        <v>#REF!</v>
      </c>
      <c r="V7" t="e">
        <f>#REF!*"$Cm=!8G"</f>
        <v>#REF!</v>
      </c>
      <c r="W7" t="e">
        <f>#REF!*"$Cm=!8H"</f>
        <v>#REF!</v>
      </c>
      <c r="X7" t="e">
        <f>#REF!*"$Cm=!8I"</f>
        <v>#REF!</v>
      </c>
      <c r="Y7" t="e">
        <f>#REF!*"$Cm=!8J"</f>
        <v>#REF!</v>
      </c>
      <c r="Z7" t="e">
        <f>#REF!*"$Cm=!8K"</f>
        <v>#REF!</v>
      </c>
      <c r="AA7" t="e">
        <f>#REF!*"$Cm=!8L"</f>
        <v>#REF!</v>
      </c>
      <c r="AB7" t="e">
        <f>#REF!*"$Cm=!8M"</f>
        <v>#REF!</v>
      </c>
      <c r="AC7" t="e">
        <f>#REF!*"$Cm=!8N"</f>
        <v>#REF!</v>
      </c>
      <c r="AD7" t="e">
        <f>#REF!*"$Cm=!8O"</f>
        <v>#REF!</v>
      </c>
      <c r="AE7" t="e">
        <f>#REF!*"$Cm=!8P"</f>
        <v>#REF!</v>
      </c>
      <c r="AF7" t="e">
        <f>#REF!*"$Cm=!8Q"</f>
        <v>#REF!</v>
      </c>
      <c r="AG7" t="e">
        <f>#REF!*"$Cm=!8R"</f>
        <v>#REF!</v>
      </c>
      <c r="AH7" t="e">
        <f>#REF!*"$Cm=!8S"</f>
        <v>#REF!</v>
      </c>
      <c r="AI7" t="e">
        <f>#REF!*"$Cm=!8T"</f>
        <v>#REF!</v>
      </c>
      <c r="AJ7" t="e">
        <f>#REF!*"$Cm=!8U"</f>
        <v>#REF!</v>
      </c>
      <c r="AK7" t="e">
        <f>#REF!*"$Cm=!8V"</f>
        <v>#REF!</v>
      </c>
      <c r="AL7" t="e">
        <f>#REF!*"$Cm=!8W"</f>
        <v>#REF!</v>
      </c>
      <c r="AM7" t="e">
        <f>#REF!*"$Cm=!8X"</f>
        <v>#REF!</v>
      </c>
      <c r="AN7" t="e">
        <f>#REF!*"$Cm=!8Y"</f>
        <v>#REF!</v>
      </c>
      <c r="AO7" t="e">
        <f>#REF!*"$Cm=!8Z"</f>
        <v>#REF!</v>
      </c>
      <c r="AP7" t="e">
        <f>#REF!*"$Cm=!8["</f>
        <v>#REF!</v>
      </c>
      <c r="AQ7" t="e">
        <f>#REF!*"$Cm=!8\"</f>
        <v>#REF!</v>
      </c>
      <c r="AR7" t="e">
        <f>#REF!*"$Cm=!8]"</f>
        <v>#REF!</v>
      </c>
      <c r="AS7" t="e">
        <f>#REF!*"$Cm=!8^"</f>
        <v>#REF!</v>
      </c>
      <c r="AT7" t="e">
        <f>#REF!*"$Cm=!8_"</f>
        <v>#REF!</v>
      </c>
      <c r="AU7" t="e">
        <f>#REF!*"$Cm=!8`"</f>
        <v>#REF!</v>
      </c>
      <c r="AV7" t="e">
        <f>#REF!*"$Cm=!8a"</f>
        <v>#REF!</v>
      </c>
      <c r="AW7" t="e">
        <f>#REF!*"$Cm=!8b"</f>
        <v>#REF!</v>
      </c>
      <c r="AX7" t="e">
        <f>#REF!*"$Cm=!8c"</f>
        <v>#REF!</v>
      </c>
      <c r="AY7" t="e">
        <f>#REF!*"$Cm=!8d"</f>
        <v>#REF!</v>
      </c>
      <c r="AZ7" t="e">
        <f>#REF!*"$Cm=!8e"</f>
        <v>#REF!</v>
      </c>
      <c r="BA7" t="e">
        <f>#REF!*"$Cm=!8f"</f>
        <v>#REF!</v>
      </c>
      <c r="BB7" t="e">
        <f>#REF!*"$Cm=!8g"</f>
        <v>#REF!</v>
      </c>
      <c r="BC7" t="e">
        <f>#REF!*"$Cm=!8h"</f>
        <v>#REF!</v>
      </c>
      <c r="BD7" t="e">
        <f>#REF!*"$Cm=!8i"</f>
        <v>#REF!</v>
      </c>
      <c r="BE7" t="e">
        <f>#REF!*"$Cm=!8j"</f>
        <v>#REF!</v>
      </c>
      <c r="BF7" t="e">
        <f>#REF!*"$Cm=!8k"</f>
        <v>#REF!</v>
      </c>
      <c r="BG7" t="e">
        <f>#REF!*"$Cm=!8l"</f>
        <v>#REF!</v>
      </c>
      <c r="BH7" t="e">
        <f>#REF!*"$Cm=!8m"</f>
        <v>#REF!</v>
      </c>
      <c r="BI7" t="e">
        <f>#REF!*"$Cm=!8n"</f>
        <v>#REF!</v>
      </c>
      <c r="BJ7" t="e">
        <f>#REF!*"$Cm=!8o"</f>
        <v>#REF!</v>
      </c>
      <c r="BK7" t="e">
        <f>#REF!*"$Cm=!8p"</f>
        <v>#REF!</v>
      </c>
      <c r="BL7" t="e">
        <f>#REF!*"$Cm=!8q"</f>
        <v>#REF!</v>
      </c>
      <c r="BM7" t="e">
        <f>#REF!*"$Cm=!8r"</f>
        <v>#REF!</v>
      </c>
      <c r="BN7" t="e">
        <f>#REF!*"$Cm=!8s"</f>
        <v>#REF!</v>
      </c>
      <c r="BO7" t="e">
        <f>#REF!*"$Cm=!8t"</f>
        <v>#REF!</v>
      </c>
      <c r="BP7" t="e">
        <f>#REF!*"$Cm=!8u"</f>
        <v>#REF!</v>
      </c>
      <c r="BQ7" t="e">
        <f>#REF!*"$Cm=!8v"</f>
        <v>#REF!</v>
      </c>
      <c r="BR7" t="e">
        <f>#REF!*"$Cm=!8w"</f>
        <v>#REF!</v>
      </c>
      <c r="BS7" t="e">
        <f>#REF!*"$Cm=!8x"</f>
        <v>#REF!</v>
      </c>
      <c r="BT7" t="e">
        <f>#REF!*"$Cm=!8y"</f>
        <v>#REF!</v>
      </c>
      <c r="BU7" t="e">
        <f>#REF!*"$Cm=!8z"</f>
        <v>#REF!</v>
      </c>
      <c r="BV7" t="e">
        <f>#REF!*"$Cm=!8{"</f>
        <v>#REF!</v>
      </c>
      <c r="BW7" t="e">
        <f>#REF!*"$Cm=!8|"</f>
        <v>#REF!</v>
      </c>
      <c r="BX7" t="e">
        <f>#REF!*"$Cm=!8}"</f>
        <v>#REF!</v>
      </c>
      <c r="BY7" t="e">
        <f>#REF!*"$Cm=!8~"</f>
        <v>#REF!</v>
      </c>
      <c r="BZ7" t="e">
        <f>#REF!*"$Cm=!9#"</f>
        <v>#REF!</v>
      </c>
      <c r="CA7" t="e">
        <f>#REF!*"$Cm=!9$"</f>
        <v>#REF!</v>
      </c>
      <c r="CB7" t="e">
        <f>#REF!*"$Cm=!9%"</f>
        <v>#REF!</v>
      </c>
      <c r="CC7" t="e">
        <f>#REF!*"$Cm=!9&amp;"</f>
        <v>#REF!</v>
      </c>
      <c r="CD7" t="e">
        <f>#REF!*"$Cm=!9'"</f>
        <v>#REF!</v>
      </c>
      <c r="CE7" t="e">
        <f>#REF!*"$Cm=!9("</f>
        <v>#REF!</v>
      </c>
      <c r="CF7" t="e">
        <f>#REF!*"$Cm=!9)"</f>
        <v>#REF!</v>
      </c>
      <c r="CG7" t="e">
        <f>#REF!*"$Cm=!9."</f>
        <v>#REF!</v>
      </c>
      <c r="CH7" t="e">
        <f>#REF!*"$Cm=!9/"</f>
        <v>#REF!</v>
      </c>
      <c r="CI7" t="e">
        <f>#REF!*"$Cm=!90"</f>
        <v>#REF!</v>
      </c>
      <c r="CJ7" t="e">
        <f>#REF!*"$Cm=!91"</f>
        <v>#REF!</v>
      </c>
      <c r="CK7" t="e">
        <f>#REF!*"$Cm=!92"</f>
        <v>#REF!</v>
      </c>
      <c r="CL7" t="e">
        <f>#REF!*"$Cm=!93"</f>
        <v>#REF!</v>
      </c>
      <c r="CM7" t="e">
        <f>#REF!*"$Cm=!94"</f>
        <v>#REF!</v>
      </c>
      <c r="CN7" t="e">
        <f>#REF!*"$Cm=!95"</f>
        <v>#REF!</v>
      </c>
      <c r="CO7" t="e">
        <f>#REF!*"$Cm=!96"</f>
        <v>#REF!</v>
      </c>
      <c r="CP7" t="e">
        <f>#REF!*"$Cm=!97"</f>
        <v>#REF!</v>
      </c>
      <c r="CQ7" t="e">
        <f>#REF!*"$Cm=!98"</f>
        <v>#REF!</v>
      </c>
      <c r="CR7" t="e">
        <f>#REF!*"$Cm=!99"</f>
        <v>#REF!</v>
      </c>
      <c r="CS7" t="e">
        <f>#REF!*"$Cm=!9:"</f>
        <v>#REF!</v>
      </c>
      <c r="CT7" t="e">
        <f>#REF!*"$Cm=!9;"</f>
        <v>#REF!</v>
      </c>
      <c r="CU7" t="e">
        <f>#REF!*"$Cm=!9&lt;"</f>
        <v>#REF!</v>
      </c>
      <c r="CV7" t="e">
        <f>#REF!*"$Cm=!9="</f>
        <v>#REF!</v>
      </c>
      <c r="CW7" t="e">
        <f>#REF!*"$Cm=!9&gt;"</f>
        <v>#REF!</v>
      </c>
      <c r="CX7" t="e">
        <f>#REF!*"$Cm=!9?"</f>
        <v>#REF!</v>
      </c>
      <c r="CY7" t="e">
        <f>#REF!*"$Cm=!9@"</f>
        <v>#REF!</v>
      </c>
      <c r="CZ7" t="e">
        <f>#REF!*"$Cm=!9A"</f>
        <v>#REF!</v>
      </c>
      <c r="DA7" t="e">
        <f>#REF!*"$Cm=!9B"</f>
        <v>#REF!</v>
      </c>
      <c r="DB7" t="e">
        <f>#REF!*"$Cm=!9C"</f>
        <v>#REF!</v>
      </c>
      <c r="DC7" t="e">
        <f>#REF!*"$Cm=!9D"</f>
        <v>#REF!</v>
      </c>
      <c r="DD7" t="e">
        <f>#REF!*"$Cm=!9E"</f>
        <v>#REF!</v>
      </c>
      <c r="DE7" t="e">
        <f>#REF!*"$Cm=!9F"</f>
        <v>#REF!</v>
      </c>
      <c r="DF7" t="e">
        <f>#REF!*"$Cm=!9G"</f>
        <v>#REF!</v>
      </c>
      <c r="DG7" t="e">
        <f>#REF!*"$Cm=!9H"</f>
        <v>#REF!</v>
      </c>
      <c r="DH7" t="e">
        <f>#REF!*"$Cm=!9I"</f>
        <v>#REF!</v>
      </c>
      <c r="DI7" t="e">
        <f>#REF!*"$Cm=!9J"</f>
        <v>#REF!</v>
      </c>
      <c r="DJ7" t="e">
        <f>#REF!*"$Cm=!9K"</f>
        <v>#REF!</v>
      </c>
      <c r="DK7" t="e">
        <f>#REF!*"$Cm=!9L"</f>
        <v>#REF!</v>
      </c>
      <c r="DL7" t="e">
        <f>#REF!*"$Cm=!9M"</f>
        <v>#REF!</v>
      </c>
      <c r="DM7" t="e">
        <f>#REF!*"$Cm=!9N"</f>
        <v>#REF!</v>
      </c>
      <c r="DN7" t="e">
        <f>#REF!*"$Cm=!9O"</f>
        <v>#REF!</v>
      </c>
      <c r="DO7" t="e">
        <f>#REF!*"$Cm=!9P"</f>
        <v>#REF!</v>
      </c>
      <c r="DP7" t="e">
        <f>#REF!*"$Cm=!9Q"</f>
        <v>#REF!</v>
      </c>
      <c r="DQ7" t="e">
        <f>#REF!*"$Cm=!9R"</f>
        <v>#REF!</v>
      </c>
      <c r="DR7" t="e">
        <f>#REF!*"$Cm=!9S"</f>
        <v>#REF!</v>
      </c>
      <c r="DS7" t="e">
        <f>#REF!*"$Cm=!9T"</f>
        <v>#REF!</v>
      </c>
      <c r="DT7" t="e">
        <f>#REF!*"$Cm=!9U"</f>
        <v>#REF!</v>
      </c>
      <c r="DU7" t="e">
        <f>#REF!*"$Cm=!9V"</f>
        <v>#REF!</v>
      </c>
      <c r="DV7" t="e">
        <f>#REF!*"$Cm=!9W"</f>
        <v>#REF!</v>
      </c>
      <c r="DW7" t="e">
        <f>#REF!*"$Cm=!9X"</f>
        <v>#REF!</v>
      </c>
      <c r="DX7" t="e">
        <f>#REF!*"$Cm=!9Y"</f>
        <v>#REF!</v>
      </c>
      <c r="DY7" t="e">
        <f>#REF!*"$Cm=!9Z"</f>
        <v>#REF!</v>
      </c>
      <c r="DZ7" t="e">
        <f>#REF!*"$Cm=!9["</f>
        <v>#REF!</v>
      </c>
      <c r="EA7" t="e">
        <f>#REF!*"$Cm=!9\"</f>
        <v>#REF!</v>
      </c>
      <c r="EB7" t="e">
        <f>#REF!*"$Cm=!9]"</f>
        <v>#REF!</v>
      </c>
      <c r="EC7" t="e">
        <f>#REF!*"$Cm=!9^"</f>
        <v>#REF!</v>
      </c>
      <c r="ED7" t="e">
        <f>#REF!*"$Cm=!9_"</f>
        <v>#REF!</v>
      </c>
      <c r="EE7" t="e">
        <f>#REF!*"$Cm=!9`"</f>
        <v>#REF!</v>
      </c>
      <c r="EF7" t="e">
        <f>#REF!*"$Cm=!9a"</f>
        <v>#REF!</v>
      </c>
      <c r="EG7" t="e">
        <f>#REF!*"$Cm=!9b"</f>
        <v>#REF!</v>
      </c>
      <c r="EH7" t="e">
        <f>#REF!*"$Cm=!9c"</f>
        <v>#REF!</v>
      </c>
      <c r="EI7" t="e">
        <f>#REF!*"$Cm=!9d"</f>
        <v>#REF!</v>
      </c>
      <c r="EJ7" t="e">
        <f>#REF!*"$Cm=!9e"</f>
        <v>#REF!</v>
      </c>
      <c r="EK7" t="e">
        <f>#REF!*"$Cm=!9f"</f>
        <v>#REF!</v>
      </c>
      <c r="EL7" t="e">
        <f>#REF!*"$Cm=!9g"</f>
        <v>#REF!</v>
      </c>
      <c r="EM7" t="e">
        <f>#REF!*"$Cm=!9h"</f>
        <v>#REF!</v>
      </c>
      <c r="EN7" t="e">
        <f>#REF!*"$Cm=!9i"</f>
        <v>#REF!</v>
      </c>
      <c r="EO7" t="e">
        <f>#REF!*"$Cm=!9j"</f>
        <v>#REF!</v>
      </c>
      <c r="EP7" t="e">
        <f>#REF!*"$Cm=!9k"</f>
        <v>#REF!</v>
      </c>
      <c r="EQ7" t="e">
        <f>#REF!*"$Cm=!9l"</f>
        <v>#REF!</v>
      </c>
      <c r="ER7" t="e">
        <f>#REF!*"$Cm=!9m"</f>
        <v>#REF!</v>
      </c>
      <c r="ES7" t="e">
        <f>#REF!*"$Cm=!9n"</f>
        <v>#REF!</v>
      </c>
      <c r="ET7" t="e">
        <f>#REF!*"$Cm=!9o"</f>
        <v>#REF!</v>
      </c>
      <c r="EU7" t="e">
        <f>#REF!*"$Cm=!9p"</f>
        <v>#REF!</v>
      </c>
      <c r="EV7" t="e">
        <f>#REF!*"$Cm=!9q"</f>
        <v>#REF!</v>
      </c>
      <c r="EW7" t="e">
        <f>#REF!*"$Cm=!9r"</f>
        <v>#REF!</v>
      </c>
      <c r="EX7" t="e">
        <f>#REF!*"$Cm=!9s"</f>
        <v>#REF!</v>
      </c>
      <c r="EY7" t="e">
        <f>#REF!*"$Cm=!9t"</f>
        <v>#REF!</v>
      </c>
      <c r="EZ7" t="e">
        <f>#REF!*"$Cm=!9u"</f>
        <v>#REF!</v>
      </c>
      <c r="FA7" t="e">
        <f>#REF!*"$Cm=!9v"</f>
        <v>#REF!</v>
      </c>
      <c r="FB7" t="e">
        <f>#REF!*"$Cm=!9w"</f>
        <v>#REF!</v>
      </c>
      <c r="FC7" t="e">
        <f>#REF!*"$Cm=!9x"</f>
        <v>#REF!</v>
      </c>
      <c r="FD7" t="e">
        <f>#REF!*"$Cm=!9y"</f>
        <v>#REF!</v>
      </c>
      <c r="FE7" t="e">
        <f>#REF!*"$Cm=!9z"</f>
        <v>#REF!</v>
      </c>
      <c r="FF7" t="e">
        <f>#REF!*"$Cm=!9{"</f>
        <v>#REF!</v>
      </c>
      <c r="FG7" t="e">
        <f>#REF!*"$Cm=!9|"</f>
        <v>#REF!</v>
      </c>
      <c r="FH7" t="e">
        <f>#REF!*"$Cm=!9}"</f>
        <v>#REF!</v>
      </c>
      <c r="FI7" t="e">
        <f>#REF!*"$Cm=!9~"</f>
        <v>#REF!</v>
      </c>
      <c r="FJ7" t="e">
        <f>#REF!*"$Cm=!:#"</f>
        <v>#REF!</v>
      </c>
      <c r="FK7" t="e">
        <f>#REF!*"$Cm=!:$"</f>
        <v>#REF!</v>
      </c>
      <c r="FL7" t="e">
        <f>#REF!*"$Cm=!:%"</f>
        <v>#REF!</v>
      </c>
      <c r="FM7" t="e">
        <f>#REF!*"$Cm=!:&amp;"</f>
        <v>#REF!</v>
      </c>
      <c r="FN7" t="e">
        <f>#REF!*"$Cm=!:'"</f>
        <v>#REF!</v>
      </c>
      <c r="FO7" t="e">
        <f>#REF!*"$Cm=!:("</f>
        <v>#REF!</v>
      </c>
      <c r="FP7" t="e">
        <f>#REF!*"$Cm=!:)"</f>
        <v>#REF!</v>
      </c>
      <c r="FQ7" t="e">
        <f>#REF!*"$Cm=!:."</f>
        <v>#REF!</v>
      </c>
      <c r="FR7" t="e">
        <f>#REF!*"$Cm=!:/"</f>
        <v>#REF!</v>
      </c>
      <c r="FS7" t="e">
        <f>#REF!*"$Cm=!:0"</f>
        <v>#REF!</v>
      </c>
      <c r="FT7" t="e">
        <f>#REF!*"$Cm=!:1"</f>
        <v>#REF!</v>
      </c>
      <c r="FU7" t="e">
        <f>#REF!*"$Cm=!:2"</f>
        <v>#REF!</v>
      </c>
      <c r="FV7" t="e">
        <f>#REF!*"$Cm=!:3"</f>
        <v>#REF!</v>
      </c>
      <c r="FW7" t="e">
        <f>#REF!*"$Cm=!:4"</f>
        <v>#REF!</v>
      </c>
      <c r="FX7" t="e">
        <f>#REF!*"$Cm=!:5"</f>
        <v>#REF!</v>
      </c>
      <c r="FY7" t="e">
        <f>#REF!*"$Cm=!:6"</f>
        <v>#REF!</v>
      </c>
      <c r="FZ7" t="e">
        <f>#REF!*"$Cm=!:7"</f>
        <v>#REF!</v>
      </c>
      <c r="GA7" t="e">
        <f>#REF!*"$Cm=!:8"</f>
        <v>#REF!</v>
      </c>
      <c r="GB7" t="e">
        <f>#REF!*"$Cm=!:9"</f>
        <v>#REF!</v>
      </c>
      <c r="GC7" t="e">
        <f>#REF!*"$Cm=!::"</f>
        <v>#REF!</v>
      </c>
      <c r="GD7" t="e">
        <f>#REF!*"$Cm=!:;"</f>
        <v>#REF!</v>
      </c>
      <c r="GE7" t="e">
        <f>#REF!*"$Cm=!:&lt;"</f>
        <v>#REF!</v>
      </c>
      <c r="GF7" t="e">
        <f>#REF!*"$Cm=!:="</f>
        <v>#REF!</v>
      </c>
      <c r="GG7" t="e">
        <f>#REF!*"$Cm=!:&gt;"</f>
        <v>#REF!</v>
      </c>
      <c r="GH7" t="e">
        <f>#REF!*"$Cm=!:?"</f>
        <v>#REF!</v>
      </c>
      <c r="GI7" t="e">
        <f>#REF!*"$Cm=!:@"</f>
        <v>#REF!</v>
      </c>
      <c r="GJ7" t="e">
        <f>#REF!*"$Cm=!:A"</f>
        <v>#REF!</v>
      </c>
      <c r="GK7" t="e">
        <f>#REF!*"$Cm=!:B"</f>
        <v>#REF!</v>
      </c>
      <c r="GL7" t="e">
        <f>#REF!*"$Cm=!:C"</f>
        <v>#REF!</v>
      </c>
      <c r="GM7" t="e">
        <f>#REF!*"$Cm=!:D"</f>
        <v>#REF!</v>
      </c>
      <c r="GN7" t="e">
        <f>#REF!*"$Cm=!:E"</f>
        <v>#REF!</v>
      </c>
      <c r="GO7" t="e">
        <f>#REF!*"$Cm=!:F"</f>
        <v>#REF!</v>
      </c>
      <c r="GP7" t="e">
        <f>#REF!*"$Cm=!:G"</f>
        <v>#REF!</v>
      </c>
      <c r="GQ7" t="e">
        <f>#REF!*"$Cm=!:H"</f>
        <v>#REF!</v>
      </c>
      <c r="GR7" t="e">
        <f>#REF!*"$Cm=!:I"</f>
        <v>#REF!</v>
      </c>
      <c r="GS7" t="e">
        <f>#REF!*"$Cm=!:J"</f>
        <v>#REF!</v>
      </c>
      <c r="GT7" t="e">
        <f>#REF!*"$Cm=!:K"</f>
        <v>#REF!</v>
      </c>
      <c r="GU7" t="e">
        <f>#REF!*"$Cm=!:L"</f>
        <v>#REF!</v>
      </c>
      <c r="GV7" t="e">
        <f>#REF!*"$Cm=!:M"</f>
        <v>#REF!</v>
      </c>
      <c r="GW7" t="e">
        <f>#REF!*"$Cm=!:N"</f>
        <v>#REF!</v>
      </c>
      <c r="GX7" t="e">
        <f>#REF!*"$Cm=!:O"</f>
        <v>#REF!</v>
      </c>
      <c r="GY7" t="e">
        <f>#REF!*"$Cm=!:P"</f>
        <v>#REF!</v>
      </c>
      <c r="GZ7" t="e">
        <f>#REF!*"$Cm=!:Q"</f>
        <v>#REF!</v>
      </c>
      <c r="HA7" t="e">
        <f>#REF!*"$Cm=!:R"</f>
        <v>#REF!</v>
      </c>
      <c r="HB7" t="e">
        <f>#REF!*"$Cm=!:S"</f>
        <v>#REF!</v>
      </c>
      <c r="HC7" t="e">
        <f>#REF!*"$Cm=!:T"</f>
        <v>#REF!</v>
      </c>
      <c r="HD7" t="e">
        <f>#REF!*"$Cm=!:U"</f>
        <v>#REF!</v>
      </c>
      <c r="HE7" t="e">
        <f>#REF!*"$Cm=!:V"</f>
        <v>#REF!</v>
      </c>
      <c r="HF7" t="e">
        <f>#REF!*"$Cm=!:W"</f>
        <v>#REF!</v>
      </c>
      <c r="HG7" t="e">
        <f>#REF!*"$Cm=!:X"</f>
        <v>#REF!</v>
      </c>
      <c r="HH7" t="e">
        <f>#REF!*"$Cm=!:Y"</f>
        <v>#REF!</v>
      </c>
      <c r="HI7" t="e">
        <f>#REF!*"$Cm=!:Z"</f>
        <v>#REF!</v>
      </c>
      <c r="HJ7" t="e">
        <f>#REF!*"$Cm=!:["</f>
        <v>#REF!</v>
      </c>
      <c r="HK7" t="e">
        <f>#REF!*"$Cm=!:\"</f>
        <v>#REF!</v>
      </c>
      <c r="HL7" t="e">
        <f>#REF!*"$Cm=!:]"</f>
        <v>#REF!</v>
      </c>
      <c r="HM7" t="e">
        <f>#REF!*"$Cm=!:^"</f>
        <v>#REF!</v>
      </c>
      <c r="HN7" t="e">
        <f>#REF!*"$Cm=!:_"</f>
        <v>#REF!</v>
      </c>
      <c r="HO7" t="e">
        <f>#REF!*"$Cm=!:`"</f>
        <v>#REF!</v>
      </c>
      <c r="HP7" t="e">
        <f>#REF!*"$Cm=!:a"</f>
        <v>#REF!</v>
      </c>
      <c r="HQ7" t="e">
        <f>#REF!*"$Cm=!:b"</f>
        <v>#REF!</v>
      </c>
      <c r="HR7" t="e">
        <f>#REF!*"$Cm=!:c"</f>
        <v>#REF!</v>
      </c>
      <c r="HS7" t="e">
        <f>#REF!*"$Cm=!:d"</f>
        <v>#REF!</v>
      </c>
      <c r="HT7" t="e">
        <f>#REF!*"$Cm=!:e"</f>
        <v>#REF!</v>
      </c>
      <c r="HU7" t="e">
        <f>#REF!*"$Cm=!:f"</f>
        <v>#REF!</v>
      </c>
      <c r="HV7" t="e">
        <f>#REF!*"$Cm=!:g"</f>
        <v>#REF!</v>
      </c>
      <c r="HW7" t="e">
        <f>#REF!*"$Cm=!:h"</f>
        <v>#REF!</v>
      </c>
      <c r="HX7" t="e">
        <f>#REF!*"$Cm=!:i"</f>
        <v>#REF!</v>
      </c>
      <c r="HY7" t="e">
        <f>#REF!*"$Cm=!:j"</f>
        <v>#REF!</v>
      </c>
      <c r="HZ7" t="e">
        <f>#REF!*"$Cm=!:k"</f>
        <v>#REF!</v>
      </c>
      <c r="IA7" t="e">
        <f>#REF!*"$Cm=!:l"</f>
        <v>#REF!</v>
      </c>
      <c r="IB7" t="e">
        <f>#REF!*"$Cm=!:m"</f>
        <v>#REF!</v>
      </c>
      <c r="IC7" t="e">
        <f>#REF!*"$Cm=!:n"</f>
        <v>#REF!</v>
      </c>
      <c r="ID7" t="e">
        <f>#REF!*"$Cm=!:o"</f>
        <v>#REF!</v>
      </c>
      <c r="IE7" t="e">
        <f>#REF!*"$Cm=!:p"</f>
        <v>#REF!</v>
      </c>
      <c r="IF7" t="e">
        <f>#REF!*"$Cm=!:q"</f>
        <v>#REF!</v>
      </c>
      <c r="IG7" t="e">
        <f>#REF!*"$Cm=!:r"</f>
        <v>#REF!</v>
      </c>
      <c r="IH7" t="e">
        <f>#REF!*"$Cm=!:s"</f>
        <v>#REF!</v>
      </c>
      <c r="II7" t="e">
        <f>#REF!*"$Cm=!:t"</f>
        <v>#REF!</v>
      </c>
      <c r="IJ7" t="e">
        <f>#REF!*"$Cm=!:u"</f>
        <v>#REF!</v>
      </c>
      <c r="IK7" t="e">
        <f>#REF!*"$Cm=!:v"</f>
        <v>#REF!</v>
      </c>
      <c r="IL7" t="e">
        <f>#REF!*"$Cm=!:w"</f>
        <v>#REF!</v>
      </c>
      <c r="IM7" t="e">
        <f>#REF!*"$Cm=!:x"</f>
        <v>#REF!</v>
      </c>
      <c r="IN7" t="e">
        <f>#REF!*"$Cm=!:y"</f>
        <v>#REF!</v>
      </c>
      <c r="IO7" t="e">
        <f>#REF!*"$Cm=!:z"</f>
        <v>#REF!</v>
      </c>
      <c r="IP7" t="e">
        <f>#REF!*"$Cm=!:{"</f>
        <v>#REF!</v>
      </c>
      <c r="IQ7" t="e">
        <f>#REF!*"$Cm=!:|"</f>
        <v>#REF!</v>
      </c>
      <c r="IR7" t="e">
        <f>#REF!*"$Cm=!:}"</f>
        <v>#REF!</v>
      </c>
      <c r="IS7" t="e">
        <f>#REF!*"$Cm=!:~"</f>
        <v>#REF!</v>
      </c>
      <c r="IT7" t="e">
        <f>#REF!*"$Cm=!;#"</f>
        <v>#REF!</v>
      </c>
      <c r="IU7" t="e">
        <f>#REF!*"$Cm=!;$"</f>
        <v>#REF!</v>
      </c>
      <c r="IV7" t="e">
        <f>#REF!*"$Cm=!;%"</f>
        <v>#REF!</v>
      </c>
    </row>
    <row r="8" spans="1:256">
      <c r="F8" t="e">
        <f>#REF!*"$Cm=!;&amp;"</f>
        <v>#REF!</v>
      </c>
      <c r="G8" t="e">
        <f>#REF!*"$Cm=!;'"</f>
        <v>#REF!</v>
      </c>
      <c r="H8" t="e">
        <f>#REF!*"$Cm=!;("</f>
        <v>#REF!</v>
      </c>
      <c r="I8" t="e">
        <f>#REF!*"$Cm=!;)"</f>
        <v>#REF!</v>
      </c>
      <c r="J8" t="e">
        <f>#REF!*"$Cm=!;."</f>
        <v>#REF!</v>
      </c>
      <c r="K8" t="e">
        <f>#REF!*"$Cm=!;/"</f>
        <v>#REF!</v>
      </c>
      <c r="L8" t="e">
        <f>#REF!*"$Cm=!;0"</f>
        <v>#REF!</v>
      </c>
      <c r="M8" t="e">
        <f>#REF!*"$Cm=!;1"</f>
        <v>#REF!</v>
      </c>
      <c r="N8" t="e">
        <f>#REF!*"$Cm=!;2"</f>
        <v>#REF!</v>
      </c>
      <c r="O8" t="e">
        <f>#REF!*"$Cm=!;3"</f>
        <v>#REF!</v>
      </c>
      <c r="P8" t="e">
        <f>#REF!*"$Cm=!;4"</f>
        <v>#REF!</v>
      </c>
      <c r="Q8" t="e">
        <f>#REF!*"$Cm=!;5"</f>
        <v>#REF!</v>
      </c>
      <c r="R8" t="e">
        <f>#REF!*"$Cm=!;6"</f>
        <v>#REF!</v>
      </c>
      <c r="S8" t="e">
        <f>#REF!*"$Cm=!;7"</f>
        <v>#REF!</v>
      </c>
      <c r="T8" t="e">
        <f>#REF!*"$Cm=!;8"</f>
        <v>#REF!</v>
      </c>
      <c r="U8" t="e">
        <f>#REF!*"$Cm=!;9"</f>
        <v>#REF!</v>
      </c>
      <c r="V8" t="e">
        <f>#REF!*"$Cm=!;:"</f>
        <v>#REF!</v>
      </c>
      <c r="W8" t="e">
        <f>#REF!*"$Cm=!;;"</f>
        <v>#REF!</v>
      </c>
      <c r="X8" t="e">
        <f>#REF!*"$Cm=!;&lt;"</f>
        <v>#REF!</v>
      </c>
      <c r="Y8" t="e">
        <f>#REF!*"$Cm=!;="</f>
        <v>#REF!</v>
      </c>
      <c r="Z8" t="e">
        <f>#REF!*"$Cm=!;&gt;"</f>
        <v>#REF!</v>
      </c>
      <c r="AA8" t="e">
        <f>#REF!*"$Cm=!;?"</f>
        <v>#REF!</v>
      </c>
      <c r="AB8" t="e">
        <f>#REF!*"$Cm=!;@"</f>
        <v>#REF!</v>
      </c>
      <c r="AC8" t="e">
        <f>#REF!*"$Cm=!;A"</f>
        <v>#REF!</v>
      </c>
      <c r="AD8" t="e">
        <f>#REF!*"$Cm=!;B"</f>
        <v>#REF!</v>
      </c>
      <c r="AE8" t="e">
        <f>#REF!*"$Cm=!;C"</f>
        <v>#REF!</v>
      </c>
      <c r="AF8" t="e">
        <f>#REF!*"$Cm=!;D"</f>
        <v>#REF!</v>
      </c>
      <c r="AG8" t="e">
        <f>#REF!*"$Cm=!;E"</f>
        <v>#REF!</v>
      </c>
      <c r="AH8" t="e">
        <f>#REF!*"$Cm=!;F"</f>
        <v>#REF!</v>
      </c>
      <c r="AI8" t="e">
        <f>#REF!*"$Cm=!;G"</f>
        <v>#REF!</v>
      </c>
      <c r="AJ8" t="e">
        <f>#REF!*"$Cm=!;H"</f>
        <v>#REF!</v>
      </c>
      <c r="AK8" t="e">
        <f>#REF!*"$Cm=!;I"</f>
        <v>#REF!</v>
      </c>
      <c r="AL8" t="e">
        <f>#REF!*"$Cm=!;J"</f>
        <v>#REF!</v>
      </c>
      <c r="AM8" t="e">
        <f>#REF!*"$Cm=!;K"</f>
        <v>#REF!</v>
      </c>
      <c r="AN8" t="e">
        <f>#REF!*"$Cm=!;L"</f>
        <v>#REF!</v>
      </c>
      <c r="AO8" t="e">
        <f>#REF!*"$Cm=!;M"</f>
        <v>#REF!</v>
      </c>
      <c r="AP8" t="e">
        <f>#REF!*"$Cm=!;N"</f>
        <v>#REF!</v>
      </c>
      <c r="AQ8" t="e">
        <f>#REF!*"$Cm=!;O"</f>
        <v>#REF!</v>
      </c>
      <c r="AR8" t="e">
        <f>#REF!*"$Cm=!;P"</f>
        <v>#REF!</v>
      </c>
      <c r="AS8" t="e">
        <f>#REF!*"$Cm=!;Q"</f>
        <v>#REF!</v>
      </c>
      <c r="AT8" t="e">
        <f>#REF!*"$Cm=!;R"</f>
        <v>#REF!</v>
      </c>
      <c r="AU8" t="e">
        <f>#REF!*"$Cm=!;S"</f>
        <v>#REF!</v>
      </c>
      <c r="AV8" t="e">
        <f>#REF!*"$Cm=!;T"</f>
        <v>#REF!</v>
      </c>
      <c r="AW8" t="e">
        <f>#REF!*"$Cm=!;U"</f>
        <v>#REF!</v>
      </c>
      <c r="AX8" t="e">
        <f>#REF!*"$Cm=!;V"</f>
        <v>#REF!</v>
      </c>
      <c r="AY8" t="e">
        <f>#REF!*"$Cm=!;W"</f>
        <v>#REF!</v>
      </c>
      <c r="AZ8" t="e">
        <f>#REF!*"$Cm=!;X"</f>
        <v>#REF!</v>
      </c>
      <c r="BA8" t="e">
        <f>#REF!*"$Cm=!;Y"</f>
        <v>#REF!</v>
      </c>
      <c r="BB8" t="e">
        <f>#REF!*"$Cm=!;Z"</f>
        <v>#REF!</v>
      </c>
      <c r="BC8" t="e">
        <f>#REF!*"$Cm=!;["</f>
        <v>#REF!</v>
      </c>
      <c r="BD8" t="e">
        <f>#REF!*"$Cm=!;\"</f>
        <v>#REF!</v>
      </c>
      <c r="BE8" t="e">
        <f>#REF!*"$Cm=!;]"</f>
        <v>#REF!</v>
      </c>
      <c r="BF8" t="e">
        <f>#REF!*"$Cm=!;^"</f>
        <v>#REF!</v>
      </c>
      <c r="BG8" t="e">
        <f>#REF!*"$Cm=!;_"</f>
        <v>#REF!</v>
      </c>
      <c r="BH8" t="e">
        <f>#REF!*"$Cm=!;`"</f>
        <v>#REF!</v>
      </c>
      <c r="BI8" t="e">
        <f>#REF!*"$Cm=!;a"</f>
        <v>#REF!</v>
      </c>
      <c r="BJ8" t="e">
        <f>#REF!*"$Cm=!;b"</f>
        <v>#REF!</v>
      </c>
      <c r="BK8" t="e">
        <f>#REF!*"$Cm=!;c"</f>
        <v>#REF!</v>
      </c>
      <c r="BL8" t="e">
        <f>#REF!*"$Cm=!;d"</f>
        <v>#REF!</v>
      </c>
      <c r="BM8" t="e">
        <f>#REF!*"$Cm=!;e"</f>
        <v>#REF!</v>
      </c>
      <c r="BN8" t="e">
        <f>#REF!*"$Cm=!;f"</f>
        <v>#REF!</v>
      </c>
      <c r="BO8" t="e">
        <f>#REF!*"$Cm=!;g"</f>
        <v>#REF!</v>
      </c>
      <c r="BP8" t="e">
        <f>#REF!*"$Cm=!;h"</f>
        <v>#REF!</v>
      </c>
      <c r="BQ8" t="e">
        <f>#REF!*"$Cm=!;i"</f>
        <v>#REF!</v>
      </c>
      <c r="BR8" t="e">
        <f>#REF!*"$Cm=!;j"</f>
        <v>#REF!</v>
      </c>
      <c r="BS8" t="e">
        <f>#REF!*"$Cm=!;k"</f>
        <v>#REF!</v>
      </c>
      <c r="BT8" t="e">
        <f>#REF!*"$Cm=!;l"</f>
        <v>#REF!</v>
      </c>
      <c r="BU8" t="e">
        <f>#REF!*"$Cm=!;m"</f>
        <v>#REF!</v>
      </c>
      <c r="BV8" t="e">
        <f>#REF!*"$Cm=!;n"</f>
        <v>#REF!</v>
      </c>
      <c r="BW8" t="e">
        <f>#REF!*"$Cm=!;o"</f>
        <v>#REF!</v>
      </c>
      <c r="BX8" t="e">
        <f>#REF!*"$Cm=!;p"</f>
        <v>#REF!</v>
      </c>
      <c r="BY8" t="e">
        <f>#REF!*"$Cm=!;q"</f>
        <v>#REF!</v>
      </c>
      <c r="BZ8" t="e">
        <f>#REF!*"$Cm=!;r"</f>
        <v>#REF!</v>
      </c>
      <c r="CA8" t="e">
        <f>#REF!*"$Cm=!;s"</f>
        <v>#REF!</v>
      </c>
      <c r="CB8" t="e">
        <f>#REF!*"$Cm=!;t"</f>
        <v>#REF!</v>
      </c>
      <c r="CC8" t="e">
        <f>#REF!*"$Cm=!;u"</f>
        <v>#REF!</v>
      </c>
      <c r="CD8" t="e">
        <f>#REF!*"$Cm=!;v"</f>
        <v>#REF!</v>
      </c>
      <c r="CE8" t="e">
        <f>#REF!*"$Cm=!;w"</f>
        <v>#REF!</v>
      </c>
      <c r="CF8" t="e">
        <f>#REF!*"$Cm=!;x"</f>
        <v>#REF!</v>
      </c>
      <c r="CG8" t="e">
        <f>#REF!*"$Cm=!;y"</f>
        <v>#REF!</v>
      </c>
      <c r="CH8" t="e">
        <f>#REF!*"$Cm=!;z"</f>
        <v>#REF!</v>
      </c>
      <c r="CI8" t="e">
        <f>#REF!*"$Cm=!;{"</f>
        <v>#REF!</v>
      </c>
      <c r="CJ8" t="e">
        <f>#REF!*"$Cm=!;|"</f>
        <v>#REF!</v>
      </c>
      <c r="CK8" t="e">
        <f>#REF!*"$Cm=!;}"</f>
        <v>#REF!</v>
      </c>
      <c r="CL8" t="e">
        <f>#REF!*"$Cm=!;~"</f>
        <v>#REF!</v>
      </c>
      <c r="CM8" t="e">
        <f>#REF!*"$Cm=!&lt;#"</f>
        <v>#REF!</v>
      </c>
      <c r="CN8" t="e">
        <f>#REF!*"$Cm=!&lt;$"</f>
        <v>#REF!</v>
      </c>
      <c r="CO8" t="e">
        <f>#REF!*"$Cm=!&lt;%"</f>
        <v>#REF!</v>
      </c>
      <c r="CP8" t="e">
        <f>#REF!*"$Cm=!&lt;&amp;"</f>
        <v>#REF!</v>
      </c>
      <c r="CQ8" t="e">
        <f>#REF!*"$Cm=!&lt;'"</f>
        <v>#REF!</v>
      </c>
      <c r="CR8" t="e">
        <f>#REF!*"$Cm=!&lt;("</f>
        <v>#REF!</v>
      </c>
      <c r="CS8" t="e">
        <f>#REF!*"$Cm=!&lt;)"</f>
        <v>#REF!</v>
      </c>
      <c r="CT8" t="e">
        <f>#REF!*"$Cm=!&lt;."</f>
        <v>#REF!</v>
      </c>
      <c r="CU8" t="e">
        <f>#REF!*"$Cm=!&lt;/"</f>
        <v>#REF!</v>
      </c>
      <c r="CV8" t="e">
        <f>#REF!*"$Cm=!&lt;0"</f>
        <v>#REF!</v>
      </c>
      <c r="CW8" t="e">
        <f>#REF!*"$Cm=!&lt;1"</f>
        <v>#REF!</v>
      </c>
      <c r="CX8" t="e">
        <f>#REF!*"$Cm=!&lt;2"</f>
        <v>#REF!</v>
      </c>
      <c r="CY8" t="e">
        <f>#REF!*"$Cm=!&lt;3"</f>
        <v>#REF!</v>
      </c>
      <c r="CZ8" t="e">
        <f>#REF!*"$Cm=!&lt;4"</f>
        <v>#REF!</v>
      </c>
      <c r="DA8" t="e">
        <f>#REF!*"$Cm=!&lt;5"</f>
        <v>#REF!</v>
      </c>
      <c r="DB8" t="e">
        <f>#REF!*"$Cm=!&lt;6"</f>
        <v>#REF!</v>
      </c>
      <c r="DC8" t="e">
        <f>#REF!*"$Cm=!&lt;7"</f>
        <v>#REF!</v>
      </c>
      <c r="DD8" t="e">
        <f>#REF!*"$Cm=!&lt;8"</f>
        <v>#REF!</v>
      </c>
      <c r="DE8" t="e">
        <f>#REF!*"$Cm=!&lt;9"</f>
        <v>#REF!</v>
      </c>
      <c r="DF8" t="e">
        <f>#REF!*"$Cm=!&lt;:"</f>
        <v>#REF!</v>
      </c>
      <c r="DG8" t="e">
        <f>#REF!*"$Cm=!&lt;;"</f>
        <v>#REF!</v>
      </c>
      <c r="DH8" t="e">
        <f>#REF!*"$Cm=!&lt;&lt;"</f>
        <v>#REF!</v>
      </c>
      <c r="DI8" t="e">
        <f>#REF!*"$Cm=!&lt;="</f>
        <v>#REF!</v>
      </c>
      <c r="DJ8" t="e">
        <f>#REF!*"$Cm=!&lt;&gt;"</f>
        <v>#REF!</v>
      </c>
      <c r="DK8" t="e">
        <f>#REF!*"$Cm=!&lt;?"</f>
        <v>#REF!</v>
      </c>
      <c r="DL8" t="e">
        <f>#REF!*"$Cm=!&lt;@"</f>
        <v>#REF!</v>
      </c>
      <c r="DM8" t="e">
        <f>#REF!*"$Cm=!&lt;A"</f>
        <v>#REF!</v>
      </c>
      <c r="DN8" t="e">
        <f>#REF!*"$Cm=!&lt;B"</f>
        <v>#REF!</v>
      </c>
      <c r="DO8" t="e">
        <f>#REF!*"$Cm=!&lt;C"</f>
        <v>#REF!</v>
      </c>
      <c r="DP8" t="e">
        <f>#REF!*"$Cm=!&lt;D"</f>
        <v>#REF!</v>
      </c>
      <c r="DQ8" t="e">
        <f>#REF!*"$Cm=!&lt;E"</f>
        <v>#REF!</v>
      </c>
      <c r="DR8" t="e">
        <f>#REF!*"$Cm=!&lt;F"</f>
        <v>#REF!</v>
      </c>
      <c r="DS8" t="e">
        <f>#REF!*"$Cm=!&lt;G"</f>
        <v>#REF!</v>
      </c>
      <c r="DT8" t="e">
        <f>#REF!*"$Cm=!&lt;H"</f>
        <v>#REF!</v>
      </c>
      <c r="DU8" t="e">
        <f>#REF!*"$Cm=!&lt;I"</f>
        <v>#REF!</v>
      </c>
      <c r="DV8" t="e">
        <f>#REF!*"$Cm=!&lt;J"</f>
        <v>#REF!</v>
      </c>
      <c r="DW8" t="e">
        <f>#REF!*"$Cm=!&lt;K"</f>
        <v>#REF!</v>
      </c>
      <c r="DX8" t="e">
        <f>#REF!*"$Cm=!&lt;L"</f>
        <v>#REF!</v>
      </c>
      <c r="DY8" t="e">
        <f>#REF!*"$Cm=!&lt;M"</f>
        <v>#REF!</v>
      </c>
      <c r="DZ8" t="e">
        <f>#REF!*"$Cm=!&lt;N"</f>
        <v>#REF!</v>
      </c>
      <c r="EA8" t="e">
        <f>#REF!*"$Cm=!&lt;O"</f>
        <v>#REF!</v>
      </c>
      <c r="EB8" t="e">
        <f>#REF!*"$Cm=!&lt;P"</f>
        <v>#REF!</v>
      </c>
      <c r="EC8" t="e">
        <f>#REF!*"$Cm=!&lt;Q"</f>
        <v>#REF!</v>
      </c>
      <c r="ED8" t="e">
        <f>#REF!*"$Cm=!&lt;R"</f>
        <v>#REF!</v>
      </c>
      <c r="EE8" t="e">
        <f>#REF!*"$Cm=!&lt;S"</f>
        <v>#REF!</v>
      </c>
      <c r="EF8" t="e">
        <f>#REF!*"$Cm=!&lt;T"</f>
        <v>#REF!</v>
      </c>
      <c r="EG8" t="e">
        <f>#REF!*"$Cm=!&lt;U"</f>
        <v>#REF!</v>
      </c>
      <c r="EH8" t="e">
        <f>#REF!*"$Cm=!&lt;V"</f>
        <v>#REF!</v>
      </c>
      <c r="EI8" t="e">
        <f>#REF!*"$Cm=!&lt;W"</f>
        <v>#REF!</v>
      </c>
      <c r="EJ8" t="e">
        <f>#REF!*"$Cm=!&lt;X"</f>
        <v>#REF!</v>
      </c>
      <c r="EK8" t="e">
        <f>#REF!*"$Cm=!&lt;Y"</f>
        <v>#REF!</v>
      </c>
      <c r="EL8" t="e">
        <f>#REF!*"$Cm=!&lt;Z"</f>
        <v>#REF!</v>
      </c>
      <c r="EM8" t="e">
        <f>#REF!*"$Cm=!&lt;["</f>
        <v>#REF!</v>
      </c>
      <c r="EN8" t="e">
        <f>#REF!*"$Cm=!&lt;\"</f>
        <v>#REF!</v>
      </c>
      <c r="EO8" t="e">
        <f>#REF!*"$Cm=!&lt;]"</f>
        <v>#REF!</v>
      </c>
      <c r="EP8" t="e">
        <f>#REF!*"$Cm=!&lt;^"</f>
        <v>#REF!</v>
      </c>
      <c r="EQ8" t="e">
        <f>#REF!*"$Cm=!&lt;_"</f>
        <v>#REF!</v>
      </c>
      <c r="ER8" t="e">
        <f>#REF!*"$Cm=!&lt;`"</f>
        <v>#REF!</v>
      </c>
      <c r="ES8" t="e">
        <f>#REF!*"$Cm=!&lt;a"</f>
        <v>#REF!</v>
      </c>
      <c r="ET8" t="e">
        <f>#REF!*"$Cm=!&lt;b"</f>
        <v>#REF!</v>
      </c>
      <c r="EU8" t="e">
        <f>#REF!*"$Cm=!&lt;c"</f>
        <v>#REF!</v>
      </c>
      <c r="EV8" t="e">
        <f>#REF!*"$Cm=!&lt;d"</f>
        <v>#REF!</v>
      </c>
      <c r="EW8" t="e">
        <f>#REF!*"$Cm=!&lt;e"</f>
        <v>#REF!</v>
      </c>
      <c r="EX8" t="e">
        <f>#REF!*"$Cm=!&lt;f"</f>
        <v>#REF!</v>
      </c>
      <c r="EY8" t="e">
        <f>#REF!*"$Cm=!&lt;g"</f>
        <v>#REF!</v>
      </c>
      <c r="EZ8" t="e">
        <f>#REF!*"$Cm=!&lt;h"</f>
        <v>#REF!</v>
      </c>
      <c r="FA8" t="e">
        <f>#REF!*"$Cm=!&lt;i"</f>
        <v>#REF!</v>
      </c>
      <c r="FB8" t="e">
        <f>#REF!*"$Cm=!&lt;j"</f>
        <v>#REF!</v>
      </c>
      <c r="FC8" t="e">
        <f>#REF!*"$Cm=!&lt;k"</f>
        <v>#REF!</v>
      </c>
      <c r="FD8" t="e">
        <f>#REF!*"$Cm=!&lt;l"</f>
        <v>#REF!</v>
      </c>
      <c r="FE8" t="e">
        <f>#REF!*"$Cm=!&lt;m"</f>
        <v>#REF!</v>
      </c>
      <c r="FF8" t="e">
        <f>#REF!*"$Cm=!&lt;n"</f>
        <v>#REF!</v>
      </c>
      <c r="FG8" t="e">
        <f>#REF!*"$Cm=!&lt;o"</f>
        <v>#REF!</v>
      </c>
      <c r="FH8" t="e">
        <f>#REF!*"$Cm=!&lt;p"</f>
        <v>#REF!</v>
      </c>
      <c r="FI8" t="e">
        <f>#REF!*"$Cm=!&lt;q"</f>
        <v>#REF!</v>
      </c>
      <c r="FJ8" t="e">
        <f>#REF!*"$Cm=!&lt;r"</f>
        <v>#REF!</v>
      </c>
      <c r="FK8" t="e">
        <f>#REF!*"$Cm=!&lt;s"</f>
        <v>#REF!</v>
      </c>
      <c r="FL8" t="e">
        <f>#REF!*"$Cm=!&lt;t"</f>
        <v>#REF!</v>
      </c>
      <c r="FM8" t="e">
        <f>#REF!*"$Cm=!&lt;u"</f>
        <v>#REF!</v>
      </c>
      <c r="FN8" t="e">
        <f>#REF!*"$Cm=!&lt;v"</f>
        <v>#REF!</v>
      </c>
      <c r="FO8" t="e">
        <f>#REF!*"$Cm=!&lt;w"</f>
        <v>#REF!</v>
      </c>
      <c r="FP8" t="e">
        <f>#REF!*"$Cm=!&lt;x"</f>
        <v>#REF!</v>
      </c>
      <c r="FQ8" t="e">
        <f>#REF!*"$Cm=!&lt;y"</f>
        <v>#REF!</v>
      </c>
      <c r="FR8" t="e">
        <f>#REF!*"$Cm=!&lt;z"</f>
        <v>#REF!</v>
      </c>
      <c r="FS8" t="e">
        <f>#REF!*"$Cm=!&lt;{"</f>
        <v>#REF!</v>
      </c>
      <c r="FT8" t="e">
        <f>#REF!*"$Cm=!&lt;|"</f>
        <v>#REF!</v>
      </c>
      <c r="FU8" t="e">
        <f>#REF!*"$Cm=!&lt;}"</f>
        <v>#REF!</v>
      </c>
      <c r="FV8" t="e">
        <f>#REF!*"$Cm=!&lt;~"</f>
        <v>#REF!</v>
      </c>
      <c r="FW8" t="e">
        <f>#REF!*"$Cm=!=#"</f>
        <v>#REF!</v>
      </c>
      <c r="FX8" t="e">
        <f>#REF!*"$Cm=!=$"</f>
        <v>#REF!</v>
      </c>
      <c r="FY8" t="e">
        <f>#REF!*"$Cm=!=%"</f>
        <v>#REF!</v>
      </c>
      <c r="FZ8" t="e">
        <f>#REF!*"$Cm=!=&amp;"</f>
        <v>#REF!</v>
      </c>
      <c r="GA8" t="e">
        <f>#REF!*"$Cm=!='"</f>
        <v>#REF!</v>
      </c>
      <c r="GB8" t="e">
        <f>#REF!*"$Cm=!=("</f>
        <v>#REF!</v>
      </c>
      <c r="GC8" t="e">
        <f>#REF!*"$Cm=!=)"</f>
        <v>#REF!</v>
      </c>
      <c r="GD8" t="e">
        <f>#REF!*"$Cm=!=."</f>
        <v>#REF!</v>
      </c>
      <c r="GE8" t="e">
        <f>#REF!*"$Cm=!=/"</f>
        <v>#REF!</v>
      </c>
      <c r="GF8" t="e">
        <f>#REF!*"$Cm=!=0"</f>
        <v>#REF!</v>
      </c>
      <c r="GG8" t="e">
        <f>#REF!*"$Cm=!=1"</f>
        <v>#REF!</v>
      </c>
      <c r="GH8" t="e">
        <f>#REF!*"$Cm=!=2"</f>
        <v>#REF!</v>
      </c>
      <c r="GI8" t="e">
        <f>#REF!*"$Cm=!=3"</f>
        <v>#REF!</v>
      </c>
      <c r="GJ8" t="e">
        <f>#REF!*"$Cm=!=4"</f>
        <v>#REF!</v>
      </c>
      <c r="GK8" t="e">
        <f>#REF!*"$Cm=!=5"</f>
        <v>#REF!</v>
      </c>
      <c r="GL8" t="e">
        <f>#REF!*"$Cm=!=6"</f>
        <v>#REF!</v>
      </c>
      <c r="GM8" t="e">
        <f>#REF!*"$Cm=!=7"</f>
        <v>#REF!</v>
      </c>
      <c r="GN8" t="e">
        <f>#REF!*"$Cm=!=8"</f>
        <v>#REF!</v>
      </c>
      <c r="GO8" t="e">
        <f>#REF!*"$Cm=!=9"</f>
        <v>#REF!</v>
      </c>
      <c r="GP8" t="e">
        <f>#REF!*"$Cm=!=:"</f>
        <v>#REF!</v>
      </c>
      <c r="GQ8" t="e">
        <f>#REF!*"$Cm=!=;"</f>
        <v>#REF!</v>
      </c>
      <c r="GR8" t="e">
        <f>#REF!*"$Cm=!=&lt;"</f>
        <v>#REF!</v>
      </c>
      <c r="GS8" t="e">
        <f>#REF!*"$Cm=!=="</f>
        <v>#REF!</v>
      </c>
      <c r="GT8" t="e">
        <f>#REF!*"$Cm=!=&gt;"</f>
        <v>#REF!</v>
      </c>
      <c r="GU8" t="e">
        <f>#REF!*"$Cm=!=?"</f>
        <v>#REF!</v>
      </c>
      <c r="GV8" t="e">
        <f>#REF!*"$Cm=!=@"</f>
        <v>#REF!</v>
      </c>
      <c r="GW8" t="e">
        <f>#REF!*"$Cm=!=A"</f>
        <v>#REF!</v>
      </c>
      <c r="GX8" t="e">
        <f>#REF!*"$Cm=!=B"</f>
        <v>#REF!</v>
      </c>
      <c r="GY8" t="e">
        <f>#REF!*"$Cm=!=C"</f>
        <v>#REF!</v>
      </c>
      <c r="GZ8" t="e">
        <f>#REF!*"$Cm=!=D"</f>
        <v>#REF!</v>
      </c>
      <c r="HA8" t="e">
        <f>#REF!*"$Cm=!=E"</f>
        <v>#REF!</v>
      </c>
      <c r="HB8" t="e">
        <f>#REF!*"$Cm=!=F"</f>
        <v>#REF!</v>
      </c>
      <c r="HC8" t="e">
        <f>#REF!*"$Cm=!=G"</f>
        <v>#REF!</v>
      </c>
      <c r="HD8" t="e">
        <f>#REF!*"$Cm=!=H"</f>
        <v>#REF!</v>
      </c>
      <c r="HE8" t="e">
        <f>#REF!*"$Cm=!=I"</f>
        <v>#REF!</v>
      </c>
      <c r="HF8" t="e">
        <f>#REF!*"$Cm=!=J"</f>
        <v>#REF!</v>
      </c>
      <c r="HG8" t="e">
        <f>#REF!*"$Cm=!=K"</f>
        <v>#REF!</v>
      </c>
      <c r="HH8" t="e">
        <f>#REF!*"$Cm=!=L"</f>
        <v>#REF!</v>
      </c>
      <c r="HI8" t="e">
        <f>#REF!*"$Cm=!=M"</f>
        <v>#REF!</v>
      </c>
      <c r="HJ8" t="e">
        <f>#REF!*"$Cm=!=N"</f>
        <v>#REF!</v>
      </c>
      <c r="HK8" t="e">
        <f>#REF!*"$Cm=!=O"</f>
        <v>#REF!</v>
      </c>
      <c r="HL8" t="e">
        <f>#REF!*"$Cm=!=P"</f>
        <v>#REF!</v>
      </c>
      <c r="HM8" t="e">
        <f>#REF!*"$Cm=!=Q"</f>
        <v>#REF!</v>
      </c>
      <c r="HN8" t="e">
        <f>#REF!*"$Cm=!=R"</f>
        <v>#REF!</v>
      </c>
      <c r="HO8" t="e">
        <f>#REF!*"$Cm=!=S"</f>
        <v>#REF!</v>
      </c>
      <c r="HP8" t="e">
        <f>#REF!*"$Cm=!=T"</f>
        <v>#REF!</v>
      </c>
      <c r="HQ8" t="e">
        <f>#REF!*"$Cm=!=U"</f>
        <v>#REF!</v>
      </c>
      <c r="HR8" t="e">
        <f>#REF!*"$Cm=!=V"</f>
        <v>#REF!</v>
      </c>
      <c r="HS8" t="e">
        <f>#REF!*"$Cm=!=W"</f>
        <v>#REF!</v>
      </c>
      <c r="HT8" t="e">
        <f>#REF!*"$Cm=!=X"</f>
        <v>#REF!</v>
      </c>
      <c r="HU8" t="e">
        <f>#REF!*"$Cm=!=Y"</f>
        <v>#REF!</v>
      </c>
      <c r="HV8" t="e">
        <f>#REF!*"$Cm=!=Z"</f>
        <v>#REF!</v>
      </c>
      <c r="HW8" t="e">
        <f>#REF!*"$Cm=!=["</f>
        <v>#REF!</v>
      </c>
      <c r="HX8" t="e">
        <f>#REF!*"$Cm=!=\"</f>
        <v>#REF!</v>
      </c>
      <c r="HY8" t="e">
        <f>#REF!*"$Cm=!=]"</f>
        <v>#REF!</v>
      </c>
      <c r="HZ8" t="e">
        <f>#REF!*"$Cm=!=^"</f>
        <v>#REF!</v>
      </c>
      <c r="IA8" t="e">
        <f>#REF!*"$Cm=!=_"</f>
        <v>#REF!</v>
      </c>
      <c r="IB8" t="e">
        <f>#REF!*"$Cm=!=`"</f>
        <v>#REF!</v>
      </c>
      <c r="IC8" t="e">
        <f>#REF!*"$Cm=!=a"</f>
        <v>#REF!</v>
      </c>
      <c r="ID8" t="e">
        <f>#REF!*"$Cm=!=b"</f>
        <v>#REF!</v>
      </c>
      <c r="IE8" t="e">
        <f>#REF!*"$Cm=!=c"</f>
        <v>#REF!</v>
      </c>
      <c r="IF8" t="e">
        <f>#REF!*"$Cm=!=d"</f>
        <v>#REF!</v>
      </c>
      <c r="IG8" t="e">
        <f>#REF!*"$Cm=!=e"</f>
        <v>#REF!</v>
      </c>
      <c r="IH8" t="e">
        <f>#REF!*"$Cm=!=f"</f>
        <v>#REF!</v>
      </c>
      <c r="II8" t="e">
        <f>#REF!*"$Cm=!=g"</f>
        <v>#REF!</v>
      </c>
      <c r="IJ8" t="e">
        <f>#REF!*"$Cm=!=h"</f>
        <v>#REF!</v>
      </c>
      <c r="IK8" t="e">
        <f>#REF!*"$Cm=!=i"</f>
        <v>#REF!</v>
      </c>
      <c r="IL8" t="e">
        <f>#REF!*"$Cm=!=j"</f>
        <v>#REF!</v>
      </c>
      <c r="IM8" t="e">
        <f>#REF!*"$Cm=!=k"</f>
        <v>#REF!</v>
      </c>
      <c r="IN8" t="e">
        <f>#REF!*"$Cm=!=l"</f>
        <v>#REF!</v>
      </c>
      <c r="IO8" t="e">
        <f>#REF!*"$Cm=!=m"</f>
        <v>#REF!</v>
      </c>
      <c r="IP8" t="e">
        <f>#REF!*"$Cm=!=n"</f>
        <v>#REF!</v>
      </c>
      <c r="IQ8" t="e">
        <f>#REF!*"$Cm=!=o"</f>
        <v>#REF!</v>
      </c>
      <c r="IR8" t="e">
        <f>#REF!*"$Cm=!=p"</f>
        <v>#REF!</v>
      </c>
      <c r="IS8" t="e">
        <f>#REF!*"$Cm=!=q"</f>
        <v>#REF!</v>
      </c>
      <c r="IT8" t="e">
        <f>#REF!*"$Cm=!=r"</f>
        <v>#REF!</v>
      </c>
      <c r="IU8" t="e">
        <f>#REF!*"$Cm=!=s"</f>
        <v>#REF!</v>
      </c>
      <c r="IV8" t="e">
        <f>#REF!*"$Cm=!=t"</f>
        <v>#REF!</v>
      </c>
    </row>
    <row r="9" spans="1:256">
      <c r="F9" t="e">
        <f>#REF!*"$Cm=!=u"</f>
        <v>#REF!</v>
      </c>
      <c r="G9" t="e">
        <f>#REF!*"$Cm=!=v"</f>
        <v>#REF!</v>
      </c>
      <c r="H9" t="e">
        <f>#REF!*"$Cm=!=w"</f>
        <v>#REF!</v>
      </c>
      <c r="I9" t="e">
        <f>#REF!*"$Cm=!=x"</f>
        <v>#REF!</v>
      </c>
      <c r="J9" t="e">
        <f>#REF!*"$Cm=!=y"</f>
        <v>#REF!</v>
      </c>
      <c r="K9" t="e">
        <f>#REF!*"$Cm=!=z"</f>
        <v>#REF!</v>
      </c>
      <c r="L9" t="e">
        <f>#REF!*"$Cm=!={"</f>
        <v>#REF!</v>
      </c>
      <c r="M9" t="e">
        <f>#REF!*"$Cm=!=|"</f>
        <v>#REF!</v>
      </c>
      <c r="N9" t="e">
        <f>#REF!*"$Cm=!=}"</f>
        <v>#REF!</v>
      </c>
      <c r="O9" t="e">
        <f>#REF!*"$Cm=!=~"</f>
        <v>#REF!</v>
      </c>
      <c r="P9" t="e">
        <f>#REF!*"$Cm=!&gt;#"</f>
        <v>#REF!</v>
      </c>
      <c r="Q9" t="e">
        <f>#REF!*"$Cm=!&gt;$"</f>
        <v>#REF!</v>
      </c>
      <c r="R9" t="e">
        <f>#REF!*"$Cm=!&gt;%"</f>
        <v>#REF!</v>
      </c>
      <c r="S9" t="e">
        <f>#REF!*"$Cm=!&gt;&amp;"</f>
        <v>#REF!</v>
      </c>
      <c r="T9" t="e">
        <f>#REF!*"$Cm=!&gt;'"</f>
        <v>#REF!</v>
      </c>
      <c r="U9" t="e">
        <f>#REF!*"$Cm=!&gt;("</f>
        <v>#REF!</v>
      </c>
      <c r="V9" t="e">
        <f>#REF!*"$Cm=!&gt;)"</f>
        <v>#REF!</v>
      </c>
      <c r="W9" t="e">
        <f>#REF!*"$Cm=!&gt;."</f>
        <v>#REF!</v>
      </c>
      <c r="X9" t="e">
        <f>#REF!*"$Cm=!&gt;/"</f>
        <v>#REF!</v>
      </c>
      <c r="Y9" t="e">
        <f>#REF!*"$Cm=!&gt;0"</f>
        <v>#REF!</v>
      </c>
      <c r="Z9" t="e">
        <f>#REF!*"$Cm=!&gt;1"</f>
        <v>#REF!</v>
      </c>
      <c r="AA9" t="e">
        <f>#REF!*"$Cm=!&gt;2"</f>
        <v>#REF!</v>
      </c>
      <c r="AB9" t="e">
        <f>#REF!*"$Cm=!&gt;3"</f>
        <v>#REF!</v>
      </c>
      <c r="AC9" t="e">
        <f>#REF!*"$Cm=!&gt;4"</f>
        <v>#REF!</v>
      </c>
      <c r="AD9" t="e">
        <f>#REF!*"$Cm=!&gt;5"</f>
        <v>#REF!</v>
      </c>
      <c r="AE9" t="e">
        <f>#REF!*"$Cm=!&gt;6"</f>
        <v>#REF!</v>
      </c>
      <c r="AF9" t="e">
        <f>#REF!*"$Cm=!&gt;7"</f>
        <v>#REF!</v>
      </c>
      <c r="AG9" t="e">
        <f>#REF!*"$Cm=!&gt;8"</f>
        <v>#REF!</v>
      </c>
      <c r="AH9" t="e">
        <f>#REF!*"$Cm=!&gt;9"</f>
        <v>#REF!</v>
      </c>
      <c r="AI9" t="e">
        <f>#REF!*"$Cm=!&gt;:"</f>
        <v>#REF!</v>
      </c>
      <c r="AJ9" t="e">
        <f>#REF!*"$Cm=!&gt;;"</f>
        <v>#REF!</v>
      </c>
      <c r="AK9" t="e">
        <f>#REF!*"$Cm=!&gt;&lt;"</f>
        <v>#REF!</v>
      </c>
      <c r="AL9" t="e">
        <f>#REF!*"$Cm=!&gt;="</f>
        <v>#REF!</v>
      </c>
      <c r="AM9" t="e">
        <f>#REF!*"$Cm=!&gt;&gt;"</f>
        <v>#REF!</v>
      </c>
      <c r="AN9" t="e">
        <f>#REF!*"$Cm=!&gt;?"</f>
        <v>#REF!</v>
      </c>
      <c r="AO9" t="e">
        <f>#REF!*"$Cm=!&gt;@"</f>
        <v>#REF!</v>
      </c>
      <c r="AP9" t="e">
        <f>#REF!*"$Cm=!&gt;A"</f>
        <v>#REF!</v>
      </c>
      <c r="AQ9" t="e">
        <f>#REF!*"$Cm=!&gt;B"</f>
        <v>#REF!</v>
      </c>
      <c r="AR9" t="e">
        <f>#REF!*"$Cm=!&gt;C"</f>
        <v>#REF!</v>
      </c>
      <c r="AS9" t="e">
        <f>#REF!*"$Cm=!&gt;D"</f>
        <v>#REF!</v>
      </c>
      <c r="AT9" t="e">
        <f>#REF!*"$Cm=!&gt;E"</f>
        <v>#REF!</v>
      </c>
      <c r="AU9" t="e">
        <f>#REF!*"$Cm=!&gt;F"</f>
        <v>#REF!</v>
      </c>
      <c r="AV9" t="e">
        <f>#REF!*"$Cm=!&gt;G"</f>
        <v>#REF!</v>
      </c>
      <c r="AW9" t="e">
        <f>#REF!*"$Cm=!&gt;H"</f>
        <v>#REF!</v>
      </c>
      <c r="AX9" t="e">
        <f>#REF!*"$Cm=!&gt;I"</f>
        <v>#REF!</v>
      </c>
      <c r="AY9" t="e">
        <f>#REF!*"$Cm=!&gt;J"</f>
        <v>#REF!</v>
      </c>
      <c r="AZ9" t="e">
        <f>#REF!*"$Cm=!&gt;K"</f>
        <v>#REF!</v>
      </c>
      <c r="BA9" t="e">
        <f>#REF!*"$Cm=!&gt;L"</f>
        <v>#REF!</v>
      </c>
      <c r="BB9" t="e">
        <f>#REF!*"$Cm=!&gt;M"</f>
        <v>#REF!</v>
      </c>
      <c r="BC9" t="e">
        <f>#REF!*"$Cm=!&gt;N"</f>
        <v>#REF!</v>
      </c>
      <c r="BD9" t="e">
        <f>#REF!*"$Cm=!&gt;O"</f>
        <v>#REF!</v>
      </c>
      <c r="BE9" t="e">
        <f>#REF!*"$Cm=!&gt;P"</f>
        <v>#REF!</v>
      </c>
      <c r="BF9" t="e">
        <f>#REF!*"$Cm=!&gt;Q"</f>
        <v>#REF!</v>
      </c>
      <c r="BG9" t="e">
        <f>#REF!*"$Cm=!&gt;R"</f>
        <v>#REF!</v>
      </c>
      <c r="BH9" t="e">
        <f>#REF!*"$Cm=!&gt;S"</f>
        <v>#REF!</v>
      </c>
      <c r="BI9" t="e">
        <f>#REF!*"$Cm=!&gt;T"</f>
        <v>#REF!</v>
      </c>
      <c r="BJ9" t="e">
        <f>#REF!*"$Cm=!&gt;U"</f>
        <v>#REF!</v>
      </c>
      <c r="BK9" t="e">
        <f>#REF!*"$Cm=!&gt;V"</f>
        <v>#REF!</v>
      </c>
      <c r="BL9" t="e">
        <f>#REF!*"$Cm=!&gt;W"</f>
        <v>#REF!</v>
      </c>
      <c r="BM9" t="e">
        <f>#REF!*"$Cm=!&gt;X"</f>
        <v>#REF!</v>
      </c>
      <c r="BN9" t="e">
        <f>#REF!*"$Cm=!&gt;Y"</f>
        <v>#REF!</v>
      </c>
      <c r="BO9" t="e">
        <f>#REF!*"$Cm=!&gt;Z"</f>
        <v>#REF!</v>
      </c>
      <c r="BP9" t="e">
        <f>#REF!*"$Cm=!&gt;["</f>
        <v>#REF!</v>
      </c>
      <c r="BQ9" t="e">
        <f>#REF!*"$Cm=!&gt;\"</f>
        <v>#REF!</v>
      </c>
      <c r="BR9" t="e">
        <f>#REF!*"$Cm=!&gt;]"</f>
        <v>#REF!</v>
      </c>
      <c r="BS9" t="e">
        <f>#REF!*"$Cm=!&gt;^"</f>
        <v>#REF!</v>
      </c>
      <c r="BT9" t="e">
        <f>#REF!*"$Cm=!&gt;_"</f>
        <v>#REF!</v>
      </c>
      <c r="BU9" t="e">
        <f>#REF!*"$Cm=!&gt;`"</f>
        <v>#REF!</v>
      </c>
      <c r="BV9" t="e">
        <f>#REF!*"$Cm=!&gt;a"</f>
        <v>#REF!</v>
      </c>
      <c r="BW9" t="e">
        <f>#REF!*"$Cm=!&gt;b"</f>
        <v>#REF!</v>
      </c>
      <c r="BX9" t="e">
        <f>#REF!*"$Cm=!&gt;c"</f>
        <v>#REF!</v>
      </c>
      <c r="BY9" t="e">
        <f>#REF!*"$Cm=!&gt;d"</f>
        <v>#REF!</v>
      </c>
      <c r="BZ9" t="e">
        <f>#REF!*"$Cm=!&gt;e"</f>
        <v>#REF!</v>
      </c>
      <c r="CA9" t="e">
        <f>#REF!*"$Cm=!&gt;f"</f>
        <v>#REF!</v>
      </c>
      <c r="CB9" t="e">
        <f>#REF!*"$Cm=!&gt;g"</f>
        <v>#REF!</v>
      </c>
      <c r="CC9" t="e">
        <f>#REF!*"$Cm=!&gt;h"</f>
        <v>#REF!</v>
      </c>
      <c r="CD9" t="e">
        <f>#REF!*"$Cm=!&gt;i"</f>
        <v>#REF!</v>
      </c>
      <c r="CE9" t="e">
        <f>#REF!*"$Cm=!&gt;j"</f>
        <v>#REF!</v>
      </c>
      <c r="CF9" t="e">
        <f>#REF!*"$Cm=!&gt;k"</f>
        <v>#REF!</v>
      </c>
      <c r="CG9" t="e">
        <f>#REF!*"$Cm=!&gt;l"</f>
        <v>#REF!</v>
      </c>
      <c r="CH9" t="e">
        <f>#REF!*"$Cm=!&gt;m"</f>
        <v>#REF!</v>
      </c>
      <c r="CI9" t="e">
        <f>#REF!*"$Cm=!&gt;n"</f>
        <v>#REF!</v>
      </c>
      <c r="CJ9" t="e">
        <f>#REF!*"$Cm=!&gt;o"</f>
        <v>#REF!</v>
      </c>
      <c r="CK9" t="e">
        <f>#REF!*"$Cm=!&gt;p"</f>
        <v>#REF!</v>
      </c>
      <c r="CL9" t="e">
        <f>#REF!*"$Cm=!&gt;q"</f>
        <v>#REF!</v>
      </c>
      <c r="CM9" t="e">
        <f>#REF!*"$Cm=!&gt;r"</f>
        <v>#REF!</v>
      </c>
      <c r="CN9" t="e">
        <f>#REF!*"$Cm=!&gt;s"</f>
        <v>#REF!</v>
      </c>
      <c r="CO9" t="e">
        <f>#REF!*"$Cm=!&gt;t"</f>
        <v>#REF!</v>
      </c>
      <c r="CP9" t="e">
        <f>#REF!*"$Cm=!&gt;u"</f>
        <v>#REF!</v>
      </c>
      <c r="CQ9" t="e">
        <f>#REF!*"$Cm=!&gt;v"</f>
        <v>#REF!</v>
      </c>
      <c r="CR9" t="e">
        <f>#REF!*"$Cm=!&gt;w"</f>
        <v>#REF!</v>
      </c>
      <c r="CS9" t="e">
        <f>#REF!*"$Cm=!&gt;x"</f>
        <v>#REF!</v>
      </c>
      <c r="CT9" t="e">
        <f>#REF!*"$Cm=!&gt;y"</f>
        <v>#REF!</v>
      </c>
      <c r="CU9" t="e">
        <f>#REF!*"$Cm=!&gt;z"</f>
        <v>#REF!</v>
      </c>
      <c r="CV9" t="e">
        <f>#REF!*"$Cm=!&gt;{"</f>
        <v>#REF!</v>
      </c>
      <c r="CW9" t="e">
        <f>#REF!*"$Cm=!&gt;|"</f>
        <v>#REF!</v>
      </c>
      <c r="CX9" t="e">
        <f>#REF!*"$Cm=!&gt;}"</f>
        <v>#REF!</v>
      </c>
      <c r="CY9" t="e">
        <f>#REF!*"$Cm=!&gt;~"</f>
        <v>#REF!</v>
      </c>
      <c r="CZ9" t="e">
        <f>#REF!*"$Cm=!?#"</f>
        <v>#REF!</v>
      </c>
      <c r="DA9" t="e">
        <f>#REF!*"$Cm=!?$"</f>
        <v>#REF!</v>
      </c>
      <c r="DB9" t="e">
        <f>#REF!*"$Cm=!?%"</f>
        <v>#REF!</v>
      </c>
      <c r="DC9" t="e">
        <f>#REF!*"$Cm=!?&amp;"</f>
        <v>#REF!</v>
      </c>
      <c r="DD9" t="e">
        <f>#REF!*"$Cm=!?'"</f>
        <v>#REF!</v>
      </c>
      <c r="DE9" t="e">
        <f>#REF!*"$Cm=!?("</f>
        <v>#REF!</v>
      </c>
      <c r="DF9" t="e">
        <f>#REF!*"$Cm=!?)"</f>
        <v>#REF!</v>
      </c>
      <c r="DG9" t="e">
        <f>#REF!*"$Cm=!?."</f>
        <v>#REF!</v>
      </c>
      <c r="DH9" t="e">
        <f>#REF!*"$Cm=!?/"</f>
        <v>#REF!</v>
      </c>
      <c r="DI9" t="e">
        <f>#REF!*"$Cm=!?0"</f>
        <v>#REF!</v>
      </c>
      <c r="DJ9" t="e">
        <f>#REF!*"$Cm=!?1"</f>
        <v>#REF!</v>
      </c>
      <c r="DK9" t="e">
        <f>#REF!*"$Cm=!?2"</f>
        <v>#REF!</v>
      </c>
      <c r="DL9" t="e">
        <f>#REF!*"$Cm=!?3"</f>
        <v>#REF!</v>
      </c>
      <c r="DM9" t="e">
        <f>#REF!*"$Cm=!?4"</f>
        <v>#REF!</v>
      </c>
      <c r="DN9" t="e">
        <f>#REF!*"$Cm=!?5"</f>
        <v>#REF!</v>
      </c>
      <c r="DO9" t="e">
        <f>#REF!*"$Cm=!?6"</f>
        <v>#REF!</v>
      </c>
      <c r="DP9" t="e">
        <f>#REF!*"$Cm=!?7"</f>
        <v>#REF!</v>
      </c>
      <c r="DQ9" t="e">
        <f>#REF!*"$Cm=!?8"</f>
        <v>#REF!</v>
      </c>
      <c r="DR9" t="e">
        <f>#REF!*"$Cm=!?9"</f>
        <v>#REF!</v>
      </c>
      <c r="DS9" t="e">
        <f>#REF!*"$Cm=!?:"</f>
        <v>#REF!</v>
      </c>
      <c r="DT9" t="e">
        <f>#REF!*"$Cm=!?;"</f>
        <v>#REF!</v>
      </c>
      <c r="DU9" t="e">
        <f>#REF!*"$Cm=!?&lt;"</f>
        <v>#REF!</v>
      </c>
      <c r="DV9" t="e">
        <f>#REF!*"$Cm=!?="</f>
        <v>#REF!</v>
      </c>
      <c r="DW9" t="e">
        <f>#REF!*"$Cm=!?&gt;"</f>
        <v>#REF!</v>
      </c>
      <c r="DX9" t="e">
        <f>#REF!*"$Cm=!??"</f>
        <v>#REF!</v>
      </c>
      <c r="DY9" t="e">
        <f>#REF!*"$Cm=!?@"</f>
        <v>#REF!</v>
      </c>
      <c r="DZ9" t="e">
        <f>#REF!*"$Cm=!?A"</f>
        <v>#REF!</v>
      </c>
      <c r="EA9" t="e">
        <f>#REF!*"$Cm=!?B"</f>
        <v>#REF!</v>
      </c>
      <c r="EB9" t="e">
        <f>#REF!*"$Cm=!?C"</f>
        <v>#REF!</v>
      </c>
      <c r="EC9" t="e">
        <f>#REF!*"$Cm=!?D"</f>
        <v>#REF!</v>
      </c>
      <c r="ED9" t="e">
        <f>#REF!*"$Cm=!?E"</f>
        <v>#REF!</v>
      </c>
      <c r="EE9" t="e">
        <f>#REF!*"$Cm=!?F"</f>
        <v>#REF!</v>
      </c>
      <c r="EF9" t="e">
        <f>#REF!*"$Cm=!?G"</f>
        <v>#REF!</v>
      </c>
      <c r="EG9" t="e">
        <f>#REF!*"$Cm=!?H"</f>
        <v>#REF!</v>
      </c>
      <c r="EH9" t="e">
        <f>#REF!*"$Cm=!?I"</f>
        <v>#REF!</v>
      </c>
      <c r="EI9" t="e">
        <f>#REF!*"$Cm=!?J"</f>
        <v>#REF!</v>
      </c>
      <c r="EJ9" t="e">
        <f>#REF!*"$Cm=!?K"</f>
        <v>#REF!</v>
      </c>
      <c r="EK9" t="e">
        <f>#REF!*"$Cm=!?L"</f>
        <v>#REF!</v>
      </c>
      <c r="EL9" t="e">
        <f>#REF!*"$Cm=!?M"</f>
        <v>#REF!</v>
      </c>
      <c r="EM9" t="e">
        <f>#REF!*"$Cm=!?N"</f>
        <v>#REF!</v>
      </c>
      <c r="EN9" t="e">
        <f>#REF!*"$Cm=!?O"</f>
        <v>#REF!</v>
      </c>
      <c r="EO9" t="e">
        <f>#REF!*"$Cm=!?P"</f>
        <v>#REF!</v>
      </c>
      <c r="EP9" t="e">
        <f>#REF!*"$Cm=!?Q"</f>
        <v>#REF!</v>
      </c>
      <c r="EQ9" t="e">
        <f>#REF!*"$Cm=!?R"</f>
        <v>#REF!</v>
      </c>
      <c r="ER9" t="e">
        <f>#REF!*"$Cm=!?S"</f>
        <v>#REF!</v>
      </c>
      <c r="ES9" t="e">
        <f>#REF!*"$Cm=!?T"</f>
        <v>#REF!</v>
      </c>
      <c r="ET9" t="e">
        <f>#REF!*"$Cm=!?U"</f>
        <v>#REF!</v>
      </c>
      <c r="EU9" t="e">
        <f>#REF!*"$Cm=!?V"</f>
        <v>#REF!</v>
      </c>
      <c r="EV9" t="e">
        <f>#REF!*"$Cm=!?W"</f>
        <v>#REF!</v>
      </c>
      <c r="EW9" t="e">
        <f>#REF!*"$Cm=!?X"</f>
        <v>#REF!</v>
      </c>
      <c r="EX9" t="e">
        <f>#REF!*"$Cm=!?Y"</f>
        <v>#REF!</v>
      </c>
      <c r="EY9" t="e">
        <f>#REF!*"$Cm=!?Z"</f>
        <v>#REF!</v>
      </c>
      <c r="EZ9" t="e">
        <f>#REF!*"$Cm=!?["</f>
        <v>#REF!</v>
      </c>
      <c r="FA9" t="e">
        <f>#REF!*"$Cm=!?\"</f>
        <v>#REF!</v>
      </c>
      <c r="FB9" t="e">
        <f>#REF!*"$Cm=!?]"</f>
        <v>#REF!</v>
      </c>
      <c r="FC9" t="e">
        <f>#REF!*"$Cm=!?^"</f>
        <v>#REF!</v>
      </c>
      <c r="FD9" t="e">
        <f>#REF!*"$Cm=!?_"</f>
        <v>#REF!</v>
      </c>
      <c r="FE9" t="e">
        <f>#REF!*"$Cm=!?`"</f>
        <v>#REF!</v>
      </c>
      <c r="FF9" t="e">
        <f>#REF!*"$Cm=!?a"</f>
        <v>#REF!</v>
      </c>
      <c r="FG9" t="e">
        <f>#REF!*"$Cm=!?b"</f>
        <v>#REF!</v>
      </c>
      <c r="FH9" t="e">
        <f>#REF!*"$Cm=!?c"</f>
        <v>#REF!</v>
      </c>
      <c r="FI9" t="e">
        <f>#REF!*"$Cm=!?d"</f>
        <v>#REF!</v>
      </c>
      <c r="FJ9" t="e">
        <f>#REF!*"$Cm=!?e"</f>
        <v>#REF!</v>
      </c>
      <c r="FK9" t="e">
        <f>#REF!*"$Cm=!?f"</f>
        <v>#REF!</v>
      </c>
      <c r="FL9" t="e">
        <f>#REF!*"$Cm=!?g"</f>
        <v>#REF!</v>
      </c>
      <c r="FM9" t="e">
        <f>#REF!*"$Cm=!?h"</f>
        <v>#REF!</v>
      </c>
      <c r="FN9" t="e">
        <f>#REF!*"$Cm=!?i"</f>
        <v>#REF!</v>
      </c>
      <c r="FO9" t="e">
        <f>#REF!*"$Cm=!?j"</f>
        <v>#REF!</v>
      </c>
      <c r="FP9" t="e">
        <f>#REF!*"$Cm=!?k"</f>
        <v>#REF!</v>
      </c>
      <c r="FQ9" t="e">
        <f>#REF!*"$Cm=!?l"</f>
        <v>#REF!</v>
      </c>
      <c r="FR9" t="e">
        <f>#REF!*"$Cm=!?m"</f>
        <v>#REF!</v>
      </c>
      <c r="FS9" t="e">
        <f>#REF!*"$Cm=!?n"</f>
        <v>#REF!</v>
      </c>
      <c r="FT9" t="e">
        <f>#REF!*"$Cm=!?o"</f>
        <v>#REF!</v>
      </c>
      <c r="FU9" t="e">
        <f>#REF!*"$Cm=!?p"</f>
        <v>#REF!</v>
      </c>
      <c r="FV9" t="e">
        <f>#REF!*"$Cm=!?q"</f>
        <v>#REF!</v>
      </c>
      <c r="FW9" t="e">
        <f>#REF!*"$Cm=!?r"</f>
        <v>#REF!</v>
      </c>
      <c r="FX9" t="e">
        <f>#REF!*"$Cm=!?s"</f>
        <v>#REF!</v>
      </c>
      <c r="FY9" t="e">
        <f>#REF!*"$Cm=!?t"</f>
        <v>#REF!</v>
      </c>
      <c r="FZ9" t="e">
        <f>#REF!*"$Cm=!?u"</f>
        <v>#REF!</v>
      </c>
      <c r="GA9" t="e">
        <f>#REF!*"$Cm=!?v"</f>
        <v>#REF!</v>
      </c>
      <c r="GB9" t="e">
        <f>#REF!*"$Cm=!?w"</f>
        <v>#REF!</v>
      </c>
      <c r="GC9" t="e">
        <f>#REF!*"$Cm=!?x"</f>
        <v>#REF!</v>
      </c>
      <c r="GD9" t="e">
        <f>#REF!*"$Cm=!?y"</f>
        <v>#REF!</v>
      </c>
      <c r="GE9" t="e">
        <f>#REF!*"$Cm=!?z"</f>
        <v>#REF!</v>
      </c>
      <c r="GF9" t="e">
        <f>#REF!*"$Cm=!?{"</f>
        <v>#REF!</v>
      </c>
      <c r="GG9" t="e">
        <f>#REF!*"$Cm=!?|"</f>
        <v>#REF!</v>
      </c>
      <c r="GH9" t="e">
        <f>#REF!*"$Cm=!?}"</f>
        <v>#REF!</v>
      </c>
      <c r="GI9" t="e">
        <f>#REF!*"$Cm=!?~"</f>
        <v>#REF!</v>
      </c>
      <c r="GJ9" t="e">
        <f>#REF!*"$Cm=!@#"</f>
        <v>#REF!</v>
      </c>
      <c r="GK9" t="e">
        <f>#REF!*"$Cm=!@$"</f>
        <v>#REF!</v>
      </c>
      <c r="GL9" t="e">
        <f>#REF!*"$Cm=!@%"</f>
        <v>#REF!</v>
      </c>
      <c r="GM9" t="e">
        <f>#REF!*"$Cm=!@&amp;"</f>
        <v>#REF!</v>
      </c>
      <c r="GN9" t="e">
        <f>#REF!*"$Cm=!@'"</f>
        <v>#REF!</v>
      </c>
      <c r="GO9" t="e">
        <f>#REF!*"$Cm=!@("</f>
        <v>#REF!</v>
      </c>
      <c r="GP9" t="e">
        <f>#REF!*"$Cm=!@)"</f>
        <v>#REF!</v>
      </c>
      <c r="GQ9" t="e">
        <f>#REF!*"$Cm=!@."</f>
        <v>#REF!</v>
      </c>
      <c r="GR9" t="e">
        <f>#REF!*"$Cm=!@/"</f>
        <v>#REF!</v>
      </c>
      <c r="GS9" t="e">
        <f>#REF!*"$Cm=!@0"</f>
        <v>#REF!</v>
      </c>
      <c r="GT9" t="e">
        <f>#REF!*"$Cm=!@1"</f>
        <v>#REF!</v>
      </c>
      <c r="GU9" t="e">
        <f>#REF!*"$Cm=!@2"</f>
        <v>#REF!</v>
      </c>
      <c r="GV9" t="e">
        <f>#REF!*"$Cm=!@3"</f>
        <v>#REF!</v>
      </c>
      <c r="GW9" t="e">
        <f>#REF!*"$Cm=!@4"</f>
        <v>#REF!</v>
      </c>
      <c r="GX9" t="e">
        <f>#REF!*"$Cm=!@5"</f>
        <v>#REF!</v>
      </c>
      <c r="GY9" t="e">
        <f>#REF!*"$Cm=!@6"</f>
        <v>#REF!</v>
      </c>
      <c r="GZ9" t="e">
        <f>#REF!*"$Cm=!@7"</f>
        <v>#REF!</v>
      </c>
      <c r="HA9" t="e">
        <f>#REF!*"$Cm=!@8"</f>
        <v>#REF!</v>
      </c>
      <c r="HB9" t="e">
        <f>#REF!*"$Cm=!@9"</f>
        <v>#REF!</v>
      </c>
      <c r="HC9" t="e">
        <f>#REF!*"$Cm=!@:"</f>
        <v>#REF!</v>
      </c>
      <c r="HD9" t="e">
        <f>#REF!*"$Cm=!@;"</f>
        <v>#REF!</v>
      </c>
      <c r="HE9" t="e">
        <f>#REF!*"$Cm=!@&lt;"</f>
        <v>#REF!</v>
      </c>
      <c r="HF9" t="e">
        <f>#REF!*"$Cm=!@="</f>
        <v>#REF!</v>
      </c>
      <c r="HG9" t="e">
        <f>#REF!*"$Cm=!@&gt;"</f>
        <v>#REF!</v>
      </c>
      <c r="HH9" t="e">
        <f>#REF!*"$Cm=!@?"</f>
        <v>#REF!</v>
      </c>
      <c r="HI9" t="e">
        <f>#REF!*"$Cm=!@@"</f>
        <v>#REF!</v>
      </c>
      <c r="HJ9" t="e">
        <f>#REF!*"$Cm=!@A"</f>
        <v>#REF!</v>
      </c>
      <c r="HK9" t="e">
        <f>#REF!*"$Cm=!@B"</f>
        <v>#REF!</v>
      </c>
      <c r="HL9" t="e">
        <f>#REF!*"$Cm=!@C"</f>
        <v>#REF!</v>
      </c>
      <c r="HM9" t="e">
        <f>#REF!*"$Cm=!@D"</f>
        <v>#REF!</v>
      </c>
      <c r="HN9" t="e">
        <f>#REF!*"$Cm=!@E"</f>
        <v>#REF!</v>
      </c>
      <c r="HO9" t="e">
        <f>#REF!*"$Cm=!@F"</f>
        <v>#REF!</v>
      </c>
      <c r="HP9" t="e">
        <f>#REF!*"$Cm=!@G"</f>
        <v>#REF!</v>
      </c>
      <c r="HQ9" t="e">
        <f>#REF!*"$Cm=!@H"</f>
        <v>#REF!</v>
      </c>
      <c r="HR9" t="e">
        <f>#REF!*"$Cm=!@I"</f>
        <v>#REF!</v>
      </c>
      <c r="HS9" t="e">
        <f>#REF!*"$Cm=!@J"</f>
        <v>#REF!</v>
      </c>
      <c r="HT9" t="e">
        <f>#REF!*"$Cm=!@K"</f>
        <v>#REF!</v>
      </c>
      <c r="HU9" t="e">
        <f>#REF!*"$Cm=!@L"</f>
        <v>#REF!</v>
      </c>
      <c r="HV9" t="e">
        <f>#REF!*"$Cm=!@M"</f>
        <v>#REF!</v>
      </c>
      <c r="HW9" t="e">
        <f>#REF!*"$Cm=!@N"</f>
        <v>#REF!</v>
      </c>
      <c r="HX9" t="e">
        <f>#REF!*"$Cm=!@O"</f>
        <v>#REF!</v>
      </c>
      <c r="HY9" t="e">
        <f>#REF!*"$Cm=!@P"</f>
        <v>#REF!</v>
      </c>
      <c r="HZ9" t="e">
        <f>#REF!*"$Cm=!@Q"</f>
        <v>#REF!</v>
      </c>
      <c r="IA9" t="e">
        <f>#REF!*"$Cm=!@R"</f>
        <v>#REF!</v>
      </c>
      <c r="IB9" t="e">
        <f>#REF!*"$Cm=!@S"</f>
        <v>#REF!</v>
      </c>
      <c r="IC9" t="e">
        <f>#REF!*"$Cm=!@T"</f>
        <v>#REF!</v>
      </c>
      <c r="ID9" t="e">
        <f>#REF!*"$Cm=!@U"</f>
        <v>#REF!</v>
      </c>
      <c r="IE9" t="e">
        <f>#REF!*"$Cm=!@V"</f>
        <v>#REF!</v>
      </c>
      <c r="IF9" t="e">
        <f>#REF!*"$Cm=!@W"</f>
        <v>#REF!</v>
      </c>
      <c r="IG9" t="e">
        <f>#REF!*"$Cm=!@X"</f>
        <v>#REF!</v>
      </c>
      <c r="IH9" t="e">
        <f>#REF!*"$Cm=!@Y"</f>
        <v>#REF!</v>
      </c>
      <c r="II9" t="e">
        <f>#REF!*"$Cm=!@Z"</f>
        <v>#REF!</v>
      </c>
      <c r="IJ9" t="e">
        <f>#REF!*"$Cm=!@["</f>
        <v>#REF!</v>
      </c>
      <c r="IK9" t="e">
        <f>#REF!*"$Cm=!@\"</f>
        <v>#REF!</v>
      </c>
      <c r="IL9" t="e">
        <f>#REF!*"$Cm=!@]"</f>
        <v>#REF!</v>
      </c>
      <c r="IM9" t="e">
        <f>#REF!*"$Cm=!@^"</f>
        <v>#REF!</v>
      </c>
      <c r="IN9" t="e">
        <f>#REF!*"$Cm=!@_"</f>
        <v>#REF!</v>
      </c>
      <c r="IO9" t="e">
        <f>#REF!*"$Cm=!@`"</f>
        <v>#REF!</v>
      </c>
      <c r="IP9" t="e">
        <f>#REF!*"$Cm=!@a"</f>
        <v>#REF!</v>
      </c>
      <c r="IQ9" t="e">
        <f>#REF!*"$Cm=!@b"</f>
        <v>#REF!</v>
      </c>
      <c r="IR9" t="e">
        <f>#REF!*"$Cm=!@c"</f>
        <v>#REF!</v>
      </c>
      <c r="IS9" t="e">
        <f>#REF!*"$Cm=!@d"</f>
        <v>#REF!</v>
      </c>
      <c r="IT9" t="e">
        <f>#REF!*"$Cm=!@e"</f>
        <v>#REF!</v>
      </c>
      <c r="IU9" t="e">
        <f>#REF!*"$Cm=!@f"</f>
        <v>#REF!</v>
      </c>
      <c r="IV9" t="e">
        <f>#REF!*"$Cm=!@g"</f>
        <v>#REF!</v>
      </c>
    </row>
    <row r="10" spans="1:256">
      <c r="F10" t="e">
        <f>#REF!*"$Cm=!@h"</f>
        <v>#REF!</v>
      </c>
      <c r="G10" t="e">
        <f>#REF!*"$Cm=!@i"</f>
        <v>#REF!</v>
      </c>
      <c r="H10" t="e">
        <f>#REF!*"$Cm=!@j"</f>
        <v>#REF!</v>
      </c>
      <c r="I10" t="e">
        <f>#REF!*"$Cm=!@k"</f>
        <v>#REF!</v>
      </c>
      <c r="J10" t="e">
        <f>#REF!*"$Cm=!@l"</f>
        <v>#REF!</v>
      </c>
      <c r="K10" t="e">
        <f>#REF!*"$Cm=!@m"</f>
        <v>#REF!</v>
      </c>
      <c r="L10" t="e">
        <f>#REF!*"$Cm=!@n"</f>
        <v>#REF!</v>
      </c>
      <c r="M10" t="e">
        <f>#REF!*"$Cm=!@o"</f>
        <v>#REF!</v>
      </c>
      <c r="N10" t="e">
        <f>#REF!*"$Cm=!@p"</f>
        <v>#REF!</v>
      </c>
      <c r="O10" t="e">
        <f>#REF!*"$Cm=!@q"</f>
        <v>#REF!</v>
      </c>
      <c r="P10" t="e">
        <f>#REF!*"$Cm=!@r"</f>
        <v>#REF!</v>
      </c>
      <c r="Q10" t="e">
        <f>#REF!*"$Cm=!@s"</f>
        <v>#REF!</v>
      </c>
      <c r="R10" t="e">
        <f>#REF!*"$Cm=!@t"</f>
        <v>#REF!</v>
      </c>
      <c r="S10" t="e">
        <f>#REF!*"$Cm=!@u"</f>
        <v>#REF!</v>
      </c>
      <c r="T10" t="e">
        <f>#REF!*"$Cm=!@v"</f>
        <v>#REF!</v>
      </c>
      <c r="U10" t="e">
        <f>#REF!*"$Cm=!@w"</f>
        <v>#REF!</v>
      </c>
      <c r="V10" t="e">
        <f>#REF!*"$Cm=!@x"</f>
        <v>#REF!</v>
      </c>
      <c r="W10" t="e">
        <f>#REF!*"$Cm=!@y"</f>
        <v>#REF!</v>
      </c>
      <c r="X10" t="e">
        <f>#REF!*"$Cm=!@z"</f>
        <v>#REF!</v>
      </c>
      <c r="Y10" t="e">
        <f>#REF!*"$Cm=!@{"</f>
        <v>#REF!</v>
      </c>
      <c r="Z10" t="e">
        <f>#REF!*"$Cm=!@|"</f>
        <v>#REF!</v>
      </c>
      <c r="AA10" t="e">
        <f>#REF!*"$Cm=!@}"</f>
        <v>#REF!</v>
      </c>
      <c r="AB10" t="e">
        <f>#REF!*"$Cm=!@~"</f>
        <v>#REF!</v>
      </c>
      <c r="AC10" t="e">
        <f>#REF!*"$Cm=!A#"</f>
        <v>#REF!</v>
      </c>
      <c r="AD10" t="e">
        <f>#REF!*"$Cm=!A$"</f>
        <v>#REF!</v>
      </c>
      <c r="AE10" t="e">
        <f>#REF!*"$Cm=!A%"</f>
        <v>#REF!</v>
      </c>
      <c r="AF10" t="e">
        <f>#REF!*"$Cm=!A&amp;"</f>
        <v>#REF!</v>
      </c>
      <c r="AG10" t="e">
        <f>#REF!*"$Cm=!A'"</f>
        <v>#REF!</v>
      </c>
      <c r="AH10" t="e">
        <f>#REF!*"$Cm=!A("</f>
        <v>#REF!</v>
      </c>
      <c r="AI10" t="e">
        <f>#REF!*"$Cm=!A)"</f>
        <v>#REF!</v>
      </c>
      <c r="AJ10" t="e">
        <f>#REF!*"$Cm=!A."</f>
        <v>#REF!</v>
      </c>
      <c r="AK10" t="e">
        <f>#REF!*"$Cm=!A/"</f>
        <v>#REF!</v>
      </c>
      <c r="AL10" t="e">
        <f>#REF!*"$Cm=!A0"</f>
        <v>#REF!</v>
      </c>
      <c r="AM10" t="e">
        <f>#REF!*"$Cm=!A1"</f>
        <v>#REF!</v>
      </c>
      <c r="AN10" t="e">
        <f>#REF!*"$Cm=!A2"</f>
        <v>#REF!</v>
      </c>
      <c r="AO10" t="e">
        <f>#REF!*"$Cm=!A3"</f>
        <v>#REF!</v>
      </c>
      <c r="AP10" t="e">
        <f>#REF!*"$Cm=!A4"</f>
        <v>#REF!</v>
      </c>
      <c r="AQ10" t="e">
        <f>#REF!*"$Cm=!A5"</f>
        <v>#REF!</v>
      </c>
      <c r="AR10" t="e">
        <f>#REF!*"$Cm=!A6"</f>
        <v>#REF!</v>
      </c>
      <c r="AS10" t="e">
        <f>#REF!*"$Cm=!A7"</f>
        <v>#REF!</v>
      </c>
      <c r="AT10" t="e">
        <f>#REF!*"$Cm=!A8"</f>
        <v>#REF!</v>
      </c>
      <c r="AU10" t="e">
        <f>#REF!*"$Cm=!A9"</f>
        <v>#REF!</v>
      </c>
      <c r="AV10" t="e">
        <f>#REF!*"$Cm=!A:"</f>
        <v>#REF!</v>
      </c>
      <c r="AW10" t="e">
        <f>#REF!*"$Cm=!A;"</f>
        <v>#REF!</v>
      </c>
      <c r="AX10" t="e">
        <f>#REF!*"$Cm=!A&lt;"</f>
        <v>#REF!</v>
      </c>
      <c r="AY10" t="e">
        <f>#REF!*"$Cm=!A="</f>
        <v>#REF!</v>
      </c>
      <c r="AZ10" t="e">
        <f>#REF!*"$Cm=!A&gt;"</f>
        <v>#REF!</v>
      </c>
      <c r="BA10" t="e">
        <f>#REF!*"$Cm=!A?"</f>
        <v>#REF!</v>
      </c>
      <c r="BB10" t="e">
        <f>#REF!*"$Cm=!A@"</f>
        <v>#REF!</v>
      </c>
      <c r="BC10" t="e">
        <f>#REF!*"$Cm=!AA"</f>
        <v>#REF!</v>
      </c>
      <c r="BD10" t="e">
        <f>#REF!*"$Cm=!AB"</f>
        <v>#REF!</v>
      </c>
      <c r="BE10" t="e">
        <f>#REF!*"$Cm=!AC"</f>
        <v>#REF!</v>
      </c>
      <c r="BF10" t="e">
        <f>#REF!*"$Cm=!AD"</f>
        <v>#REF!</v>
      </c>
      <c r="BG10" t="e">
        <f>#REF!*"$Cm=!AE"</f>
        <v>#REF!</v>
      </c>
      <c r="BH10" t="e">
        <f>#REF!*"$Cm=!AF"</f>
        <v>#REF!</v>
      </c>
      <c r="BI10" t="e">
        <f>#REF!*"$Cm=!AG"</f>
        <v>#REF!</v>
      </c>
      <c r="BJ10" t="e">
        <f>#REF!*"$Cm=!AH"</f>
        <v>#REF!</v>
      </c>
      <c r="BK10" t="e">
        <f>#REF!*"$Cm=!AI"</f>
        <v>#REF!</v>
      </c>
      <c r="BL10" t="e">
        <f>#REF!*"$Cm=!AJ"</f>
        <v>#REF!</v>
      </c>
      <c r="BM10" t="e">
        <f>#REF!*"$Cm=!AK"</f>
        <v>#REF!</v>
      </c>
      <c r="BN10" t="e">
        <f>#REF!*"$Cm=!AL"</f>
        <v>#REF!</v>
      </c>
      <c r="BO10" t="e">
        <f>#REF!*"$Cm=!AM"</f>
        <v>#REF!</v>
      </c>
      <c r="BP10" t="e">
        <f>#REF!*"$Cm=!AN"</f>
        <v>#REF!</v>
      </c>
      <c r="BQ10" t="e">
        <f>#REF!*"$Cm=!AO"</f>
        <v>#REF!</v>
      </c>
      <c r="BR10" t="e">
        <f>#REF!*"$Cm=!AP"</f>
        <v>#REF!</v>
      </c>
      <c r="BS10" t="e">
        <f>#REF!*"$Cm=!AQ"</f>
        <v>#REF!</v>
      </c>
      <c r="BT10" t="e">
        <f>#REF!*"$Cm=!AR"</f>
        <v>#REF!</v>
      </c>
      <c r="BU10" t="e">
        <f>#REF!*"$Cm=!AS"</f>
        <v>#REF!</v>
      </c>
      <c r="BV10" t="e">
        <f>#REF!*"$Cm=!AT"</f>
        <v>#REF!</v>
      </c>
      <c r="BW10" t="e">
        <f>#REF!*"$Cm=!AU"</f>
        <v>#REF!</v>
      </c>
      <c r="BX10" t="e">
        <f>#REF!*"$Cm=!AV"</f>
        <v>#REF!</v>
      </c>
      <c r="BY10" t="e">
        <f>#REF!*"$Cm=!AW"</f>
        <v>#REF!</v>
      </c>
      <c r="BZ10" t="e">
        <f>#REF!*"$Cm=!AX"</f>
        <v>#REF!</v>
      </c>
      <c r="CA10" t="e">
        <f>#REF!*"$Cm=!AY"</f>
        <v>#REF!</v>
      </c>
      <c r="CB10" t="e">
        <f>#REF!*"$Cm=!AZ"</f>
        <v>#REF!</v>
      </c>
      <c r="CC10" t="e">
        <f>#REF!*"$Cm=!A["</f>
        <v>#REF!</v>
      </c>
      <c r="CD10" t="e">
        <f>#REF!*"$Cm=!A\"</f>
        <v>#REF!</v>
      </c>
      <c r="CE10" t="e">
        <f>#REF!*"$Cm=!A]"</f>
        <v>#REF!</v>
      </c>
      <c r="CF10" t="e">
        <f>#REF!*"$Cm=!A^"</f>
        <v>#REF!</v>
      </c>
      <c r="CG10" t="e">
        <f>#REF!*"$Cm=!A_"</f>
        <v>#REF!</v>
      </c>
      <c r="CH10" t="e">
        <f>#REF!*"$Cm=!A`"</f>
        <v>#REF!</v>
      </c>
      <c r="CI10" t="e">
        <f>#REF!*"$Cm=!Aa"</f>
        <v>#REF!</v>
      </c>
      <c r="CJ10" t="e">
        <f>#REF!*"$Cm=!Ab"</f>
        <v>#REF!</v>
      </c>
      <c r="CK10" t="e">
        <f>#REF!*"$Cm=!Ac"</f>
        <v>#REF!</v>
      </c>
      <c r="CL10" t="e">
        <f>#REF!*"$Cm=!Ad"</f>
        <v>#REF!</v>
      </c>
      <c r="CM10" t="e">
        <f>#REF!*"$Cm=!Ae"</f>
        <v>#REF!</v>
      </c>
      <c r="CN10" t="e">
        <f>#REF!*"$Cm=!Af"</f>
        <v>#REF!</v>
      </c>
      <c r="CO10" t="e">
        <f>#REF!*"$Cm=!Ag"</f>
        <v>#REF!</v>
      </c>
      <c r="CP10" t="e">
        <f>#REF!*"$Cm=!Ah"</f>
        <v>#REF!</v>
      </c>
      <c r="CQ10" t="e">
        <f>#REF!*"$Cm=!Ai"</f>
        <v>#REF!</v>
      </c>
      <c r="CR10" t="e">
        <f>#REF!*"$Cm=!Aj"</f>
        <v>#REF!</v>
      </c>
      <c r="CS10" t="e">
        <f>#REF!*"$Cm=!Ak"</f>
        <v>#REF!</v>
      </c>
      <c r="CT10" t="e">
        <f>#REF!*"$Cm=!Al"</f>
        <v>#REF!</v>
      </c>
      <c r="CU10" t="e">
        <f>#REF!*"$Cm=!Am"</f>
        <v>#REF!</v>
      </c>
      <c r="CV10" t="e">
        <f>#REF!*"$Cm=!An"</f>
        <v>#REF!</v>
      </c>
      <c r="CW10" t="e">
        <f>#REF!*"$Cm=!Ao"</f>
        <v>#REF!</v>
      </c>
      <c r="CX10" t="e">
        <f>#REF!*"$Cm=!Ap"</f>
        <v>#REF!</v>
      </c>
      <c r="CY10" t="e">
        <f>#REF!*"$Cm=!Aq"</f>
        <v>#REF!</v>
      </c>
      <c r="CZ10" t="e">
        <f>#REF!*"$Cm=!Ar"</f>
        <v>#REF!</v>
      </c>
      <c r="DA10" t="e">
        <f>#REF!*"$Cm=!As"</f>
        <v>#REF!</v>
      </c>
      <c r="DB10" t="e">
        <f>#REF!*"$Cm=!At"</f>
        <v>#REF!</v>
      </c>
      <c r="DC10" t="e">
        <f>#REF!*"$Cm=!Au"</f>
        <v>#REF!</v>
      </c>
      <c r="DD10" t="e">
        <f>#REF!*"$Cm=!Av"</f>
        <v>#REF!</v>
      </c>
      <c r="DE10" t="e">
        <f>#REF!*"$Cm=!Aw"</f>
        <v>#REF!</v>
      </c>
      <c r="DF10" t="e">
        <f>#REF!*"$Cm=!Ax"</f>
        <v>#REF!</v>
      </c>
      <c r="DG10" t="e">
        <f>#REF!*"$Cm=!Ay"</f>
        <v>#REF!</v>
      </c>
      <c r="DH10" t="e">
        <f>#REF!*"$Cm=!Az"</f>
        <v>#REF!</v>
      </c>
      <c r="DI10" t="e">
        <f>#REF!*"$Cm=!A{"</f>
        <v>#REF!</v>
      </c>
      <c r="DJ10" t="e">
        <f>#REF!*"$Cm=!A|"</f>
        <v>#REF!</v>
      </c>
      <c r="DK10" t="e">
        <f>#REF!*"$Cm=!A}"</f>
        <v>#REF!</v>
      </c>
      <c r="DL10" t="e">
        <f>#REF!*"$Cm=!A~"</f>
        <v>#REF!</v>
      </c>
      <c r="DM10" t="e">
        <f>#REF!*"$Cm=!B#"</f>
        <v>#REF!</v>
      </c>
      <c r="DN10" t="e">
        <f>#REF!*"$Cm=!B$"</f>
        <v>#REF!</v>
      </c>
      <c r="DO10" t="e">
        <f>#REF!*"$Cm=!B%"</f>
        <v>#REF!</v>
      </c>
      <c r="DP10" t="e">
        <f>#REF!*"$Cm=!B&amp;"</f>
        <v>#REF!</v>
      </c>
      <c r="DQ10" t="e">
        <f>#REF!*"$Cm=!B'"</f>
        <v>#REF!</v>
      </c>
      <c r="DR10" t="e">
        <f>#REF!*"$Cm=!B("</f>
        <v>#REF!</v>
      </c>
      <c r="DS10" t="e">
        <f>#REF!*"$Cm=!B)"</f>
        <v>#REF!</v>
      </c>
      <c r="DT10" t="e">
        <f>#REF!*"$Cm=!B."</f>
        <v>#REF!</v>
      </c>
      <c r="DU10" t="e">
        <f>#REF!*"$Cm=!B/"</f>
        <v>#REF!</v>
      </c>
      <c r="DV10" t="e">
        <f>#REF!*"$Cm=!B0"</f>
        <v>#REF!</v>
      </c>
      <c r="DW10" t="e">
        <f>#REF!*"$Cm=!B1"</f>
        <v>#REF!</v>
      </c>
      <c r="DX10" t="e">
        <f>#REF!*"$Cm=!B2"</f>
        <v>#REF!</v>
      </c>
      <c r="DY10" t="e">
        <f>#REF!*"$Cm=!B3"</f>
        <v>#REF!</v>
      </c>
      <c r="DZ10" t="e">
        <f>#REF!*"$Cm=!B4"</f>
        <v>#REF!</v>
      </c>
      <c r="EA10" t="e">
        <f>#REF!*"$Cm=!B5"</f>
        <v>#REF!</v>
      </c>
      <c r="EB10" t="e">
        <f>#REF!*"$Cm=!B6"</f>
        <v>#REF!</v>
      </c>
      <c r="EC10" t="e">
        <f>#REF!*"$Cm=!B7"</f>
        <v>#REF!</v>
      </c>
      <c r="ED10" t="e">
        <f>#REF!*"$Cm=!B8"</f>
        <v>#REF!</v>
      </c>
      <c r="EE10" t="e">
        <f>#REF!*"$Cm=!B9"</f>
        <v>#REF!</v>
      </c>
      <c r="EF10" t="e">
        <f>#REF!*"$Cm=!B:"</f>
        <v>#REF!</v>
      </c>
      <c r="EG10" t="e">
        <f>#REF!*"$Cm=!B;"</f>
        <v>#REF!</v>
      </c>
      <c r="EH10" t="e">
        <f>#REF!*"$Cm=!B&lt;"</f>
        <v>#REF!</v>
      </c>
      <c r="EI10" t="e">
        <f>#REF!*"$Cm=!B="</f>
        <v>#REF!</v>
      </c>
      <c r="EJ10" t="e">
        <f>#REF!*"$Cm=!B&gt;"</f>
        <v>#REF!</v>
      </c>
      <c r="EK10" t="e">
        <f>#REF!*"$Cm=!B?"</f>
        <v>#REF!</v>
      </c>
      <c r="EL10" t="e">
        <f>#REF!*"$Cm=!B@"</f>
        <v>#REF!</v>
      </c>
      <c r="EM10" t="e">
        <f>#REF!*"$Cm=!BA"</f>
        <v>#REF!</v>
      </c>
      <c r="EN10" t="e">
        <f>#REF!*"$Cm=!BB"</f>
        <v>#REF!</v>
      </c>
      <c r="EO10" t="e">
        <f>#REF!*"$Cm=!BC"</f>
        <v>#REF!</v>
      </c>
      <c r="EP10" t="e">
        <f>#REF!*"$Cm=!BD"</f>
        <v>#REF!</v>
      </c>
      <c r="EQ10" t="e">
        <f>#REF!*"$Cm=!BE"</f>
        <v>#REF!</v>
      </c>
      <c r="ER10" t="e">
        <f>#REF!*"$Cm=!BF"</f>
        <v>#REF!</v>
      </c>
      <c r="ES10" t="e">
        <f>#REF!*"$Cm=!BG"</f>
        <v>#REF!</v>
      </c>
      <c r="ET10" t="e">
        <f>#REF!*"$Cm=!BH"</f>
        <v>#REF!</v>
      </c>
      <c r="EU10" t="e">
        <f>#REF!*"$Cm=!BI"</f>
        <v>#REF!</v>
      </c>
      <c r="EV10" t="e">
        <f>#REF!*"$Cm=!BJ"</f>
        <v>#REF!</v>
      </c>
      <c r="EW10" t="e">
        <f>#REF!*"$Cm=!BK"</f>
        <v>#REF!</v>
      </c>
      <c r="EX10" t="e">
        <f>#REF!*"$Cm=!BL"</f>
        <v>#REF!</v>
      </c>
      <c r="EY10" t="e">
        <f>#REF!*"$Cm=!BM"</f>
        <v>#REF!</v>
      </c>
      <c r="EZ10" t="e">
        <f>#REF!*"$Cm=!BN"</f>
        <v>#REF!</v>
      </c>
      <c r="FA10" t="e">
        <f>#REF!*"$Cm=!BO"</f>
        <v>#REF!</v>
      </c>
      <c r="FB10" t="e">
        <f>#REF!*"$Cm=!BP"</f>
        <v>#REF!</v>
      </c>
      <c r="FC10" t="e">
        <f>#REF!*"$Cm=!BQ"</f>
        <v>#REF!</v>
      </c>
      <c r="FD10" t="e">
        <f>#REF!*"$Cm=!BR"</f>
        <v>#REF!</v>
      </c>
      <c r="FE10" t="e">
        <f>#REF!*"$Cm=!BS"</f>
        <v>#REF!</v>
      </c>
      <c r="FF10" t="e">
        <f>#REF!*"$Cm=!BT"</f>
        <v>#REF!</v>
      </c>
      <c r="FG10" t="e">
        <f>#REF!*"$Cm=!BU"</f>
        <v>#REF!</v>
      </c>
      <c r="FH10" t="e">
        <f>#REF!*"$Cm=!BV"</f>
        <v>#REF!</v>
      </c>
      <c r="FI10" t="e">
        <f>#REF!*"$Cm=!BW"</f>
        <v>#REF!</v>
      </c>
      <c r="FJ10" t="e">
        <f>#REF!*"$Cm=!BX"</f>
        <v>#REF!</v>
      </c>
      <c r="FK10" t="e">
        <f>#REF!*"$Cm=!BY"</f>
        <v>#REF!</v>
      </c>
      <c r="FL10" t="e">
        <f>#REF!*"$Cm=!BZ"</f>
        <v>#REF!</v>
      </c>
      <c r="FM10" t="e">
        <f>#REF!*"$Cm=!B["</f>
        <v>#REF!</v>
      </c>
      <c r="FN10" t="e">
        <f>#REF!*"$Cm=!B\"</f>
        <v>#REF!</v>
      </c>
      <c r="FO10" t="e">
        <f>#REF!*"$Cm=!B]"</f>
        <v>#REF!</v>
      </c>
      <c r="FP10" t="e">
        <f>#REF!*"$Cm=!B^"</f>
        <v>#REF!</v>
      </c>
      <c r="FQ10" t="e">
        <f>#REF!*"$Cm=!B_"</f>
        <v>#REF!</v>
      </c>
      <c r="FR10" t="e">
        <f>#REF!*"$Cm=!B`"</f>
        <v>#REF!</v>
      </c>
      <c r="FS10" t="e">
        <f>#REF!*"$Cm=!Ba"</f>
        <v>#REF!</v>
      </c>
      <c r="FT10" t="e">
        <f>#REF!*"$Cm=!Bb"</f>
        <v>#REF!</v>
      </c>
      <c r="FU10" t="e">
        <f>#REF!*"$Cm=!Bc"</f>
        <v>#REF!</v>
      </c>
      <c r="FV10" t="e">
        <f>#REF!*"$Cm=!Bd"</f>
        <v>#REF!</v>
      </c>
      <c r="FW10" t="e">
        <f>#REF!*"$Cm=!Be"</f>
        <v>#REF!</v>
      </c>
      <c r="FX10" t="e">
        <f>#REF!*"$Cm=!Bf"</f>
        <v>#REF!</v>
      </c>
      <c r="FY10" t="e">
        <f>#REF!*"$Cm=!Bg"</f>
        <v>#REF!</v>
      </c>
      <c r="FZ10" t="e">
        <f>#REF!*"$Cm=!Bh"</f>
        <v>#REF!</v>
      </c>
      <c r="GA10" t="e">
        <f>#REF!*"$Cm=!Bi"</f>
        <v>#REF!</v>
      </c>
      <c r="GB10" t="e">
        <f>#REF!*"$Cm=!Bj"</f>
        <v>#REF!</v>
      </c>
      <c r="GC10" t="e">
        <f>#REF!*"$Cm=!Bk"</f>
        <v>#REF!</v>
      </c>
      <c r="GD10" t="e">
        <f>#REF!*"$Cm=!Bl"</f>
        <v>#REF!</v>
      </c>
      <c r="GE10" t="e">
        <f>#REF!*"$Cm=!Bm"</f>
        <v>#REF!</v>
      </c>
      <c r="GF10" t="e">
        <f>#REF!*"$Cm=!Bn"</f>
        <v>#REF!</v>
      </c>
      <c r="GG10" t="e">
        <f>#REF!*"$Cm=!Bo"</f>
        <v>#REF!</v>
      </c>
      <c r="GH10" t="e">
        <f>#REF!*"$Cm=!Bp"</f>
        <v>#REF!</v>
      </c>
      <c r="GI10" t="e">
        <f>#REF!*"$Cm=!Bq"</f>
        <v>#REF!</v>
      </c>
      <c r="GJ10" t="e">
        <f>#REF!*"$Cm=!Br"</f>
        <v>#REF!</v>
      </c>
      <c r="GK10" t="e">
        <f>#REF!*"$Cm=!Bs"</f>
        <v>#REF!</v>
      </c>
      <c r="GL10" t="e">
        <f>#REF!*"$Cm=!Bt"</f>
        <v>#REF!</v>
      </c>
      <c r="GM10" t="e">
        <f>#REF!*"$Cm=!Bu"</f>
        <v>#REF!</v>
      </c>
      <c r="GN10" t="e">
        <f>#REF!*"$Cm=!Bv"</f>
        <v>#REF!</v>
      </c>
      <c r="GO10" t="e">
        <f>#REF!*"$Cm=!Bw"</f>
        <v>#REF!</v>
      </c>
      <c r="GP10" t="e">
        <f>#REF!*"$Cm=!Bx"</f>
        <v>#REF!</v>
      </c>
      <c r="GQ10" t="e">
        <f>#REF!*"$Cm=!By"</f>
        <v>#REF!</v>
      </c>
      <c r="GR10" t="e">
        <f>#REF!*"$Cm=!Bz"</f>
        <v>#REF!</v>
      </c>
      <c r="GS10" t="e">
        <f>#REF!*"$Cm=!B{"</f>
        <v>#REF!</v>
      </c>
      <c r="GT10" t="e">
        <f>#REF!*"$Cm=!B|"</f>
        <v>#REF!</v>
      </c>
      <c r="GU10" t="e">
        <f>#REF!*"$Cm=!B}"</f>
        <v>#REF!</v>
      </c>
      <c r="GV10" t="e">
        <f>#REF!*"$Cm=!B~"</f>
        <v>#REF!</v>
      </c>
      <c r="GW10" t="e">
        <f>#REF!*"$Cm=!C#"</f>
        <v>#REF!</v>
      </c>
      <c r="GX10" t="e">
        <f>#REF!*"$Cm=!C$"</f>
        <v>#REF!</v>
      </c>
      <c r="GY10" t="e">
        <f>#REF!*"$Cm=!C%"</f>
        <v>#REF!</v>
      </c>
      <c r="GZ10" t="e">
        <f>#REF!*"$Cm=!C&amp;"</f>
        <v>#REF!</v>
      </c>
      <c r="HA10" t="e">
        <f>#REF!*"$Cm=!C'"</f>
        <v>#REF!</v>
      </c>
      <c r="HB10" t="e">
        <f>#REF!*"$Cm=!C("</f>
        <v>#REF!</v>
      </c>
      <c r="HC10" t="e">
        <f>#REF!*"$Cm=!C)"</f>
        <v>#REF!</v>
      </c>
      <c r="HD10" t="e">
        <f>#REF!*"$Cm=!C."</f>
        <v>#REF!</v>
      </c>
      <c r="HE10" t="e">
        <f>#REF!*"$Cm=!C/"</f>
        <v>#REF!</v>
      </c>
      <c r="HF10" t="e">
        <f>#REF!*"$Cm=!C0"</f>
        <v>#REF!</v>
      </c>
      <c r="HG10" t="e">
        <f>#REF!*"$Cm=!C1"</f>
        <v>#REF!</v>
      </c>
      <c r="HH10" t="e">
        <f>#REF!*"$Cm=!C2"</f>
        <v>#REF!</v>
      </c>
      <c r="HI10" t="e">
        <f>#REF!*"$Cm=!C3"</f>
        <v>#REF!</v>
      </c>
      <c r="HJ10" t="e">
        <f>#REF!*"$Cm=!C4"</f>
        <v>#REF!</v>
      </c>
      <c r="HK10" t="e">
        <f>#REF!*"$Cm=!C5"</f>
        <v>#REF!</v>
      </c>
      <c r="HL10" t="e">
        <f>#REF!*"$Cm=!C6"</f>
        <v>#REF!</v>
      </c>
      <c r="HM10" t="e">
        <f>#REF!*"$Cm=!C7"</f>
        <v>#REF!</v>
      </c>
      <c r="HN10" t="e">
        <f>#REF!*"$Cm=!C8"</f>
        <v>#REF!</v>
      </c>
      <c r="HO10" t="e">
        <f>#REF!*"$Cm=!C9"</f>
        <v>#REF!</v>
      </c>
      <c r="HP10" t="e">
        <f>#REF!*"$Cm=!C:"</f>
        <v>#REF!</v>
      </c>
      <c r="HQ10" t="e">
        <f>#REF!*"$Cm=!C;"</f>
        <v>#REF!</v>
      </c>
      <c r="HR10" t="e">
        <f>#REF!*"$Cm=!C&lt;"</f>
        <v>#REF!</v>
      </c>
      <c r="HS10" t="e">
        <f>#REF!*"$Cm=!C="</f>
        <v>#REF!</v>
      </c>
      <c r="HT10" t="e">
        <f>#REF!*"$Cm=!C&gt;"</f>
        <v>#REF!</v>
      </c>
      <c r="HU10" t="e">
        <f>#REF!*"$Cm=!C?"</f>
        <v>#REF!</v>
      </c>
      <c r="HV10" t="e">
        <f>#REF!*"$Cm=!C@"</f>
        <v>#REF!</v>
      </c>
      <c r="HW10" t="e">
        <f>#REF!*"$Cm=!CA"</f>
        <v>#REF!</v>
      </c>
      <c r="HX10" t="e">
        <f>#REF!*"$Cm=!CB"</f>
        <v>#REF!</v>
      </c>
      <c r="HY10" t="e">
        <f>#REF!*"$Cm=!CC"</f>
        <v>#REF!</v>
      </c>
      <c r="HZ10" t="e">
        <f>#REF!*"$Cm=!CD"</f>
        <v>#REF!</v>
      </c>
      <c r="IA10" t="e">
        <f>#REF!*"$Cm=!CE"</f>
        <v>#REF!</v>
      </c>
      <c r="IB10" t="e">
        <f>#REF!*"$Cm=!CF"</f>
        <v>#REF!</v>
      </c>
      <c r="IC10" t="e">
        <f>#REF!*"$Cm=!CG"</f>
        <v>#REF!</v>
      </c>
      <c r="ID10" t="e">
        <f>#REF!*"$Cm=!CH"</f>
        <v>#REF!</v>
      </c>
      <c r="IE10" t="e">
        <f>#REF!*"$Cm=!CI"</f>
        <v>#REF!</v>
      </c>
      <c r="IF10" t="e">
        <f>#REF!*"$Cm=!CJ"</f>
        <v>#REF!</v>
      </c>
      <c r="IG10" t="e">
        <f>#REF!*"$Cm=!CK"</f>
        <v>#REF!</v>
      </c>
      <c r="IH10" t="e">
        <f>#REF!*"$Cm=!CL"</f>
        <v>#REF!</v>
      </c>
      <c r="II10" t="e">
        <f>#REF!*"$Cm=!CM"</f>
        <v>#REF!</v>
      </c>
      <c r="IJ10" t="e">
        <f>#REF!*"$Cm=!CN"</f>
        <v>#REF!</v>
      </c>
      <c r="IK10" t="e">
        <f>#REF!*"$Cm=!CO"</f>
        <v>#REF!</v>
      </c>
      <c r="IL10" t="e">
        <f>#REF!*"$Cm=!CP"</f>
        <v>#REF!</v>
      </c>
      <c r="IM10" t="e">
        <f>#REF!*"$Cm=!CQ"</f>
        <v>#REF!</v>
      </c>
      <c r="IN10" t="e">
        <f>#REF!*"$Cm=!CR"</f>
        <v>#REF!</v>
      </c>
      <c r="IO10" t="e">
        <f>#REF!*"$Cm=!CS"</f>
        <v>#REF!</v>
      </c>
      <c r="IP10" t="e">
        <f>#REF!*"$Cm=!CT"</f>
        <v>#REF!</v>
      </c>
      <c r="IQ10" t="e">
        <f>#REF!*"$Cm=!CU"</f>
        <v>#REF!</v>
      </c>
      <c r="IR10" t="e">
        <f>#REF!*"$Cm=!CV"</f>
        <v>#REF!</v>
      </c>
      <c r="IS10" t="e">
        <f>#REF!*"$Cm=!CW"</f>
        <v>#REF!</v>
      </c>
      <c r="IT10" t="e">
        <f>#REF!*"$Cm=!CX"</f>
        <v>#REF!</v>
      </c>
      <c r="IU10" t="e">
        <f>#REF!*"$Cm=!CY"</f>
        <v>#REF!</v>
      </c>
      <c r="IV10" t="e">
        <f>#REF!*"$Cm=!CZ"</f>
        <v>#REF!</v>
      </c>
    </row>
    <row r="11" spans="1:256">
      <c r="F11" t="e">
        <f>#REF!*"$Cm=!C["</f>
        <v>#REF!</v>
      </c>
      <c r="G11" t="e">
        <f>#REF!*"$Cm=!C\"</f>
        <v>#REF!</v>
      </c>
      <c r="H11" t="e">
        <f>#REF!*"$Cm=!C]"</f>
        <v>#REF!</v>
      </c>
      <c r="I11" t="e">
        <f>#REF!*"$Cm=!C^"</f>
        <v>#REF!</v>
      </c>
      <c r="J11" t="e">
        <f>#REF!*"$Cm=!C_"</f>
        <v>#REF!</v>
      </c>
      <c r="K11" t="e">
        <f>#REF!*"$Cm=!C`"</f>
        <v>#REF!</v>
      </c>
      <c r="L11" t="e">
        <f>#REF!*"$Cm=!Ca"</f>
        <v>#REF!</v>
      </c>
      <c r="M11" t="e">
        <f>#REF!*"$Cm=!Cb"</f>
        <v>#REF!</v>
      </c>
      <c r="N11" t="e">
        <f>#REF!*"$Cm=!Cc"</f>
        <v>#REF!</v>
      </c>
      <c r="O11" t="e">
        <f>#REF!*"$Cm=!Cd"</f>
        <v>#REF!</v>
      </c>
      <c r="P11" t="e">
        <f>#REF!*"$Cm=!Ce"</f>
        <v>#REF!</v>
      </c>
      <c r="Q11" t="e">
        <f>#REF!*"$Cm=!Cf"</f>
        <v>#REF!</v>
      </c>
      <c r="R11" t="e">
        <f>#REF!*"$Cm=!Cg"</f>
        <v>#REF!</v>
      </c>
      <c r="S11" t="e">
        <f>#REF!*"$Cm=!Ch"</f>
        <v>#REF!</v>
      </c>
      <c r="T11" t="e">
        <f>#REF!*"$Cm=!Ci"</f>
        <v>#REF!</v>
      </c>
      <c r="U11" t="e">
        <f>#REF!*"$Cm=!Cj"</f>
        <v>#REF!</v>
      </c>
      <c r="V11" t="e">
        <f>#REF!*"$Cm=!Ck"</f>
        <v>#REF!</v>
      </c>
      <c r="W11" t="e">
        <f>#REF!*"$Cm=!Cl"</f>
        <v>#REF!</v>
      </c>
      <c r="X11" t="e">
        <f>#REF!*"$Cm=!Cm"</f>
        <v>#REF!</v>
      </c>
      <c r="Y11" t="e">
        <f>#REF!*"$Cm=!Cn"</f>
        <v>#REF!</v>
      </c>
      <c r="Z11" t="e">
        <f>#REF!*"$Cm=!Co"</f>
        <v>#REF!</v>
      </c>
      <c r="AA11" t="e">
        <f>#REF!*"$Cm=!Cp"</f>
        <v>#REF!</v>
      </c>
      <c r="AB11" t="e">
        <f>#REF!*"$Cm=!Cq"</f>
        <v>#REF!</v>
      </c>
      <c r="AC11" t="e">
        <f>#REF!*"$Cm=!Cr"</f>
        <v>#REF!</v>
      </c>
      <c r="AD11" t="e">
        <f>#REF!*"$Cm=!Cs"</f>
        <v>#REF!</v>
      </c>
      <c r="AE11" t="e">
        <f>#REF!*"$Cm=!Ct"</f>
        <v>#REF!</v>
      </c>
      <c r="AF11" t="e">
        <f>#REF!*"$Cm=!Cu"</f>
        <v>#REF!</v>
      </c>
      <c r="AG11" t="e">
        <f>#REF!*"$Cm=!Cv"</f>
        <v>#REF!</v>
      </c>
      <c r="AH11" t="e">
        <f>#REF!*"$Cm=!Cw"</f>
        <v>#REF!</v>
      </c>
      <c r="AI11" t="e">
        <f>#REF!*"$Cm=!Cx"</f>
        <v>#REF!</v>
      </c>
      <c r="AJ11" t="e">
        <f>#REF!*"$Cm=!Cy"</f>
        <v>#REF!</v>
      </c>
      <c r="AK11" t="e">
        <f>#REF!*"$Cm=!Cz"</f>
        <v>#REF!</v>
      </c>
      <c r="AL11" t="e">
        <f>#REF!*"$Cm=!C{"</f>
        <v>#REF!</v>
      </c>
      <c r="AM11" t="e">
        <f>#REF!*"$Cm=!C|"</f>
        <v>#REF!</v>
      </c>
      <c r="AN11" t="e">
        <f>#REF!*"$Cm=!C}"</f>
        <v>#REF!</v>
      </c>
      <c r="AO11" t="e">
        <f>#REF!*"$Cm=!C~"</f>
        <v>#REF!</v>
      </c>
      <c r="AP11" t="e">
        <f>#REF!*"$Cm=!D#"</f>
        <v>#REF!</v>
      </c>
      <c r="AQ11" t="e">
        <f>#REF!*"$Cm=!D$"</f>
        <v>#REF!</v>
      </c>
      <c r="AR11" t="e">
        <f>#REF!*"$Cm=!D%"</f>
        <v>#REF!</v>
      </c>
      <c r="AS11" t="e">
        <f>#REF!*"$Cm=!D&amp;"</f>
        <v>#REF!</v>
      </c>
      <c r="AT11" t="e">
        <f>#REF!*"$Cm=!D'"</f>
        <v>#REF!</v>
      </c>
      <c r="AU11" t="e">
        <f>#REF!*"$Cm=!D("</f>
        <v>#REF!</v>
      </c>
      <c r="AV11" t="e">
        <f>#REF!*"$Cm=!D)"</f>
        <v>#REF!</v>
      </c>
      <c r="AW11" t="e">
        <f>#REF!*"$Cm=!D."</f>
        <v>#REF!</v>
      </c>
      <c r="AX11" t="e">
        <f>#REF!*"$Cm=!D/"</f>
        <v>#REF!</v>
      </c>
      <c r="AY11" t="e">
        <f>#REF!*"$Cm=!D0"</f>
        <v>#REF!</v>
      </c>
      <c r="AZ11" t="e">
        <f>#REF!*"$Cm=!D1"</f>
        <v>#REF!</v>
      </c>
      <c r="BA11" t="e">
        <f>#REF!*"$Cm=!D2"</f>
        <v>#REF!</v>
      </c>
      <c r="BB11" t="e">
        <f>#REF!*"$Cm=!D3"</f>
        <v>#REF!</v>
      </c>
      <c r="BC11" t="e">
        <f>#REF!*"$Cm=!D4"</f>
        <v>#REF!</v>
      </c>
      <c r="BD11" t="e">
        <f>#REF!*"$Cm=!D5"</f>
        <v>#REF!</v>
      </c>
      <c r="BE11" t="e">
        <f>#REF!*"$Cm=!D6"</f>
        <v>#REF!</v>
      </c>
      <c r="BF11" t="e">
        <f>#REF!*"$Cm=!D7"</f>
        <v>#REF!</v>
      </c>
      <c r="BG11" t="e">
        <f>#REF!*"$Cm=!D8"</f>
        <v>#REF!</v>
      </c>
      <c r="BH11" t="e">
        <f>#REF!*"$Cm=!D9"</f>
        <v>#REF!</v>
      </c>
      <c r="BI11" t="e">
        <f>#REF!*"$Cm=!D:"</f>
        <v>#REF!</v>
      </c>
      <c r="BJ11" t="e">
        <f>#REF!*"$Cm=!D;"</f>
        <v>#REF!</v>
      </c>
      <c r="BK11" t="e">
        <f>#REF!*"$Cm=!D&lt;"</f>
        <v>#REF!</v>
      </c>
      <c r="BL11" t="e">
        <f>#REF!*"$Cm=!D="</f>
        <v>#REF!</v>
      </c>
      <c r="BM11" t="e">
        <f>#REF!*"$Cm=!D&gt;"</f>
        <v>#REF!</v>
      </c>
      <c r="BN11" t="e">
        <f>#REF!*"$Cm=!D?"</f>
        <v>#REF!</v>
      </c>
      <c r="BO11" t="e">
        <f>#REF!*"$Cm=!D@"</f>
        <v>#REF!</v>
      </c>
      <c r="BP11" t="e">
        <f>#REF!*"$Cm=!DA"</f>
        <v>#REF!</v>
      </c>
      <c r="BQ11" t="e">
        <f>#REF!*"$Cm=!DB"</f>
        <v>#REF!</v>
      </c>
      <c r="BR11" t="e">
        <f>#REF!*"$Cm=!DC"</f>
        <v>#REF!</v>
      </c>
      <c r="BS11" t="e">
        <f>#REF!*"$Cm=!DD"</f>
        <v>#REF!</v>
      </c>
      <c r="BT11" t="e">
        <f>#REF!*"$Cm=!DE"</f>
        <v>#REF!</v>
      </c>
      <c r="BU11" t="e">
        <f>#REF!*"$Cm=!DF"</f>
        <v>#REF!</v>
      </c>
      <c r="BV11" t="e">
        <f>#REF!*"$Cm=!DG"</f>
        <v>#REF!</v>
      </c>
      <c r="BW11" t="e">
        <f>#REF!*"$Cm=!DH"</f>
        <v>#REF!</v>
      </c>
      <c r="BX11" t="e">
        <f>#REF!*"$Cm=!DI"</f>
        <v>#REF!</v>
      </c>
      <c r="BY11" t="e">
        <f>#REF!*"$Cm=!DJ"</f>
        <v>#REF!</v>
      </c>
      <c r="BZ11" t="e">
        <f>#REF!*"$Cm=!DK"</f>
        <v>#REF!</v>
      </c>
      <c r="CA11" t="e">
        <f>#REF!*"$Cm=!DL"</f>
        <v>#REF!</v>
      </c>
      <c r="CB11" t="e">
        <f>#REF!*"$Cm=!DM"</f>
        <v>#REF!</v>
      </c>
      <c r="CC11" t="e">
        <f>#REF!*"$Cm=!DN"</f>
        <v>#REF!</v>
      </c>
      <c r="CD11" t="e">
        <f>#REF!*"$Cm=!DO"</f>
        <v>#REF!</v>
      </c>
      <c r="CE11" t="e">
        <f>#REF!*"$Cm=!DP"</f>
        <v>#REF!</v>
      </c>
      <c r="CF11" t="e">
        <f>#REF!*"$Cm=!DQ"</f>
        <v>#REF!</v>
      </c>
      <c r="CG11" t="e">
        <f>#REF!*"$Cm=!DR"</f>
        <v>#REF!</v>
      </c>
      <c r="CH11" t="e">
        <f>#REF!*"$Cm=!DS"</f>
        <v>#REF!</v>
      </c>
      <c r="CI11" t="e">
        <f>#REF!*"$Cm=!DT"</f>
        <v>#REF!</v>
      </c>
      <c r="CJ11" t="e">
        <f>#REF!*"$Cm=!DU"</f>
        <v>#REF!</v>
      </c>
      <c r="CK11" t="e">
        <f>#REF!*"$Cm=!DV"</f>
        <v>#REF!</v>
      </c>
      <c r="CL11" t="e">
        <f>#REF!*"$Cm=!DW"</f>
        <v>#REF!</v>
      </c>
      <c r="CM11" t="e">
        <f>#REF!*"$Cm=!DX"</f>
        <v>#REF!</v>
      </c>
      <c r="CN11" t="e">
        <f>#REF!*"$Cm=!DY"</f>
        <v>#REF!</v>
      </c>
      <c r="CO11" t="e">
        <f>#REF!*"$Cm=!DZ"</f>
        <v>#REF!</v>
      </c>
      <c r="CP11" t="e">
        <f>#REF!*"$Cm=!D["</f>
        <v>#REF!</v>
      </c>
      <c r="CQ11" t="e">
        <f>#REF!*"$Cm=!D\"</f>
        <v>#REF!</v>
      </c>
      <c r="CR11" t="e">
        <f>#REF!*"$Cm=!D]"</f>
        <v>#REF!</v>
      </c>
      <c r="CS11" t="e">
        <f>#REF!*"$Cm=!D^"</f>
        <v>#REF!</v>
      </c>
      <c r="CT11" t="e">
        <f>#REF!*"$Cm=!D_"</f>
        <v>#REF!</v>
      </c>
      <c r="CU11" t="e">
        <f>#REF!*"$Cm=!D`"</f>
        <v>#REF!</v>
      </c>
      <c r="CV11" t="e">
        <f>#REF!*"$Cm=!Da"</f>
        <v>#REF!</v>
      </c>
      <c r="CW11" t="e">
        <f>#REF!*"$Cm=!Db"</f>
        <v>#REF!</v>
      </c>
      <c r="CX11" t="e">
        <f>#REF!*"$Cm=!Dc"</f>
        <v>#REF!</v>
      </c>
      <c r="CY11" t="e">
        <f>#REF!*"$Cm=!Dd"</f>
        <v>#REF!</v>
      </c>
      <c r="CZ11" t="e">
        <f>#REF!*"$Cm=!De"</f>
        <v>#REF!</v>
      </c>
      <c r="DA11" t="e">
        <f>#REF!*"$Cm=!Df"</f>
        <v>#REF!</v>
      </c>
      <c r="DB11" t="e">
        <f>#REF!*"$Cm=!Dg"</f>
        <v>#REF!</v>
      </c>
      <c r="DC11" t="e">
        <f>#REF!*"$Cm=!Dh"</f>
        <v>#REF!</v>
      </c>
      <c r="DD11" t="e">
        <f>#REF!*"$Cm=!Di"</f>
        <v>#REF!</v>
      </c>
      <c r="DE11" t="e">
        <f>#REF!*"$Cm=!Dj"</f>
        <v>#REF!</v>
      </c>
      <c r="DF11" t="e">
        <f>#REF!*"$Cm=!Dk"</f>
        <v>#REF!</v>
      </c>
      <c r="DG11" t="e">
        <f>#REF!*"$Cm=!Dl"</f>
        <v>#REF!</v>
      </c>
      <c r="DH11" t="e">
        <f>#REF!*"$Cm=!Dm"</f>
        <v>#REF!</v>
      </c>
      <c r="DI11" t="e">
        <f>#REF!*"$Cm=!Dn"</f>
        <v>#REF!</v>
      </c>
      <c r="DJ11" t="e">
        <f>#REF!*"$Cm=!Do"</f>
        <v>#REF!</v>
      </c>
      <c r="DK11" t="e">
        <f>#REF!*"$Cm=!Dp"</f>
        <v>#REF!</v>
      </c>
      <c r="DL11" t="e">
        <f>#REF!*"$Cm=!Dq"</f>
        <v>#REF!</v>
      </c>
      <c r="DM11" t="e">
        <f>#REF!*"$Cm=!Dr"</f>
        <v>#REF!</v>
      </c>
      <c r="DN11" t="e">
        <f>#REF!*"$Cm=!Ds"</f>
        <v>#REF!</v>
      </c>
      <c r="DO11" t="e">
        <f>#REF!*"$Cm=!Dt"</f>
        <v>#REF!</v>
      </c>
      <c r="DP11" t="e">
        <f>#REF!*"$Cm=!Du"</f>
        <v>#REF!</v>
      </c>
      <c r="DQ11" t="e">
        <f>#REF!*"$Cm=!Dv"</f>
        <v>#REF!</v>
      </c>
      <c r="DR11" t="e">
        <f>#REF!*"$Cm=!Dw"</f>
        <v>#REF!</v>
      </c>
      <c r="DS11" t="e">
        <f>#REF!*"$Cm=!Dx"</f>
        <v>#REF!</v>
      </c>
      <c r="DT11" t="e">
        <f>#REF!*"$Cm=!Dy"</f>
        <v>#REF!</v>
      </c>
      <c r="DU11" t="e">
        <f>#REF!*"$Cm=!Dz"</f>
        <v>#REF!</v>
      </c>
      <c r="DV11" t="e">
        <f>#REF!*"$Cm=!D{"</f>
        <v>#REF!</v>
      </c>
      <c r="DW11" t="e">
        <f>#REF!*"$Cm=!D|"</f>
        <v>#REF!</v>
      </c>
      <c r="DX11" t="e">
        <f>#REF!*"$Cm=!D}"</f>
        <v>#REF!</v>
      </c>
      <c r="DY11" t="e">
        <f>#REF!*"$Cm=!D~"</f>
        <v>#REF!</v>
      </c>
      <c r="DZ11" t="e">
        <f>#REF!*"$Cm=!E#"</f>
        <v>#REF!</v>
      </c>
      <c r="EA11" t="e">
        <f>#REF!*"$Cm=!E$"</f>
        <v>#REF!</v>
      </c>
      <c r="EB11" t="e">
        <f>#REF!*"$Cm=!E%"</f>
        <v>#REF!</v>
      </c>
      <c r="EC11" t="e">
        <f>#REF!*"$Cm=!E&amp;"</f>
        <v>#REF!</v>
      </c>
      <c r="ED11" t="e">
        <f>#REF!*"$Cm=!E'"</f>
        <v>#REF!</v>
      </c>
      <c r="EE11" t="e">
        <f>#REF!*"$Cm=!E("</f>
        <v>#REF!</v>
      </c>
      <c r="EF11" t="e">
        <f>#REF!*"$Cm=!E)"</f>
        <v>#REF!</v>
      </c>
      <c r="EG11" t="e">
        <f>#REF!*"$Cm=!E."</f>
        <v>#REF!</v>
      </c>
      <c r="EH11" t="e">
        <f>#REF!*"$Cm=!E/"</f>
        <v>#REF!</v>
      </c>
      <c r="EI11" t="e">
        <f>#REF!*"$Cm=!E0"</f>
        <v>#REF!</v>
      </c>
      <c r="EJ11" t="e">
        <f>#REF!*"$Cm=!E1"</f>
        <v>#REF!</v>
      </c>
      <c r="EK11" t="e">
        <f>#REF!*"$Cm=!E2"</f>
        <v>#REF!</v>
      </c>
      <c r="EL11" t="e">
        <f>#REF!*"$Cm=!E3"</f>
        <v>#REF!</v>
      </c>
      <c r="EM11" t="e">
        <f>#REF!*"$Cm=!E4"</f>
        <v>#REF!</v>
      </c>
      <c r="EN11" t="e">
        <f>#REF!*"$Cm=!E5"</f>
        <v>#REF!</v>
      </c>
      <c r="EO11" t="e">
        <f>#REF!*"$Cm=!E6"</f>
        <v>#REF!</v>
      </c>
      <c r="EP11" t="e">
        <f>#REF!*"$Cm=!E7"</f>
        <v>#REF!</v>
      </c>
      <c r="EQ11" t="e">
        <f>#REF!*"$Cm=!E8"</f>
        <v>#REF!</v>
      </c>
      <c r="ER11" t="e">
        <f>#REF!*"$Cm=!E9"</f>
        <v>#REF!</v>
      </c>
      <c r="ES11" t="e">
        <f>#REF!*"$Cm=!E:"</f>
        <v>#REF!</v>
      </c>
      <c r="ET11" t="e">
        <f>#REF!*"$Cm=!E;"</f>
        <v>#REF!</v>
      </c>
      <c r="EU11" t="e">
        <f>#REF!*"$Cm=!E&lt;"</f>
        <v>#REF!</v>
      </c>
      <c r="EV11" t="e">
        <f>#REF!*"$Cm=!E="</f>
        <v>#REF!</v>
      </c>
      <c r="EW11" t="e">
        <f>#REF!*"$Cm=!E&gt;"</f>
        <v>#REF!</v>
      </c>
      <c r="EX11" t="e">
        <f>#REF!*"$Cm=!E?"</f>
        <v>#REF!</v>
      </c>
      <c r="EY11" t="e">
        <f>#REF!*"$Cm=!E@"</f>
        <v>#REF!</v>
      </c>
      <c r="EZ11" t="e">
        <f>#REF!*"$Cm=!EA"</f>
        <v>#REF!</v>
      </c>
      <c r="FA11" t="e">
        <f>#REF!*"$Cm=!EB"</f>
        <v>#REF!</v>
      </c>
      <c r="FB11" t="e">
        <f>#REF!*"$Cm=!EC"</f>
        <v>#REF!</v>
      </c>
      <c r="FC11" t="e">
        <f>#REF!*"$Cm=!ED"</f>
        <v>#REF!</v>
      </c>
      <c r="FD11" t="e">
        <f>#REF!*"$Cm=!EE"</f>
        <v>#REF!</v>
      </c>
      <c r="FE11" t="e">
        <f>#REF!*"$Cm=!EF"</f>
        <v>#REF!</v>
      </c>
      <c r="FF11" t="e">
        <f>#REF!*"$Cm=!EG"</f>
        <v>#REF!</v>
      </c>
      <c r="FG11" t="e">
        <f>#REF!*"$Cm=!EH"</f>
        <v>#REF!</v>
      </c>
      <c r="FH11" t="e">
        <f>#REF!*"$Cm=!EI"</f>
        <v>#REF!</v>
      </c>
      <c r="FI11" t="e">
        <f>#REF!*"$Cm=!EJ"</f>
        <v>#REF!</v>
      </c>
      <c r="FJ11" t="e">
        <f>#REF!*"$Cm=!EK"</f>
        <v>#REF!</v>
      </c>
      <c r="FK11" t="e">
        <f>#REF!*"$Cm=!EL"</f>
        <v>#REF!</v>
      </c>
      <c r="FL11" t="e">
        <f>#REF!*"$Cm=!EM"</f>
        <v>#REF!</v>
      </c>
      <c r="FM11" t="e">
        <f>#REF!*"$Cm=!EN"</f>
        <v>#REF!</v>
      </c>
      <c r="FN11" t="e">
        <f>#REF!*"$Cm=!EO"</f>
        <v>#REF!</v>
      </c>
      <c r="FO11" t="e">
        <f>#REF!*"$Cm=!EP"</f>
        <v>#REF!</v>
      </c>
      <c r="FP11" t="e">
        <f>#REF!*"$Cm=!EQ"</f>
        <v>#REF!</v>
      </c>
      <c r="FQ11" t="e">
        <f>#REF!*"$Cm=!ER"</f>
        <v>#REF!</v>
      </c>
      <c r="FR11" t="e">
        <f>#REF!*"$Cm=!ES"</f>
        <v>#REF!</v>
      </c>
      <c r="FS11" t="e">
        <f>#REF!*"$Cm=!ET"</f>
        <v>#REF!</v>
      </c>
      <c r="FT11" t="e">
        <f>#REF!*"$Cm=!EU"</f>
        <v>#REF!</v>
      </c>
      <c r="FU11" t="e">
        <f>#REF!*"$Cm=!EV"</f>
        <v>#REF!</v>
      </c>
      <c r="FV11" t="e">
        <f>#REF!*"$Cm=!EW"</f>
        <v>#REF!</v>
      </c>
      <c r="FW11" t="e">
        <f>#REF!*"$Cm=!EX"</f>
        <v>#REF!</v>
      </c>
      <c r="FX11" t="e">
        <f>#REF!*"$Cm=!EY"</f>
        <v>#REF!</v>
      </c>
      <c r="FY11" t="e">
        <f>#REF!*"$Cm=!EZ"</f>
        <v>#REF!</v>
      </c>
      <c r="FZ11" t="e">
        <f>#REF!*"$Cm=!E["</f>
        <v>#REF!</v>
      </c>
      <c r="GA11" t="e">
        <f>#REF!*"$Cm=!E\"</f>
        <v>#REF!</v>
      </c>
      <c r="GB11" t="e">
        <f>#REF!*"$Cm=!E]"</f>
        <v>#REF!</v>
      </c>
      <c r="GC11" t="e">
        <f>#REF!*"$Cm=!E^"</f>
        <v>#REF!</v>
      </c>
      <c r="GD11" t="e">
        <f>#REF!*"$Cm=!E_"</f>
        <v>#REF!</v>
      </c>
      <c r="GE11" t="e">
        <f>#REF!*"$Cm=!E`"</f>
        <v>#REF!</v>
      </c>
      <c r="GF11" t="e">
        <f>#REF!*"$Cm=!Ea"</f>
        <v>#REF!</v>
      </c>
      <c r="GG11" t="e">
        <f>#REF!*"$Cm=!Eb"</f>
        <v>#REF!</v>
      </c>
      <c r="GH11" t="e">
        <f>#REF!*"$Cm=!Ec"</f>
        <v>#REF!</v>
      </c>
      <c r="GI11" t="e">
        <f>#REF!*"$Cm=!Ed"</f>
        <v>#REF!</v>
      </c>
      <c r="GJ11" t="e">
        <f>#REF!*"$Cm=!Ee"</f>
        <v>#REF!</v>
      </c>
      <c r="GK11" t="e">
        <f>#REF!*"$Cm=!Ef"</f>
        <v>#REF!</v>
      </c>
      <c r="GL11" t="e">
        <f>#REF!*"$Cm=!Eg"</f>
        <v>#REF!</v>
      </c>
      <c r="GM11" t="e">
        <f>#REF!*"$Cm=!Eh"</f>
        <v>#REF!</v>
      </c>
      <c r="GN11" t="e">
        <f>#REF!*"$Cm=!Ei"</f>
        <v>#REF!</v>
      </c>
      <c r="GO11" t="e">
        <f>#REF!*"$Cm=!Ej"</f>
        <v>#REF!</v>
      </c>
      <c r="GP11" t="e">
        <f>#REF!*"$Cm=!Ek"</f>
        <v>#REF!</v>
      </c>
      <c r="GQ11" t="e">
        <f>#REF!*"$Cm=!El"</f>
        <v>#REF!</v>
      </c>
      <c r="GR11" t="e">
        <f>#REF!*"$Cm=!Em"</f>
        <v>#REF!</v>
      </c>
      <c r="GS11" t="e">
        <f>#REF!*"$Cm=!En"</f>
        <v>#REF!</v>
      </c>
      <c r="GT11" t="e">
        <f>#REF!*"$Cm=!Eo"</f>
        <v>#REF!</v>
      </c>
      <c r="GU11" t="e">
        <f>#REF!*"$Cm=!Ep"</f>
        <v>#REF!</v>
      </c>
      <c r="GV11" t="e">
        <f>#REF!*"$Cm=!Eq"</f>
        <v>#REF!</v>
      </c>
      <c r="GW11" t="e">
        <f>#REF!*"$Cm=!Er"</f>
        <v>#REF!</v>
      </c>
      <c r="GX11" t="e">
        <f>#REF!*"$Cm=!Es"</f>
        <v>#REF!</v>
      </c>
      <c r="GY11" t="e">
        <f>#REF!*"$Cm=!Et"</f>
        <v>#REF!</v>
      </c>
      <c r="GZ11" t="e">
        <f>#REF!*"$Cm=!Eu"</f>
        <v>#REF!</v>
      </c>
      <c r="HA11" t="e">
        <f>#REF!*"$Cm=!Ev"</f>
        <v>#REF!</v>
      </c>
      <c r="HB11" t="e">
        <f>#REF!*"$Cm=!Ew"</f>
        <v>#REF!</v>
      </c>
      <c r="HC11" t="e">
        <f>#REF!*"$Cm=!Ex"</f>
        <v>#REF!</v>
      </c>
      <c r="HD11" t="e">
        <f>#REF!*"$Cm=!Ey"</f>
        <v>#REF!</v>
      </c>
      <c r="HE11" t="e">
        <f>#REF!*"$Cm=!Ez"</f>
        <v>#REF!</v>
      </c>
      <c r="HF11" t="e">
        <f>#REF!*"$Cm=!E{"</f>
        <v>#REF!</v>
      </c>
      <c r="HG11" t="e">
        <f>#REF!*"$Cm=!E|"</f>
        <v>#REF!</v>
      </c>
      <c r="HH11" t="e">
        <f>#REF!*"$Cm=!E}"</f>
        <v>#REF!</v>
      </c>
      <c r="HI11" t="e">
        <f>#REF!*"$Cm=!E~"</f>
        <v>#REF!</v>
      </c>
      <c r="HJ11" t="e">
        <f>#REF!*"$Cm=!F#"</f>
        <v>#REF!</v>
      </c>
      <c r="HK11" t="e">
        <f>#REF!*"$Cm=!F$"</f>
        <v>#REF!</v>
      </c>
      <c r="HL11" t="e">
        <f>#REF!*"$Cm=!F%"</f>
        <v>#REF!</v>
      </c>
      <c r="HM11" t="e">
        <f>#REF!*"$Cm=!F&amp;"</f>
        <v>#REF!</v>
      </c>
      <c r="HN11" t="e">
        <f>#REF!*"$Cm=!F'"</f>
        <v>#REF!</v>
      </c>
      <c r="HO11" t="e">
        <f>#REF!*"$Cm=!F("</f>
        <v>#REF!</v>
      </c>
      <c r="HP11" t="e">
        <f>#REF!*"$Cm=!F)"</f>
        <v>#REF!</v>
      </c>
      <c r="HQ11" t="e">
        <f>#REF!*"$Cm=!F."</f>
        <v>#REF!</v>
      </c>
      <c r="HR11" t="e">
        <f>#REF!*"$Cm=!F/"</f>
        <v>#REF!</v>
      </c>
      <c r="HS11" t="e">
        <f>#REF!*"$Cm=!F0"</f>
        <v>#REF!</v>
      </c>
      <c r="HT11" t="e">
        <f>#REF!*"$Cm=!F1"</f>
        <v>#REF!</v>
      </c>
      <c r="HU11" t="e">
        <f>#REF!*"$Cm=!F2"</f>
        <v>#REF!</v>
      </c>
      <c r="HV11" t="e">
        <f>#REF!*"$Cm=!F3"</f>
        <v>#REF!</v>
      </c>
      <c r="HW11" t="e">
        <f>#REF!*"$Cm=!F4"</f>
        <v>#REF!</v>
      </c>
      <c r="HX11" t="e">
        <f>#REF!*"$Cm=!F5"</f>
        <v>#REF!</v>
      </c>
      <c r="HY11" t="e">
        <f>#REF!*"$Cm=!F6"</f>
        <v>#REF!</v>
      </c>
      <c r="HZ11" t="e">
        <f>#REF!*"$Cm=!F7"</f>
        <v>#REF!</v>
      </c>
      <c r="IA11" t="e">
        <f>#REF!*"$Cm=!F8"</f>
        <v>#REF!</v>
      </c>
      <c r="IB11" t="e">
        <f>#REF!*"$Cm=!F9"</f>
        <v>#REF!</v>
      </c>
      <c r="IC11" t="e">
        <f>#REF!*"$Cm=!F:"</f>
        <v>#REF!</v>
      </c>
      <c r="ID11" t="e">
        <f>#REF!*"$Cm=!F;"</f>
        <v>#REF!</v>
      </c>
      <c r="IE11" t="e">
        <f>#REF!*"$Cm=!F&lt;"</f>
        <v>#REF!</v>
      </c>
      <c r="IF11" t="e">
        <f>#REF!*"$Cm=!F="</f>
        <v>#REF!</v>
      </c>
      <c r="IG11" t="e">
        <f>#REF!*"$Cm=!F&gt;"</f>
        <v>#REF!</v>
      </c>
      <c r="IH11" t="e">
        <f>#REF!*"$Cm=!F?"</f>
        <v>#REF!</v>
      </c>
      <c r="II11" t="e">
        <f>#REF!*"$Cm=!F@"</f>
        <v>#REF!</v>
      </c>
      <c r="IJ11" t="e">
        <f>#REF!*"$Cm=!FA"</f>
        <v>#REF!</v>
      </c>
      <c r="IK11" t="e">
        <f>#REF!*"$Cm=!FB"</f>
        <v>#REF!</v>
      </c>
      <c r="IL11" t="e">
        <f>#REF!*"$Cm=!FC"</f>
        <v>#REF!</v>
      </c>
      <c r="IM11" t="e">
        <f>#REF!*"$Cm=!FD"</f>
        <v>#REF!</v>
      </c>
      <c r="IN11" t="e">
        <f>#REF!*"$Cm=!FE"</f>
        <v>#REF!</v>
      </c>
      <c r="IO11" t="e">
        <f>#REF!*"$Cm=!FF"</f>
        <v>#REF!</v>
      </c>
      <c r="IP11" t="e">
        <f>#REF!*"$Cm=!FG"</f>
        <v>#REF!</v>
      </c>
      <c r="IQ11" t="e">
        <f>#REF!*"$Cm=!FH"</f>
        <v>#REF!</v>
      </c>
      <c r="IR11" t="e">
        <f>#REF!*"$Cm=!FI"</f>
        <v>#REF!</v>
      </c>
      <c r="IS11" t="e">
        <f>#REF!*"$Cm=!FJ"</f>
        <v>#REF!</v>
      </c>
      <c r="IT11" t="e">
        <f>#REF!*"$Cm=!FK"</f>
        <v>#REF!</v>
      </c>
      <c r="IU11" t="e">
        <f>#REF!*"$Cm=!FL"</f>
        <v>#REF!</v>
      </c>
      <c r="IV11" t="e">
        <f>#REF!*"$Cm=!FM"</f>
        <v>#REF!</v>
      </c>
    </row>
    <row r="12" spans="1:256">
      <c r="F12" t="e">
        <f>#REF!*"$Cm=!FN"</f>
        <v>#REF!</v>
      </c>
      <c r="G12" t="e">
        <f>#REF!*"$Cm=!FO"</f>
        <v>#REF!</v>
      </c>
      <c r="H12" t="e">
        <f>#REF!*"$Cm=!FP"</f>
        <v>#REF!</v>
      </c>
      <c r="I12" t="e">
        <f>#REF!*"$Cm=!FQ"</f>
        <v>#REF!</v>
      </c>
      <c r="J12" t="e">
        <f>#REF!*"$Cm=!FR"</f>
        <v>#REF!</v>
      </c>
      <c r="K12" t="e">
        <f>#REF!*"$Cm=!FS"</f>
        <v>#REF!</v>
      </c>
      <c r="L12" t="e">
        <f>#REF!*"$Cm=!FT"</f>
        <v>#REF!</v>
      </c>
      <c r="M12" t="e">
        <f>#REF!*"$Cm=!FU"</f>
        <v>#REF!</v>
      </c>
      <c r="N12" t="e">
        <f>#REF!*"$Cm=!FV"</f>
        <v>#REF!</v>
      </c>
      <c r="O12" t="e">
        <f>#REF!*"$Cm=!FW"</f>
        <v>#REF!</v>
      </c>
      <c r="P12" t="e">
        <f>#REF!*"$Cm=!FX"</f>
        <v>#REF!</v>
      </c>
      <c r="Q12" t="e">
        <f>#REF!*"$Cm=!FY"</f>
        <v>#REF!</v>
      </c>
      <c r="R12" t="e">
        <f>#REF!*"$Cm=!FZ"</f>
        <v>#REF!</v>
      </c>
      <c r="S12" t="e">
        <f>#REF!*"$Cm=!F["</f>
        <v>#REF!</v>
      </c>
      <c r="T12" t="e">
        <f>#REF!*"$Cm=!F\"</f>
        <v>#REF!</v>
      </c>
      <c r="U12" t="e">
        <f>#REF!*"$Cm=!F]"</f>
        <v>#REF!</v>
      </c>
      <c r="V12" t="e">
        <f>#REF!*"$Cm=!F^"</f>
        <v>#REF!</v>
      </c>
      <c r="W12" t="e">
        <f>#REF!*"$Cm=!F_"</f>
        <v>#REF!</v>
      </c>
      <c r="X12" t="e">
        <f>#REF!*"$Cm=!F`"</f>
        <v>#REF!</v>
      </c>
      <c r="Y12" t="e">
        <f>#REF!*"$Cm=!Fa"</f>
        <v>#REF!</v>
      </c>
      <c r="Z12" t="e">
        <f>#REF!*"$Cm=!Fb"</f>
        <v>#REF!</v>
      </c>
      <c r="AA12" t="e">
        <f>#REF!*"$Cm=!Fc"</f>
        <v>#REF!</v>
      </c>
      <c r="AB12" t="e">
        <f>#REF!*"$Cm=!Fd"</f>
        <v>#REF!</v>
      </c>
      <c r="AC12" t="e">
        <f>#REF!*"$Cm=!Fe"</f>
        <v>#REF!</v>
      </c>
      <c r="AD12" t="e">
        <f>#REF!*"$Cm=!Ff"</f>
        <v>#REF!</v>
      </c>
      <c r="AE12" t="e">
        <f>#REF!*"$Cm=!Fg"</f>
        <v>#REF!</v>
      </c>
      <c r="AF12" t="e">
        <f>#REF!*"$Cm=!Fh"</f>
        <v>#REF!</v>
      </c>
      <c r="AG12" t="e">
        <f>#REF!*"$Cm=!Fi"</f>
        <v>#REF!</v>
      </c>
      <c r="AH12" t="e">
        <f>#REF!*"$Cm=!Fj"</f>
        <v>#REF!</v>
      </c>
      <c r="AI12" t="e">
        <f>#REF!*"$Cm=!Fk"</f>
        <v>#REF!</v>
      </c>
      <c r="AJ12" t="e">
        <f>#REF!*"$Cm=!Fl"</f>
        <v>#REF!</v>
      </c>
      <c r="AK12" t="e">
        <f>#REF!*"$Cm=!Fm"</f>
        <v>#REF!</v>
      </c>
      <c r="AL12" t="e">
        <f>#REF!*"$Cm=!Fn"</f>
        <v>#REF!</v>
      </c>
      <c r="AM12" t="e">
        <f>#REF!*"$Cm=!Fo"</f>
        <v>#REF!</v>
      </c>
      <c r="AN12" t="e">
        <f>#REF!*"$Cm=!Fp"</f>
        <v>#REF!</v>
      </c>
      <c r="AO12" t="e">
        <f>#REF!*"$Cm=!Fq"</f>
        <v>#REF!</v>
      </c>
      <c r="AP12" t="e">
        <f>#REF!*"$Cm=!Fr"</f>
        <v>#REF!</v>
      </c>
      <c r="AQ12" t="e">
        <f>#REF!*"$Cm=!Fs"</f>
        <v>#REF!</v>
      </c>
      <c r="AR12" t="e">
        <f>#REF!*"$Cm=!Ft"</f>
        <v>#REF!</v>
      </c>
      <c r="AS12" t="e">
        <f>#REF!*"$Cm=!Fu"</f>
        <v>#REF!</v>
      </c>
      <c r="AT12" t="e">
        <f>#REF!*"$Cm=!Fv"</f>
        <v>#REF!</v>
      </c>
      <c r="AU12" t="e">
        <f>#REF!*"$Cm=!Fw"</f>
        <v>#REF!</v>
      </c>
      <c r="AV12" t="e">
        <f>#REF!*"$Cm=!Fx"</f>
        <v>#REF!</v>
      </c>
      <c r="AW12" t="e">
        <f>#REF!*"$Cm=!Fy"</f>
        <v>#REF!</v>
      </c>
      <c r="AX12" t="e">
        <f>#REF!*"$Cm=!Fz"</f>
        <v>#REF!</v>
      </c>
      <c r="AY12" t="e">
        <f>#REF!*"$Cm=!F{"</f>
        <v>#REF!</v>
      </c>
      <c r="AZ12" t="e">
        <f>#REF!*"$Cm=!F|"</f>
        <v>#REF!</v>
      </c>
      <c r="BA12" t="e">
        <f>#REF!*"$Cm=!F}"</f>
        <v>#REF!</v>
      </c>
      <c r="BB12" t="e">
        <f>#REF!*"$Cm=!F~"</f>
        <v>#REF!</v>
      </c>
      <c r="BC12" t="e">
        <f>#REF!*"$Cm=!G#"</f>
        <v>#REF!</v>
      </c>
      <c r="BD12" t="e">
        <f>#REF!*"$Cm=!G$"</f>
        <v>#REF!</v>
      </c>
      <c r="BE12" t="e">
        <f>#REF!*"$Cm=!G%"</f>
        <v>#REF!</v>
      </c>
      <c r="BF12" t="e">
        <f>#REF!*"$Cm=!G&amp;"</f>
        <v>#REF!</v>
      </c>
      <c r="BG12" t="e">
        <f>#REF!*"$Cm=!G'"</f>
        <v>#REF!</v>
      </c>
      <c r="BH12" t="e">
        <f>#REF!*"$Cm=!G("</f>
        <v>#REF!</v>
      </c>
      <c r="BI12" t="e">
        <f>#REF!*"$Cm=!G)"</f>
        <v>#REF!</v>
      </c>
      <c r="BJ12" t="e">
        <f>#REF!*"$Cm=!G."</f>
        <v>#REF!</v>
      </c>
      <c r="BK12" t="e">
        <f>#REF!*"$Cm=!G/"</f>
        <v>#REF!</v>
      </c>
      <c r="BL12" t="e">
        <f>#REF!*"$Cm=!G0"</f>
        <v>#REF!</v>
      </c>
      <c r="BM12" t="e">
        <f>#REF!*"$Cm=!G1"</f>
        <v>#REF!</v>
      </c>
      <c r="BN12" t="e">
        <f>#REF!*"$Cm=!G2"</f>
        <v>#REF!</v>
      </c>
      <c r="BO12" t="e">
        <f>#REF!*"$Cm=!G3"</f>
        <v>#REF!</v>
      </c>
      <c r="BP12" t="e">
        <f>#REF!*"$Cm=!G4"</f>
        <v>#REF!</v>
      </c>
      <c r="BQ12" t="e">
        <f>#REF!*"$Cm=!G5"</f>
        <v>#REF!</v>
      </c>
      <c r="BR12" t="e">
        <f>#REF!*"$Cm=!G6"</f>
        <v>#REF!</v>
      </c>
      <c r="BS12" t="e">
        <f>#REF!*"$Cm=!G7"</f>
        <v>#REF!</v>
      </c>
      <c r="BT12" t="e">
        <f>#REF!*"$Cm=!G8"</f>
        <v>#REF!</v>
      </c>
      <c r="BU12" t="e">
        <f>#REF!*"$Cm=!G9"</f>
        <v>#REF!</v>
      </c>
      <c r="BV12" t="e">
        <f>#REF!*"$Cm=!G:"</f>
        <v>#REF!</v>
      </c>
      <c r="BW12" t="e">
        <f>#REF!*"$Cm=!G;"</f>
        <v>#REF!</v>
      </c>
      <c r="BX12" t="e">
        <f>#REF!*"$Cm=!G&lt;"</f>
        <v>#REF!</v>
      </c>
      <c r="BY12" t="e">
        <f>#REF!*"$Cm=!G="</f>
        <v>#REF!</v>
      </c>
      <c r="BZ12" t="e">
        <f>#REF!*"$Cm=!G&gt;"</f>
        <v>#REF!</v>
      </c>
      <c r="CA12" t="e">
        <f>#REF!*"$Cm=!G?"</f>
        <v>#REF!</v>
      </c>
      <c r="CB12" t="e">
        <f>#REF!*"$Cm=!G@"</f>
        <v>#REF!</v>
      </c>
      <c r="CC12" t="e">
        <f>#REF!*"$Cm=!GA"</f>
        <v>#REF!</v>
      </c>
      <c r="CD12" t="e">
        <f>#REF!*"$Cm=!GB"</f>
        <v>#REF!</v>
      </c>
      <c r="CE12" t="e">
        <f>#REF!*"$Cm=!GC"</f>
        <v>#REF!</v>
      </c>
      <c r="CF12" t="e">
        <f>#REF!*"$Cm=!GD"</f>
        <v>#REF!</v>
      </c>
      <c r="CG12" t="e">
        <f>#REF!*"$Cm=!GE"</f>
        <v>#REF!</v>
      </c>
      <c r="CH12" t="e">
        <f>#REF!*"$Cm=!GF"</f>
        <v>#REF!</v>
      </c>
      <c r="CI12" t="e">
        <f>#REF!*"$Cm=!GG"</f>
        <v>#REF!</v>
      </c>
      <c r="CJ12" t="e">
        <f>#REF!*"$Cm=!GH"</f>
        <v>#REF!</v>
      </c>
      <c r="CK12" t="e">
        <f>#REF!*"$Cm=!GI"</f>
        <v>#REF!</v>
      </c>
      <c r="CL12" t="e">
        <f>#REF!*"$Cm=!GJ"</f>
        <v>#REF!</v>
      </c>
      <c r="CM12" t="e">
        <f>#REF!*"$Cm=!GK"</f>
        <v>#REF!</v>
      </c>
      <c r="CN12" t="e">
        <f>#REF!*"$Cm=!GL"</f>
        <v>#REF!</v>
      </c>
      <c r="CO12" t="e">
        <f>#REF!*"$Cm=!GM"</f>
        <v>#REF!</v>
      </c>
      <c r="CP12" t="e">
        <f>#REF!*"$Cm=!GN"</f>
        <v>#REF!</v>
      </c>
      <c r="CQ12" t="e">
        <f>#REF!*"$Cm=!GO"</f>
        <v>#REF!</v>
      </c>
      <c r="CR12" t="e">
        <f>#REF!*"$Cm=!GP"</f>
        <v>#REF!</v>
      </c>
      <c r="CS12" t="e">
        <f>#REF!*"$Cm=!GQ"</f>
        <v>#REF!</v>
      </c>
      <c r="CT12" t="e">
        <f>#REF!*"$Cm=!GR"</f>
        <v>#REF!</v>
      </c>
      <c r="CU12" t="e">
        <f>#REF!*"$Cm=!GS"</f>
        <v>#REF!</v>
      </c>
      <c r="CV12" t="e">
        <f>#REF!*"$Cm=!GT"</f>
        <v>#REF!</v>
      </c>
      <c r="CW12" t="e">
        <f>#REF!*"$Cm=!GU"</f>
        <v>#REF!</v>
      </c>
      <c r="CX12" t="e">
        <f>#REF!*"$Cm=!GV"</f>
        <v>#REF!</v>
      </c>
      <c r="CY12" t="e">
        <f>#REF!*"$Cm=!GW"</f>
        <v>#REF!</v>
      </c>
      <c r="CZ12" t="e">
        <f>#REF!*"$Cm=!GX"</f>
        <v>#REF!</v>
      </c>
      <c r="DA12" t="e">
        <f>#REF!*"$Cm=!GY"</f>
        <v>#REF!</v>
      </c>
      <c r="DB12" t="e">
        <f>#REF!*"$Cm=!GZ"</f>
        <v>#REF!</v>
      </c>
      <c r="DC12" t="e">
        <f>#REF!*"$Cm=!G["</f>
        <v>#REF!</v>
      </c>
      <c r="DD12" t="e">
        <f>#REF!*"$Cm=!G\"</f>
        <v>#REF!</v>
      </c>
      <c r="DE12" t="e">
        <f>#REF!*"$Cm=!G]"</f>
        <v>#REF!</v>
      </c>
      <c r="DF12" t="e">
        <f>#REF!*"$Cm=!G^"</f>
        <v>#REF!</v>
      </c>
      <c r="DG12" t="e">
        <f>#REF!*"$Cm=!G_"</f>
        <v>#REF!</v>
      </c>
      <c r="DH12" t="e">
        <f>#REF!*"$Cm=!G`"</f>
        <v>#REF!</v>
      </c>
      <c r="DI12" t="e">
        <f>#REF!*"$Cm=!Ga"</f>
        <v>#REF!</v>
      </c>
      <c r="DJ12" t="e">
        <f>#REF!*"$Cm=!Gb"</f>
        <v>#REF!</v>
      </c>
      <c r="DK12" t="e">
        <f>#REF!*"$Cm=!Gc"</f>
        <v>#REF!</v>
      </c>
      <c r="DL12" t="e">
        <f>#REF!*"$Cm=!Gd"</f>
        <v>#REF!</v>
      </c>
      <c r="DM12" t="e">
        <f>#REF!*"$Cm=!Ge"</f>
        <v>#REF!</v>
      </c>
      <c r="DN12" t="e">
        <f>#REF!*"$Cm=!Gf"</f>
        <v>#REF!</v>
      </c>
      <c r="DO12" t="e">
        <f>#REF!*"$Cm=!Gg"</f>
        <v>#REF!</v>
      </c>
      <c r="DP12" t="e">
        <f>#REF!*"$Cm=!Gh"</f>
        <v>#REF!</v>
      </c>
      <c r="DQ12" t="e">
        <f>#REF!*"$Cm=!Gi"</f>
        <v>#REF!</v>
      </c>
      <c r="DR12" t="e">
        <f>#REF!*"$Cm=!Gj"</f>
        <v>#REF!</v>
      </c>
      <c r="DS12" t="e">
        <f>#REF!*"$Cm=!Gk"</f>
        <v>#REF!</v>
      </c>
      <c r="DT12" t="e">
        <f>#REF!*"$Cm=!Gl"</f>
        <v>#REF!</v>
      </c>
      <c r="DU12" t="e">
        <f>#REF!*"$Cm=!Gm"</f>
        <v>#REF!</v>
      </c>
      <c r="DV12" t="e">
        <f>#REF!*"$Cm=!Gn"</f>
        <v>#REF!</v>
      </c>
      <c r="DW12" t="e">
        <f>#REF!*"$Cm=!Go"</f>
        <v>#REF!</v>
      </c>
      <c r="DX12" t="e">
        <f>#REF!*"$Cm=!Gp"</f>
        <v>#REF!</v>
      </c>
      <c r="DY12" t="e">
        <f>#REF!*"$Cm=!Gq"</f>
        <v>#REF!</v>
      </c>
      <c r="DZ12" t="e">
        <f>#REF!*"$Cm=!Gr"</f>
        <v>#REF!</v>
      </c>
      <c r="EA12" t="e">
        <f>#REF!*"$Cm=!Gs"</f>
        <v>#REF!</v>
      </c>
      <c r="EB12" t="e">
        <f>#REF!*"$Cm=!Gt"</f>
        <v>#REF!</v>
      </c>
      <c r="EC12" t="e">
        <f>#REF!*"$Cm=!Gu"</f>
        <v>#REF!</v>
      </c>
      <c r="ED12" t="e">
        <f>#REF!*"$Cm=!Gv"</f>
        <v>#REF!</v>
      </c>
      <c r="EE12" t="e">
        <f>#REF!*"$Cm=!Gw"</f>
        <v>#REF!</v>
      </c>
      <c r="EF12" t="e">
        <f>#REF!*"$Cm=!Gx"</f>
        <v>#REF!</v>
      </c>
      <c r="EG12" t="e">
        <f>#REF!*"$Cm=!Gy"</f>
        <v>#REF!</v>
      </c>
      <c r="EH12" t="e">
        <f>#REF!*"$Cm=!Gz"</f>
        <v>#REF!</v>
      </c>
      <c r="EI12" t="e">
        <f>#REF!*"$Cm=!G{"</f>
        <v>#REF!</v>
      </c>
      <c r="EJ12" t="e">
        <f>#REF!*"$Cm=!G|"</f>
        <v>#REF!</v>
      </c>
      <c r="EK12" t="e">
        <f>#REF!*"$Cm=!G}"</f>
        <v>#REF!</v>
      </c>
      <c r="EL12" t="e">
        <f>#REF!*"$Cm=!G~"</f>
        <v>#REF!</v>
      </c>
      <c r="EM12" t="e">
        <f>#REF!*"$Cm=!H#"</f>
        <v>#REF!</v>
      </c>
      <c r="EN12" t="e">
        <f>#REF!*"$Cm=!H$"</f>
        <v>#REF!</v>
      </c>
      <c r="EO12" t="e">
        <f>#REF!*"$Cm=!H%"</f>
        <v>#REF!</v>
      </c>
      <c r="EP12" t="e">
        <f>#REF!*"$Cm=!H&amp;"</f>
        <v>#REF!</v>
      </c>
      <c r="EQ12" t="e">
        <f>#REF!*"$Cm=!H'"</f>
        <v>#REF!</v>
      </c>
      <c r="ER12" t="e">
        <f>#REF!*"$Cm=!H("</f>
        <v>#REF!</v>
      </c>
      <c r="ES12" t="e">
        <f>#REF!*"$Cm=!H)"</f>
        <v>#REF!</v>
      </c>
      <c r="ET12" t="e">
        <f>#REF!*"$Cm=!H."</f>
        <v>#REF!</v>
      </c>
      <c r="EU12" t="e">
        <f>#REF!*"$Cm=!H/"</f>
        <v>#REF!</v>
      </c>
      <c r="EV12" t="e">
        <f>#REF!*"$Cm=!H0"</f>
        <v>#REF!</v>
      </c>
      <c r="EW12" t="e">
        <f>#REF!*"$Cm=!H1"</f>
        <v>#REF!</v>
      </c>
      <c r="EX12" t="e">
        <f>#REF!*"$Cm=!H2"</f>
        <v>#REF!</v>
      </c>
      <c r="EY12" t="e">
        <f>#REF!*"$Cm=!H3"</f>
        <v>#REF!</v>
      </c>
      <c r="EZ12" t="e">
        <f>#REF!*"$Cm=!H4"</f>
        <v>#REF!</v>
      </c>
      <c r="FA12" t="e">
        <f>#REF!*"$Cm=!H5"</f>
        <v>#REF!</v>
      </c>
      <c r="FB12" t="e">
        <f>#REF!*"$Cm=!H6"</f>
        <v>#REF!</v>
      </c>
      <c r="FC12" t="e">
        <f>#REF!*"$Cm=!H7"</f>
        <v>#REF!</v>
      </c>
      <c r="FD12" t="e">
        <f>#REF!*"$Cm=!H8"</f>
        <v>#REF!</v>
      </c>
      <c r="FE12" t="e">
        <f>#REF!*"$Cm=!H9"</f>
        <v>#REF!</v>
      </c>
      <c r="FF12" t="e">
        <f>#REF!*"$Cm=!H:"</f>
        <v>#REF!</v>
      </c>
      <c r="FG12" t="e">
        <f>#REF!*"$Cm=!H;"</f>
        <v>#REF!</v>
      </c>
      <c r="FH12" t="e">
        <f>#REF!*"$Cm=!H&lt;"</f>
        <v>#REF!</v>
      </c>
      <c r="FI12" t="e">
        <f>#REF!*"$Cm=!H="</f>
        <v>#REF!</v>
      </c>
      <c r="FJ12" t="e">
        <f>#REF!*"$Cm=!H&gt;"</f>
        <v>#REF!</v>
      </c>
      <c r="FK12" t="e">
        <f>#REF!*"$Cm=!H?"</f>
        <v>#REF!</v>
      </c>
      <c r="FL12" t="e">
        <f>#REF!*"$Cm=!H@"</f>
        <v>#REF!</v>
      </c>
      <c r="FM12" t="e">
        <f>#REF!*"$Cm=!HA"</f>
        <v>#REF!</v>
      </c>
      <c r="FN12" t="e">
        <f>#REF!*"$Cm=!HB"</f>
        <v>#REF!</v>
      </c>
      <c r="FO12" t="e">
        <f>#REF!*"$Cm=!HC"</f>
        <v>#REF!</v>
      </c>
      <c r="FP12" t="e">
        <f>#REF!*"$Cm=!HD"</f>
        <v>#REF!</v>
      </c>
      <c r="FQ12" t="e">
        <f>#REF!*"$Cm=!HE"</f>
        <v>#REF!</v>
      </c>
      <c r="FR12" t="e">
        <f>#REF!*"$Cm=!HF"</f>
        <v>#REF!</v>
      </c>
      <c r="FS12" t="e">
        <f>#REF!*"$Cm=!HG"</f>
        <v>#REF!</v>
      </c>
      <c r="FT12" t="e">
        <f>#REF!*"$Cm=!HH"</f>
        <v>#REF!</v>
      </c>
      <c r="FU12" t="e">
        <f>#REF!*"$Cm=!HI"</f>
        <v>#REF!</v>
      </c>
      <c r="FV12" t="e">
        <f>#REF!*"$Cm=!HJ"</f>
        <v>#REF!</v>
      </c>
      <c r="FW12" t="e">
        <f>#REF!*"$Cm=!HK"</f>
        <v>#REF!</v>
      </c>
      <c r="FX12" t="e">
        <f>#REF!*"$Cm=!HL"</f>
        <v>#REF!</v>
      </c>
      <c r="FY12" t="e">
        <f>#REF!*"$Cm=!HM"</f>
        <v>#REF!</v>
      </c>
      <c r="FZ12" t="e">
        <f>#REF!*"$Cm=!HN"</f>
        <v>#REF!</v>
      </c>
      <c r="GA12" t="e">
        <f>#REF!*"$Cm=!HO"</f>
        <v>#REF!</v>
      </c>
      <c r="GB12" t="e">
        <f>#REF!*"$Cm=!HP"</f>
        <v>#REF!</v>
      </c>
      <c r="GC12" t="e">
        <f>#REF!*"$Cm=!HQ"</f>
        <v>#REF!</v>
      </c>
      <c r="GD12" t="e">
        <f>#REF!*"$Cm=!HR"</f>
        <v>#REF!</v>
      </c>
      <c r="GE12" t="e">
        <f>#REF!*"$Cm=!HS"</f>
        <v>#REF!</v>
      </c>
      <c r="GF12" t="e">
        <f>#REF!*"$Cm=!HT"</f>
        <v>#REF!</v>
      </c>
      <c r="GG12" t="e">
        <f>#REF!*"$Cm=!HU"</f>
        <v>#REF!</v>
      </c>
      <c r="GH12" t="e">
        <f>#REF!*"$Cm=!HV"</f>
        <v>#REF!</v>
      </c>
      <c r="GI12" t="e">
        <f>#REF!*"$Cm=!HW"</f>
        <v>#REF!</v>
      </c>
      <c r="GJ12" t="e">
        <f>#REF!*"$Cm=!HX"</f>
        <v>#REF!</v>
      </c>
      <c r="GK12" t="e">
        <f>#REF!*"$Cm=!HY"</f>
        <v>#REF!</v>
      </c>
      <c r="GL12" t="e">
        <f>#REF!*"$Cm=!HZ"</f>
        <v>#REF!</v>
      </c>
      <c r="GM12" t="e">
        <f>#REF!*"$Cm=!H["</f>
        <v>#REF!</v>
      </c>
      <c r="GN12" t="e">
        <f>#REF!*"$Cm=!H\"</f>
        <v>#REF!</v>
      </c>
      <c r="GO12" t="e">
        <f>#REF!*"$Cm=!H]"</f>
        <v>#REF!</v>
      </c>
      <c r="GP12" t="e">
        <f>#REF!*"$Cm=!H^"</f>
        <v>#REF!</v>
      </c>
      <c r="GQ12" t="e">
        <f>#REF!*"$Cm=!H_"</f>
        <v>#REF!</v>
      </c>
      <c r="GR12" t="e">
        <f>#REF!*"$Cm=!H`"</f>
        <v>#REF!</v>
      </c>
      <c r="GS12" t="e">
        <f>#REF!*"$Cm=!Ha"</f>
        <v>#REF!</v>
      </c>
      <c r="GT12" t="e">
        <f>#REF!*"$Cm=!Hb"</f>
        <v>#REF!</v>
      </c>
      <c r="GU12" t="e">
        <f>#REF!*"$Cm=!Hc"</f>
        <v>#REF!</v>
      </c>
      <c r="GV12" t="e">
        <f>#REF!*"$Cm=!Hd"</f>
        <v>#REF!</v>
      </c>
      <c r="GW12" t="e">
        <f>#REF!*"$Cm=!He"</f>
        <v>#REF!</v>
      </c>
      <c r="GX12" t="e">
        <f>#REF!*"$Cm=!Hf"</f>
        <v>#REF!</v>
      </c>
      <c r="GY12" t="e">
        <f>#REF!*"$Cm=!Hg"</f>
        <v>#REF!</v>
      </c>
      <c r="GZ12" t="e">
        <f>#REF!*"$Cm=!Hh"</f>
        <v>#REF!</v>
      </c>
      <c r="HA12" t="e">
        <f>#REF!*"$Cm=!Hi"</f>
        <v>#REF!</v>
      </c>
      <c r="HB12" t="e">
        <f>#REF!*"$Cm=!Hj"</f>
        <v>#REF!</v>
      </c>
      <c r="HC12" t="e">
        <f>#REF!*"$Cm=!Hk"</f>
        <v>#REF!</v>
      </c>
      <c r="HD12" t="e">
        <f>#REF!*"$Cm=!Hl"</f>
        <v>#REF!</v>
      </c>
      <c r="HE12" t="e">
        <f>#REF!*"$Cm=!Hm"</f>
        <v>#REF!</v>
      </c>
      <c r="HF12" t="e">
        <f>#REF!*"$Cm=!Hn"</f>
        <v>#REF!</v>
      </c>
      <c r="HG12" t="e">
        <f>#REF!*"$Cm=!Ho"</f>
        <v>#REF!</v>
      </c>
      <c r="HH12" t="e">
        <f>#REF!*"$Cm=!Hp"</f>
        <v>#REF!</v>
      </c>
      <c r="HI12" t="e">
        <f>#REF!*"$Cm=!Hq"</f>
        <v>#REF!</v>
      </c>
      <c r="HJ12" t="e">
        <f>#REF!*"$Cm=!Hr"</f>
        <v>#REF!</v>
      </c>
      <c r="HK12" t="e">
        <f>#REF!*"$Cm=!Hs"</f>
        <v>#REF!</v>
      </c>
      <c r="HL12" t="e">
        <f>#REF!*"$Cm=!Ht"</f>
        <v>#REF!</v>
      </c>
      <c r="HM12" t="e">
        <f>#REF!*"$Cm=!Hu"</f>
        <v>#REF!</v>
      </c>
      <c r="HN12" t="e">
        <f>#REF!*"$Cm=!Hv"</f>
        <v>#REF!</v>
      </c>
      <c r="HO12" t="e">
        <f>#REF!*"$Cm=!Hw"</f>
        <v>#REF!</v>
      </c>
      <c r="HP12" t="e">
        <f>#REF!*"$Cm=!Hx"</f>
        <v>#REF!</v>
      </c>
      <c r="HQ12" t="e">
        <f>#REF!*"$Cm=!Hy"</f>
        <v>#REF!</v>
      </c>
      <c r="HR12" t="e">
        <f>#REF!*"$Cm=!Hz"</f>
        <v>#REF!</v>
      </c>
      <c r="HS12" t="e">
        <f>#REF!*"$Cm=!H{"</f>
        <v>#REF!</v>
      </c>
      <c r="HT12" t="e">
        <f>#REF!*"$Cm=!H|"</f>
        <v>#REF!</v>
      </c>
      <c r="HU12" t="e">
        <f>#REF!*"$Cm=!H}"</f>
        <v>#REF!</v>
      </c>
      <c r="HV12" t="e">
        <f>#REF!*"$Cm=!H~"</f>
        <v>#REF!</v>
      </c>
      <c r="HW12" t="e">
        <f>#REF!*"$Cm=!I#"</f>
        <v>#REF!</v>
      </c>
      <c r="HX12" t="e">
        <f>#REF!*"$Cm=!I$"</f>
        <v>#REF!</v>
      </c>
      <c r="HY12" t="e">
        <f>#REF!*"$Cm=!I%"</f>
        <v>#REF!</v>
      </c>
      <c r="HZ12" t="e">
        <f>#REF!*"$Cm=!I&amp;"</f>
        <v>#REF!</v>
      </c>
      <c r="IA12" t="e">
        <f>#REF!*"$Cm=!I'"</f>
        <v>#REF!</v>
      </c>
      <c r="IB12" t="e">
        <f>#REF!*"$Cm=!I("</f>
        <v>#REF!</v>
      </c>
      <c r="IC12" t="e">
        <f>#REF!*"$Cm=!I)"</f>
        <v>#REF!</v>
      </c>
      <c r="ID12" t="e">
        <f>#REF!*"$Cm=!I."</f>
        <v>#REF!</v>
      </c>
      <c r="IE12" t="e">
        <f>#REF!*"$Cm=!I/"</f>
        <v>#REF!</v>
      </c>
      <c r="IF12" t="e">
        <f>#REF!*"$Cm=!I0"</f>
        <v>#REF!</v>
      </c>
      <c r="IG12" t="e">
        <f>#REF!*"$Cm=!I1"</f>
        <v>#REF!</v>
      </c>
      <c r="IH12" t="e">
        <f>#REF!*"$Cm=!I2"</f>
        <v>#REF!</v>
      </c>
      <c r="II12" t="e">
        <f>#REF!*"$Cm=!I3"</f>
        <v>#REF!</v>
      </c>
      <c r="IJ12" t="e">
        <f>#REF!*"$Cm=!I4"</f>
        <v>#REF!</v>
      </c>
      <c r="IK12" t="e">
        <f>#REF!*"$Cm=!I5"</f>
        <v>#REF!</v>
      </c>
      <c r="IL12" t="e">
        <f>#REF!*"$Cm=!I6"</f>
        <v>#REF!</v>
      </c>
      <c r="IM12" t="e">
        <f>#REF!*"$Cm=!I7"</f>
        <v>#REF!</v>
      </c>
      <c r="IN12" t="e">
        <f>#REF!*"$Cm=!I8"</f>
        <v>#REF!</v>
      </c>
      <c r="IO12" t="e">
        <f>#REF!*"$Cm=!I9"</f>
        <v>#REF!</v>
      </c>
      <c r="IP12" t="e">
        <f>#REF!*"$Cm=!I:"</f>
        <v>#REF!</v>
      </c>
      <c r="IQ12" t="e">
        <f>#REF!*"$Cm=!I;"</f>
        <v>#REF!</v>
      </c>
      <c r="IR12" t="e">
        <f>#REF!*"$Cm=!I&lt;"</f>
        <v>#REF!</v>
      </c>
      <c r="IS12" t="e">
        <f>#REF!*"$Cm=!I="</f>
        <v>#REF!</v>
      </c>
      <c r="IT12" t="e">
        <f>#REF!*"$Cm=!I&gt;"</f>
        <v>#REF!</v>
      </c>
      <c r="IU12" t="e">
        <f>#REF!*"$Cm=!I?"</f>
        <v>#REF!</v>
      </c>
      <c r="IV12" t="e">
        <f>#REF!*"$Cm=!I@"</f>
        <v>#REF!</v>
      </c>
    </row>
    <row r="13" spans="1:256">
      <c r="F13" t="e">
        <f>#REF!*"$Cm=!IA"</f>
        <v>#REF!</v>
      </c>
      <c r="G13" t="e">
        <f>#REF!*"$Cm=!IB"</f>
        <v>#REF!</v>
      </c>
      <c r="H13" t="e">
        <f>#REF!*"$Cm=!IC"</f>
        <v>#REF!</v>
      </c>
      <c r="I13" t="e">
        <f>#REF!*"$Cm=!ID"</f>
        <v>#REF!</v>
      </c>
      <c r="J13" t="e">
        <f>#REF!*"$Cm=!IE"</f>
        <v>#REF!</v>
      </c>
      <c r="K13" t="e">
        <f>#REF!*"$Cm=!IF"</f>
        <v>#REF!</v>
      </c>
      <c r="L13" t="e">
        <f>#REF!*"$Cm=!IG"</f>
        <v>#REF!</v>
      </c>
      <c r="M13" t="e">
        <f>#REF!*"$Cm=!IH"</f>
        <v>#REF!</v>
      </c>
      <c r="N13" t="e">
        <f>#REF!*"$Cm=!II"</f>
        <v>#REF!</v>
      </c>
      <c r="O13" t="e">
        <f>#REF!*"$Cm=!IJ"</f>
        <v>#REF!</v>
      </c>
      <c r="P13" t="e">
        <f>#REF!*"$Cm=!IK"</f>
        <v>#REF!</v>
      </c>
      <c r="Q13" t="e">
        <f>#REF!*"$Cm=!IL"</f>
        <v>#REF!</v>
      </c>
      <c r="R13" t="e">
        <f>#REF!*"$Cm=!IM"</f>
        <v>#REF!</v>
      </c>
      <c r="S13" t="e">
        <f>#REF!*"$Cm=!IN"</f>
        <v>#REF!</v>
      </c>
      <c r="T13" t="e">
        <f>#REF!*"$Cm=!IO"</f>
        <v>#REF!</v>
      </c>
      <c r="U13" t="e">
        <f>#REF!*"$Cm=!IP"</f>
        <v>#REF!</v>
      </c>
      <c r="V13" t="e">
        <f>#REF!*"$Cm=!IQ"</f>
        <v>#REF!</v>
      </c>
      <c r="W13" t="e">
        <f>#REF!*"$Cm=!IR"</f>
        <v>#REF!</v>
      </c>
      <c r="X13" t="e">
        <f>#REF!*"$Cm=!IS"</f>
        <v>#REF!</v>
      </c>
      <c r="Y13" t="e">
        <f>#REF!*"$Cm=!IT"</f>
        <v>#REF!</v>
      </c>
      <c r="Z13" t="e">
        <f>#REF!*"$Cm=!IU"</f>
        <v>#REF!</v>
      </c>
      <c r="AA13" t="e">
        <f>#REF!*"$Cm=!IV"</f>
        <v>#REF!</v>
      </c>
      <c r="AB13" t="e">
        <f>#REF!*"$Cm=!IW"</f>
        <v>#REF!</v>
      </c>
      <c r="AC13" t="e">
        <f>#REF!*"$Cm=!IX"</f>
        <v>#REF!</v>
      </c>
      <c r="AD13" t="e">
        <f>#REF!*"$Cm=!IY"</f>
        <v>#REF!</v>
      </c>
      <c r="AE13" t="e">
        <f>#REF!*"$Cm=!IZ"</f>
        <v>#REF!</v>
      </c>
      <c r="AF13" t="e">
        <f>#REF!*"$Cm=!I["</f>
        <v>#REF!</v>
      </c>
      <c r="AG13" t="e">
        <f>#REF!*"$Cm=!I\"</f>
        <v>#REF!</v>
      </c>
      <c r="AH13" t="e">
        <f>#REF!*"$Cm=!I]"</f>
        <v>#REF!</v>
      </c>
      <c r="AI13" t="e">
        <f>#REF!*"$Cm=!I^"</f>
        <v>#REF!</v>
      </c>
      <c r="AJ13" t="e">
        <f>#REF!*"$Cm=!I_"</f>
        <v>#REF!</v>
      </c>
      <c r="AK13" t="e">
        <f>#REF!*"$Cm=!I`"</f>
        <v>#REF!</v>
      </c>
      <c r="AL13" t="e">
        <f>#REF!*"$Cm=!Ia"</f>
        <v>#REF!</v>
      </c>
      <c r="AM13" t="e">
        <f>#REF!*"$Cm=!Ib"</f>
        <v>#REF!</v>
      </c>
      <c r="AN13" t="e">
        <f>#REF!*"$Cm=!Ic"</f>
        <v>#REF!</v>
      </c>
      <c r="AO13" t="e">
        <f>#REF!*"$Cm=!Id"</f>
        <v>#REF!</v>
      </c>
      <c r="AP13" t="e">
        <f>#REF!*"$Cm=!Ie"</f>
        <v>#REF!</v>
      </c>
      <c r="AQ13" t="e">
        <f>#REF!*"$Cm=!If"</f>
        <v>#REF!</v>
      </c>
      <c r="AR13" t="e">
        <f>#REF!*"$Cm=!Ig"</f>
        <v>#REF!</v>
      </c>
      <c r="AS13" t="e">
        <f>#REF!*"$Cm=!Ih"</f>
        <v>#REF!</v>
      </c>
      <c r="AT13" t="e">
        <f>#REF!*"$Cm=!Ii"</f>
        <v>#REF!</v>
      </c>
      <c r="AU13" t="e">
        <f>#REF!*"$Cm=!Ij"</f>
        <v>#REF!</v>
      </c>
      <c r="AV13" t="e">
        <f>#REF!*"$Cm=!Ik"</f>
        <v>#REF!</v>
      </c>
      <c r="AW13" t="e">
        <f>#REF!*"$Cm=!Il"</f>
        <v>#REF!</v>
      </c>
      <c r="AX13" t="e">
        <f>#REF!*"$Cm=!Im"</f>
        <v>#REF!</v>
      </c>
      <c r="AY13" t="e">
        <f>#REF!*"$Cm=!In"</f>
        <v>#REF!</v>
      </c>
      <c r="AZ13" t="e">
        <f>#REF!*"$Cm=!Io"</f>
        <v>#REF!</v>
      </c>
      <c r="BA13" t="e">
        <f>#REF!*"$Cm=!Ip"</f>
        <v>#REF!</v>
      </c>
      <c r="BB13" t="e">
        <f>#REF!*"$Cm=!Iq"</f>
        <v>#REF!</v>
      </c>
      <c r="BC13" t="e">
        <f>#REF!*"$Cm=!Ir"</f>
        <v>#REF!</v>
      </c>
      <c r="BD13" t="e">
        <f>#REF!*"$Cm=!Is"</f>
        <v>#REF!</v>
      </c>
      <c r="BE13" t="e">
        <f>#REF!*"$Cm=!It"</f>
        <v>#REF!</v>
      </c>
      <c r="BF13" t="e">
        <f>#REF!*"$Cm=!Iu"</f>
        <v>#REF!</v>
      </c>
      <c r="BG13" t="e">
        <f>#REF!*"$Cm=!Iv"</f>
        <v>#REF!</v>
      </c>
      <c r="BH13" t="e">
        <f>#REF!*"$Cm=!Iw"</f>
        <v>#REF!</v>
      </c>
      <c r="BI13" t="e">
        <f>#REF!*"$Cm=!Ix"</f>
        <v>#REF!</v>
      </c>
      <c r="BJ13" t="e">
        <f>#REF!*"$Cm=!Iy"</f>
        <v>#REF!</v>
      </c>
      <c r="BK13" t="e">
        <f>#REF!*"$Cm=!Iz"</f>
        <v>#REF!</v>
      </c>
      <c r="BL13" t="e">
        <f>#REF!*"$Cm=!I{"</f>
        <v>#REF!</v>
      </c>
      <c r="BM13" t="e">
        <f>#REF!*"$Cm=!I|"</f>
        <v>#REF!</v>
      </c>
      <c r="BN13" t="e">
        <f>#REF!*"$Cm=!I}"</f>
        <v>#REF!</v>
      </c>
      <c r="BO13" t="e">
        <f>#REF!*"$Cm=!I~"</f>
        <v>#REF!</v>
      </c>
      <c r="BP13" t="e">
        <f>#REF!*"$Cm=!J#"</f>
        <v>#REF!</v>
      </c>
      <c r="BQ13" t="e">
        <f>#REF!*"$Cm=!J$"</f>
        <v>#REF!</v>
      </c>
      <c r="BR13" t="e">
        <f>#REF!*"$Cm=!J%"</f>
        <v>#REF!</v>
      </c>
      <c r="BS13" t="e">
        <f>#REF!*"$Cm=!J&amp;"</f>
        <v>#REF!</v>
      </c>
      <c r="BT13" t="e">
        <f>#REF!*"$Cm=!J'"</f>
        <v>#REF!</v>
      </c>
      <c r="BU13" t="e">
        <f>#REF!*"$Cm=!J("</f>
        <v>#REF!</v>
      </c>
      <c r="BV13" t="e">
        <f>#REF!*"$Cm=!J)"</f>
        <v>#REF!</v>
      </c>
      <c r="BW13" t="e">
        <f>#REF!*"$Cm=!J."</f>
        <v>#REF!</v>
      </c>
      <c r="BX13" t="e">
        <f>#REF!*"$Cm=!J/"</f>
        <v>#REF!</v>
      </c>
      <c r="BY13" t="e">
        <f>#REF!*"$Cm=!J0"</f>
        <v>#REF!</v>
      </c>
      <c r="BZ13" t="e">
        <f>#REF!*"$Cm=!J1"</f>
        <v>#REF!</v>
      </c>
      <c r="CA13" t="e">
        <f>#REF!*"$Cm=!J2"</f>
        <v>#REF!</v>
      </c>
      <c r="CB13" t="e">
        <f>#REF!*"$Cm=!J3"</f>
        <v>#REF!</v>
      </c>
      <c r="CC13" t="e">
        <f>#REF!*"$Cm=!J4"</f>
        <v>#REF!</v>
      </c>
      <c r="CD13" t="e">
        <f>#REF!*"$Cm=!J5"</f>
        <v>#REF!</v>
      </c>
      <c r="CE13" t="e">
        <f>#REF!*"$Cm=!J6"</f>
        <v>#REF!</v>
      </c>
      <c r="CF13" t="e">
        <f>#REF!*"$Cm=!J7"</f>
        <v>#REF!</v>
      </c>
      <c r="CG13" t="e">
        <f>#REF!*"$Cm=!J8"</f>
        <v>#REF!</v>
      </c>
      <c r="CH13" t="e">
        <f>#REF!*"$Cm=!J9"</f>
        <v>#REF!</v>
      </c>
      <c r="CI13" t="e">
        <f>#REF!*"$Cm=!J:"</f>
        <v>#REF!</v>
      </c>
      <c r="CJ13" t="e">
        <f>#REF!*"$Cm=!J;"</f>
        <v>#REF!</v>
      </c>
      <c r="CK13" t="e">
        <f>#REF!*"$Cm=!J&lt;"</f>
        <v>#REF!</v>
      </c>
      <c r="CL13" t="e">
        <f>#REF!*"$Cm=!J="</f>
        <v>#REF!</v>
      </c>
      <c r="CM13" t="e">
        <f>#REF!*"$Cm=!J&gt;"</f>
        <v>#REF!</v>
      </c>
      <c r="CN13" t="e">
        <f>#REF!*"$Cm=!J?"</f>
        <v>#REF!</v>
      </c>
      <c r="CO13" t="e">
        <f>#REF!*"$Cm=!J@"</f>
        <v>#REF!</v>
      </c>
      <c r="CP13" t="e">
        <f>#REF!*"$Cm=!JA"</f>
        <v>#REF!</v>
      </c>
      <c r="CQ13" t="e">
        <f>#REF!*"$Cm=!JB"</f>
        <v>#REF!</v>
      </c>
      <c r="CR13" t="e">
        <f>#REF!*"$Cm=!JC"</f>
        <v>#REF!</v>
      </c>
      <c r="CS13" t="e">
        <f>#REF!*"$Cm=!JD"</f>
        <v>#REF!</v>
      </c>
      <c r="CT13" t="e">
        <f>#REF!*"$Cm=!JE"</f>
        <v>#REF!</v>
      </c>
      <c r="CU13" t="e">
        <f>#REF!*"$Cm=!JF"</f>
        <v>#REF!</v>
      </c>
      <c r="CV13" t="e">
        <f>#REF!*"$Cm=!JG"</f>
        <v>#REF!</v>
      </c>
      <c r="CW13" t="e">
        <f>#REF!*"$Cm=!JH"</f>
        <v>#REF!</v>
      </c>
      <c r="CX13" t="e">
        <f>#REF!*"$Cm=!JI"</f>
        <v>#REF!</v>
      </c>
      <c r="CY13" t="e">
        <f>#REF!*"$Cm=!JJ"</f>
        <v>#REF!</v>
      </c>
      <c r="CZ13" t="e">
        <f>#REF!*"$Cm=!JK"</f>
        <v>#REF!</v>
      </c>
      <c r="DA13" t="e">
        <f>#REF!*"$Cm=!JL"</f>
        <v>#REF!</v>
      </c>
      <c r="DB13" t="e">
        <f>#REF!*"$Cm=!JM"</f>
        <v>#REF!</v>
      </c>
      <c r="DC13" t="e">
        <f>#REF!*"$Cm=!JN"</f>
        <v>#REF!</v>
      </c>
      <c r="DD13" t="e">
        <f>#REF!*"$Cm=!JO"</f>
        <v>#REF!</v>
      </c>
      <c r="DE13" t="e">
        <f>#REF!*"$Cm=!JP"</f>
        <v>#REF!</v>
      </c>
      <c r="DF13" t="e">
        <f>#REF!*"$Cm=!JQ"</f>
        <v>#REF!</v>
      </c>
      <c r="DG13" t="e">
        <f>#REF!*"$Cm=!JR"</f>
        <v>#REF!</v>
      </c>
      <c r="DH13" t="e">
        <f>#REF!*"$Cm=!JS"</f>
        <v>#REF!</v>
      </c>
      <c r="DI13" t="e">
        <f>#REF!*"$Cm=!JT"</f>
        <v>#REF!</v>
      </c>
      <c r="DJ13" t="e">
        <f>#REF!*"$Cm=!JU"</f>
        <v>#REF!</v>
      </c>
      <c r="DK13" t="e">
        <f>#REF!*"$Cm=!JV"</f>
        <v>#REF!</v>
      </c>
      <c r="DL13" t="e">
        <f>#REF!*"$Cm=!JW"</f>
        <v>#REF!</v>
      </c>
      <c r="DM13" t="e">
        <f>#REF!*"$Cm=!JX"</f>
        <v>#REF!</v>
      </c>
      <c r="DN13" t="e">
        <f>#REF!*"$Cm=!JY"</f>
        <v>#REF!</v>
      </c>
      <c r="DO13" t="e">
        <f>#REF!*"$Cm=!JZ"</f>
        <v>#REF!</v>
      </c>
      <c r="DP13" t="e">
        <f>#REF!*"$Cm=!J["</f>
        <v>#REF!</v>
      </c>
      <c r="DQ13" t="e">
        <f>#REF!*"$Cm=!J\"</f>
        <v>#REF!</v>
      </c>
      <c r="DR13" t="e">
        <f>#REF!*"$Cm=!J]"</f>
        <v>#REF!</v>
      </c>
      <c r="DS13" t="e">
        <f>#REF!*"$Cm=!J^"</f>
        <v>#REF!</v>
      </c>
      <c r="DT13" t="e">
        <f>#REF!*"$Cm=!J_"</f>
        <v>#REF!</v>
      </c>
      <c r="DU13" t="e">
        <f>#REF!*"$Cm=!J`"</f>
        <v>#REF!</v>
      </c>
      <c r="DV13" t="e">
        <f>#REF!*"$Cm=!Ja"</f>
        <v>#REF!</v>
      </c>
      <c r="DW13" t="e">
        <f>#REF!*"$Cm=!Jb"</f>
        <v>#REF!</v>
      </c>
      <c r="DX13" t="e">
        <f>#REF!*"$Cm=!Jc"</f>
        <v>#REF!</v>
      </c>
      <c r="DY13" t="e">
        <f>#REF!*"$Cm=!Jd"</f>
        <v>#REF!</v>
      </c>
      <c r="DZ13" t="e">
        <f>#REF!*"$Cm=!Je"</f>
        <v>#REF!</v>
      </c>
      <c r="EA13" t="e">
        <f>#REF!*"$Cm=!Jf"</f>
        <v>#REF!</v>
      </c>
      <c r="EB13" t="e">
        <f>#REF!*"$Cm=!Jg"</f>
        <v>#REF!</v>
      </c>
      <c r="EC13" t="e">
        <f>#REF!*"$Cm=!Jh"</f>
        <v>#REF!</v>
      </c>
      <c r="ED13" t="e">
        <f>#REF!*"$Cm=!Ji"</f>
        <v>#REF!</v>
      </c>
      <c r="EE13" t="e">
        <f>#REF!*"$Cm=!Jj"</f>
        <v>#REF!</v>
      </c>
      <c r="EF13" t="e">
        <f>#REF!*"$Cm=!Jk"</f>
        <v>#REF!</v>
      </c>
      <c r="EG13" t="e">
        <f>#REF!*"$Cm=!Jl"</f>
        <v>#REF!</v>
      </c>
      <c r="EH13" t="e">
        <f>#REF!*"$Cm=!Jm"</f>
        <v>#REF!</v>
      </c>
      <c r="EI13" t="e">
        <f>#REF!*"$Cm=!Jn"</f>
        <v>#REF!</v>
      </c>
      <c r="EJ13" t="e">
        <f>#REF!*"$Cm=!Jo"</f>
        <v>#REF!</v>
      </c>
      <c r="EK13" t="e">
        <f>#REF!*"$Cm=!Jp"</f>
        <v>#REF!</v>
      </c>
      <c r="EL13" t="e">
        <f>#REF!*"$Cm=!Jq"</f>
        <v>#REF!</v>
      </c>
      <c r="EM13" t="e">
        <f>#REF!*"$Cm=!Jr"</f>
        <v>#REF!</v>
      </c>
      <c r="EN13" t="e">
        <f>#REF!*"$Cm=!Js"</f>
        <v>#REF!</v>
      </c>
      <c r="EO13" t="e">
        <f>#REF!*"$Cm=!Jt"</f>
        <v>#REF!</v>
      </c>
      <c r="EP13" t="e">
        <f>#REF!*"$Cm=!Ju"</f>
        <v>#REF!</v>
      </c>
      <c r="EQ13" t="e">
        <f>#REF!*"$Cm=!Jv"</f>
        <v>#REF!</v>
      </c>
      <c r="ER13" t="e">
        <f>#REF!*"$Cm=!Jw"</f>
        <v>#REF!</v>
      </c>
      <c r="ES13" t="e">
        <f>#REF!*"$Cm=!Jx"</f>
        <v>#REF!</v>
      </c>
      <c r="ET13" t="e">
        <f>#REF!*"$Cm=!Jy"</f>
        <v>#REF!</v>
      </c>
      <c r="EU13" t="e">
        <f>#REF!*"$Cm=!Jz"</f>
        <v>#REF!</v>
      </c>
      <c r="EV13" t="e">
        <f>#REF!*"$Cm=!J{"</f>
        <v>#REF!</v>
      </c>
      <c r="EW13" t="e">
        <f>#REF!*"$Cm=!J|"</f>
        <v>#REF!</v>
      </c>
      <c r="EX13" t="e">
        <f>#REF!*"$Cm=!J}"</f>
        <v>#REF!</v>
      </c>
      <c r="EY13" t="e">
        <f>#REF!*"$Cm=!J~"</f>
        <v>#REF!</v>
      </c>
      <c r="EZ13" t="e">
        <f>#REF!*"$Cm=!K#"</f>
        <v>#REF!</v>
      </c>
      <c r="FA13" t="e">
        <f>#REF!*"$Cm=!K$"</f>
        <v>#REF!</v>
      </c>
      <c r="FB13" t="e">
        <f>#REF!*"$Cm=!K%"</f>
        <v>#REF!</v>
      </c>
      <c r="FC13" t="e">
        <f>#REF!*"$Cm=!K&amp;"</f>
        <v>#REF!</v>
      </c>
      <c r="FD13" t="e">
        <f>#REF!*"$Cm=!K'"</f>
        <v>#REF!</v>
      </c>
      <c r="FE13" t="e">
        <f>#REF!*"$Cm=!K("</f>
        <v>#REF!</v>
      </c>
      <c r="FF13" t="e">
        <f>#REF!*"$Cm=!K)"</f>
        <v>#REF!</v>
      </c>
      <c r="FG13" t="e">
        <f>#REF!*"$Cm=!K."</f>
        <v>#REF!</v>
      </c>
      <c r="FH13" t="e">
        <f>#REF!*"$Cm=!K/"</f>
        <v>#REF!</v>
      </c>
      <c r="FI13" t="e">
        <f>#REF!*"$Cm=!K0"</f>
        <v>#REF!</v>
      </c>
      <c r="FJ13" t="e">
        <f>#REF!*"$Cm=!K1"</f>
        <v>#REF!</v>
      </c>
      <c r="FK13" t="e">
        <f>#REF!*"$Cm=!K2"</f>
        <v>#REF!</v>
      </c>
      <c r="FL13" t="e">
        <f>#REF!*"$Cm=!K3"</f>
        <v>#REF!</v>
      </c>
      <c r="FM13" t="e">
        <f>#REF!*"$Cm=!K4"</f>
        <v>#REF!</v>
      </c>
      <c r="FN13" t="e">
        <f>#REF!*"$Cm=!K5"</f>
        <v>#REF!</v>
      </c>
      <c r="FO13" t="e">
        <f>#REF!*"$Cm=!K6"</f>
        <v>#REF!</v>
      </c>
      <c r="FP13" t="e">
        <f>#REF!*"$Cm=!K7"</f>
        <v>#REF!</v>
      </c>
      <c r="FQ13" t="e">
        <f>#REF!*"$Cm=!K8"</f>
        <v>#REF!</v>
      </c>
      <c r="FR13" t="e">
        <f>#REF!*"$Cm=!K9"</f>
        <v>#REF!</v>
      </c>
      <c r="FS13" t="e">
        <f>#REF!*"$Cm=!K:"</f>
        <v>#REF!</v>
      </c>
      <c r="FT13" t="e">
        <f>#REF!-"$Cm=!K;"</f>
        <v>#REF!</v>
      </c>
      <c r="FU13" t="e">
        <f>#REF!-"$Cm=!K&lt;"</f>
        <v>#REF!</v>
      </c>
      <c r="FV13" t="e">
        <f>#REF!-"$Cm=!K="</f>
        <v>#REF!</v>
      </c>
      <c r="FW13" t="e">
        <f>#REF!-"$Cm=!K&gt;"</f>
        <v>#REF!</v>
      </c>
      <c r="FX13" t="e">
        <f>#REF!-"$Cm=!K?"</f>
        <v>#REF!</v>
      </c>
      <c r="FY13" t="e">
        <f>#REF!-"$Cm=!K@"</f>
        <v>#REF!</v>
      </c>
      <c r="FZ13" t="e">
        <f>#REF!-"$Cm=!KA"</f>
        <v>#REF!</v>
      </c>
      <c r="GA13" t="e">
        <f>#REF!-"$Cm=!KB"</f>
        <v>#REF!</v>
      </c>
      <c r="GB13" t="e">
        <f>#REF!-"$Cm=!KC"</f>
        <v>#REF!</v>
      </c>
      <c r="GC13" t="e">
        <f>#REF!-"$Cm=!KD"</f>
        <v>#REF!</v>
      </c>
      <c r="GD13" t="e">
        <f>#REF!-"$Cm=!KE"</f>
        <v>#REF!</v>
      </c>
      <c r="GE13" t="e">
        <f>#REF!-"$Cm=!KF"</f>
        <v>#REF!</v>
      </c>
      <c r="GF13" t="e">
        <f>#REF!-"$Cm=!KG"</f>
        <v>#REF!</v>
      </c>
      <c r="GG13" t="e">
        <f>#REF!-"$Cm=!KH"</f>
        <v>#REF!</v>
      </c>
      <c r="GH13" t="e">
        <f>#REF!-"$Cm=!KI"</f>
        <v>#REF!</v>
      </c>
      <c r="GI13" t="e">
        <f>#REF!-"$Cm=!KJ"</f>
        <v>#REF!</v>
      </c>
      <c r="GJ13" t="e">
        <f>#REF!-"$Cm=!KK"</f>
        <v>#REF!</v>
      </c>
      <c r="GK13" t="e">
        <f>#REF!-"$Cm=!KL"</f>
        <v>#REF!</v>
      </c>
      <c r="GL13" t="e">
        <f>#REF!-"$Cm=!KM"</f>
        <v>#REF!</v>
      </c>
      <c r="GM13" t="e">
        <f>#REF!-"$Cm=!KN"</f>
        <v>#REF!</v>
      </c>
      <c r="GN13" t="e">
        <f>#REF!-"$Cm=!KO"</f>
        <v>#REF!</v>
      </c>
      <c r="GO13" t="e">
        <f>#REF!-"$Cm=!KP"</f>
        <v>#REF!</v>
      </c>
      <c r="GP13" t="e">
        <f>#REF!-"$Cm=!KQ"</f>
        <v>#REF!</v>
      </c>
      <c r="GQ13" t="e">
        <f>#REF!-"$Cm=!KR"</f>
        <v>#REF!</v>
      </c>
      <c r="GR13" t="e">
        <f>#REF!-"$Cm=!KS"</f>
        <v>#REF!</v>
      </c>
      <c r="GS13" t="e">
        <f>#REF!-"$Cm=!KT"</f>
        <v>#REF!</v>
      </c>
      <c r="GT13" t="e">
        <f>#REF!-"$Cm=!KU"</f>
        <v>#REF!</v>
      </c>
      <c r="GU13" t="e">
        <f>#REF!-"$Cm=!KV"</f>
        <v>#REF!</v>
      </c>
      <c r="GV13" t="e">
        <f>#REF!-"$Cm=!KW"</f>
        <v>#REF!</v>
      </c>
      <c r="GW13" t="e">
        <f>#REF!-"$Cm=!KX"</f>
        <v>#REF!</v>
      </c>
      <c r="GX13" t="e">
        <f>#REF!-"$Cm=!KY"</f>
        <v>#REF!</v>
      </c>
      <c r="GY13" t="e">
        <f>#REF!-"$Cm=!KZ"</f>
        <v>#REF!</v>
      </c>
      <c r="GZ13" t="e">
        <f>#REF!-"$Cm=!K["</f>
        <v>#REF!</v>
      </c>
      <c r="HA13" t="e">
        <f>#REF!-"$Cm=!K\"</f>
        <v>#REF!</v>
      </c>
      <c r="HB13" t="e">
        <f>#REF!-"$Cm=!K]"</f>
        <v>#REF!</v>
      </c>
      <c r="HC13" t="e">
        <f>#REF!-"$Cm=!K^"</f>
        <v>#REF!</v>
      </c>
      <c r="HD13" t="e">
        <f>#REF!-"$Cm=!K_"</f>
        <v>#REF!</v>
      </c>
      <c r="HE13" t="e">
        <f>#REF!-"$Cm=!K`"</f>
        <v>#REF!</v>
      </c>
      <c r="HF13" t="e">
        <f>#REF!-"$Cm=!Ka"</f>
        <v>#REF!</v>
      </c>
      <c r="HG13" t="e">
        <f>#REF!-"$Cm=!Kb"</f>
        <v>#REF!</v>
      </c>
      <c r="HH13" t="e">
        <f>#REF!-"$Cm=!Kc"</f>
        <v>#REF!</v>
      </c>
      <c r="HI13" t="e">
        <f>#REF!-"$Cm=!Kd"</f>
        <v>#REF!</v>
      </c>
      <c r="HJ13" t="e">
        <f>#REF!-"$Cm=!Ke"</f>
        <v>#REF!</v>
      </c>
      <c r="HK13" t="e">
        <f>#REF!-"$Cm=!Kf"</f>
        <v>#REF!</v>
      </c>
      <c r="HL13" t="e">
        <f>#REF!-"$Cm=!Kg"</f>
        <v>#REF!</v>
      </c>
      <c r="HM13" t="e">
        <f>#REF!-"$Cm=!Kh"</f>
        <v>#REF!</v>
      </c>
      <c r="HN13" t="e">
        <f>#REF!-"$Cm=!Ki"</f>
        <v>#REF!</v>
      </c>
      <c r="HO13" t="e">
        <f>#REF!-"$Cm=!Kj"</f>
        <v>#REF!</v>
      </c>
      <c r="HP13" t="e">
        <f>#REF!-"$Cm=!Kk"</f>
        <v>#REF!</v>
      </c>
      <c r="HQ13" t="e">
        <f>#REF!-"$Cm=!Kl"</f>
        <v>#REF!</v>
      </c>
      <c r="HR13" t="e">
        <f>#REF!-"$Cm=!Km"</f>
        <v>#REF!</v>
      </c>
      <c r="HS13" t="e">
        <f>#REF!-"$Cm=!Kn"</f>
        <v>#REF!</v>
      </c>
      <c r="HT13" t="e">
        <f>#REF!-"$Cm=!Ko"</f>
        <v>#REF!</v>
      </c>
      <c r="HU13" t="e">
        <f>#REF!-"$Cm=!Kp"</f>
        <v>#REF!</v>
      </c>
      <c r="HV13" t="e">
        <f>#REF!-"$Cm=!Kq"</f>
        <v>#REF!</v>
      </c>
      <c r="HW13" t="e">
        <f>#REF!-"$Cm=!Kr"</f>
        <v>#REF!</v>
      </c>
      <c r="HX13" t="e">
        <f>#REF!-"$Cm=!Ks"</f>
        <v>#REF!</v>
      </c>
      <c r="HY13" t="e">
        <f>#REF!-"$Cm=!Kt"</f>
        <v>#REF!</v>
      </c>
      <c r="HZ13" t="e">
        <f>#REF!-"$Cm=!Ku"</f>
        <v>#REF!</v>
      </c>
      <c r="IA13" t="e">
        <f>#REF!-"$Cm=!Kv"</f>
        <v>#REF!</v>
      </c>
      <c r="IB13" t="e">
        <f>#REF!-"$Cm=!Kw"</f>
        <v>#REF!</v>
      </c>
      <c r="IC13" t="e">
        <f>#REF!-"$Cm=!Kx"</f>
        <v>#REF!</v>
      </c>
      <c r="ID13" t="e">
        <f>#REF!-"$Cm=!Ky"</f>
        <v>#REF!</v>
      </c>
      <c r="IE13" t="e">
        <f>#REF!-"$Cm=!Kz"</f>
        <v>#REF!</v>
      </c>
      <c r="IF13" t="e">
        <f>#REF!-"$Cm=!K{"</f>
        <v>#REF!</v>
      </c>
      <c r="IG13" t="e">
        <f>#REF!-"$Cm=!K|"</f>
        <v>#REF!</v>
      </c>
      <c r="IH13" t="e">
        <f>#REF!-"$Cm=!K}"</f>
        <v>#REF!</v>
      </c>
      <c r="II13" t="e">
        <f>#REF!-"$Cm=!K~"</f>
        <v>#REF!</v>
      </c>
      <c r="IJ13" t="e">
        <f>#REF!-"$Cm=!L#"</f>
        <v>#REF!</v>
      </c>
      <c r="IK13" t="e">
        <f>#REF!-"$Cm=!L$"</f>
        <v>#REF!</v>
      </c>
      <c r="IL13" t="e">
        <f>#REF!-"$Cm=!L%"</f>
        <v>#REF!</v>
      </c>
      <c r="IM13" t="e">
        <f>#REF!-"$Cm=!L&amp;"</f>
        <v>#REF!</v>
      </c>
      <c r="IN13" t="e">
        <f>#REF!-"$Cm=!L'"</f>
        <v>#REF!</v>
      </c>
      <c r="IO13" t="e">
        <f>#REF!-"$Cm=!L("</f>
        <v>#REF!</v>
      </c>
      <c r="IP13" t="e">
        <f>#REF!-"$Cm=!L)"</f>
        <v>#REF!</v>
      </c>
      <c r="IQ13" t="e">
        <f>#REF!-"$Cm=!L."</f>
        <v>#REF!</v>
      </c>
      <c r="IR13" t="e">
        <f>#REF!-"$Cm=!L/"</f>
        <v>#REF!</v>
      </c>
      <c r="IS13" t="e">
        <f>#REF!-"$Cm=!L0"</f>
        <v>#REF!</v>
      </c>
      <c r="IT13" t="e">
        <f>#REF!-"$Cm=!L1"</f>
        <v>#REF!</v>
      </c>
      <c r="IU13" t="e">
        <f>#REF!-"$Cm=!L2"</f>
        <v>#REF!</v>
      </c>
      <c r="IV13" t="e">
        <f>#REF!-"$Cm=!L3"</f>
        <v>#REF!</v>
      </c>
    </row>
    <row r="14" spans="1:256">
      <c r="F14" t="e">
        <f>#REF!-"$Cm=!L4"</f>
        <v>#REF!</v>
      </c>
      <c r="G14" t="e">
        <f>#REF!-"$Cm=!L5"</f>
        <v>#REF!</v>
      </c>
      <c r="H14" t="e">
        <f>#REF!-"$Cm=!L6"</f>
        <v>#REF!</v>
      </c>
      <c r="I14" t="e">
        <f>#REF!-"$Cm=!L7"</f>
        <v>#REF!</v>
      </c>
      <c r="J14" t="e">
        <f>#REF!-"$Cm=!L8"</f>
        <v>#REF!</v>
      </c>
      <c r="K14" t="e">
        <f>#REF!-"$Cm=!L9"</f>
        <v>#REF!</v>
      </c>
      <c r="L14" t="e">
        <f>#REF!-"$Cm=!L:"</f>
        <v>#REF!</v>
      </c>
      <c r="M14" t="e">
        <f>#REF!-"$Cm=!L;"</f>
        <v>#REF!</v>
      </c>
      <c r="N14" t="e">
        <f>#REF!-"$Cm=!L&lt;"</f>
        <v>#REF!</v>
      </c>
      <c r="O14" t="e">
        <f>#REF!-"$Cm=!L="</f>
        <v>#REF!</v>
      </c>
      <c r="P14" t="e">
        <f>#REF!-"$Cm=!L&gt;"</f>
        <v>#REF!</v>
      </c>
      <c r="Q14" t="e">
        <f>#REF!-"$Cm=!L?"</f>
        <v>#REF!</v>
      </c>
      <c r="R14" t="e">
        <f>#REF!-"$Cm=!L@"</f>
        <v>#REF!</v>
      </c>
      <c r="S14" t="e">
        <f>#REF!-"$Cm=!LA"</f>
        <v>#REF!</v>
      </c>
      <c r="T14" t="e">
        <f>#REF!-"$Cm=!LB"</f>
        <v>#REF!</v>
      </c>
      <c r="U14" t="e">
        <f>#REF!-"$Cm=!LC"</f>
        <v>#REF!</v>
      </c>
      <c r="V14" t="e">
        <f>#REF!-"$Cm=!LD"</f>
        <v>#REF!</v>
      </c>
      <c r="W14" t="e">
        <f>#REF!-"$Cm=!LE"</f>
        <v>#REF!</v>
      </c>
      <c r="X14" t="e">
        <f>#REF!-"$Cm=!LF"</f>
        <v>#REF!</v>
      </c>
      <c r="Y14" t="e">
        <f>#REF!-"$Cm=!LG"</f>
        <v>#REF!</v>
      </c>
      <c r="Z14" t="e">
        <f>#REF!-"$Cm=!LH"</f>
        <v>#REF!</v>
      </c>
      <c r="AA14" t="e">
        <f>#REF!-"$Cm=!LI"</f>
        <v>#REF!</v>
      </c>
      <c r="AB14" t="e">
        <f>#REF!-"$Cm=!LJ"</f>
        <v>#REF!</v>
      </c>
      <c r="AC14" t="e">
        <f>#REF!-"$Cm=!LK"</f>
        <v>#REF!</v>
      </c>
      <c r="AD14" t="e">
        <f>#REF!-"$Cm=!LL"</f>
        <v>#REF!</v>
      </c>
      <c r="AE14" t="e">
        <f>#REF!-"$Cm=!LM"</f>
        <v>#REF!</v>
      </c>
      <c r="AF14" t="e">
        <f>#REF!-"$Cm=!LN"</f>
        <v>#REF!</v>
      </c>
      <c r="AG14" t="e">
        <f>#REF!-"$Cm=!LO"</f>
        <v>#REF!</v>
      </c>
      <c r="AH14" t="e">
        <f>#REF!-"$Cm=!LP"</f>
        <v>#REF!</v>
      </c>
      <c r="AI14" t="e">
        <f>#REF!-"$Cm=!LQ"</f>
        <v>#REF!</v>
      </c>
      <c r="AJ14" t="e">
        <f>#REF!-"$Cm=!LR"</f>
        <v>#REF!</v>
      </c>
      <c r="AK14" t="e">
        <f>#REF!-"$Cm=!LS"</f>
        <v>#REF!</v>
      </c>
      <c r="AL14" t="e">
        <f>#REF!-"$Cm=!LT"</f>
        <v>#REF!</v>
      </c>
      <c r="AM14" t="e">
        <f>#REF!-"$Cm=!LU"</f>
        <v>#REF!</v>
      </c>
      <c r="AN14" t="e">
        <f>#REF!-"$Cm=!LV"</f>
        <v>#REF!</v>
      </c>
      <c r="AO14" t="e">
        <f>#REF!-"$Cm=!LW"</f>
        <v>#REF!</v>
      </c>
      <c r="AP14" t="e">
        <f>#REF!-"$Cm=!LX"</f>
        <v>#REF!</v>
      </c>
      <c r="AQ14" t="e">
        <f>#REF!-"$Cm=!LY"</f>
        <v>#REF!</v>
      </c>
      <c r="AR14" t="e">
        <f>#REF!-"$Cm=!LZ"</f>
        <v>#REF!</v>
      </c>
      <c r="AS14" t="e">
        <f>#REF!-"$Cm=!L["</f>
        <v>#REF!</v>
      </c>
      <c r="AT14" t="e">
        <f>#REF!-"$Cm=!L\"</f>
        <v>#REF!</v>
      </c>
      <c r="AU14" t="e">
        <f>#REF!-"$Cm=!L]"</f>
        <v>#REF!</v>
      </c>
      <c r="AV14" t="e">
        <f>#REF!-"$Cm=!L^"</f>
        <v>#REF!</v>
      </c>
      <c r="AW14" t="e">
        <f>#REF!-"$Cm=!L_"</f>
        <v>#REF!</v>
      </c>
      <c r="AX14" t="e">
        <f>#REF!-"$Cm=!L`"</f>
        <v>#REF!</v>
      </c>
      <c r="AY14" t="e">
        <f>#REF!-"$Cm=!La"</f>
        <v>#REF!</v>
      </c>
      <c r="AZ14" t="e">
        <f>#REF!-"$Cm=!Lb"</f>
        <v>#REF!</v>
      </c>
      <c r="BA14" t="e">
        <f>#REF!-"$Cm=!Lc"</f>
        <v>#REF!</v>
      </c>
      <c r="BB14" t="e">
        <f>#REF!-"$Cm=!Ld"</f>
        <v>#REF!</v>
      </c>
      <c r="BC14" t="e">
        <f>#REF!-"$Cm=!Le"</f>
        <v>#REF!</v>
      </c>
      <c r="BD14" t="e">
        <f>#REF!-"$Cm=!Lf"</f>
        <v>#REF!</v>
      </c>
      <c r="BE14" t="e">
        <f>#REF!-"$Cm=!Lg"</f>
        <v>#REF!</v>
      </c>
      <c r="BF14" t="e">
        <f>#REF!-"$Cm=!Lh"</f>
        <v>#REF!</v>
      </c>
      <c r="BG14" t="e">
        <f>#REF!-"$Cm=!Li"</f>
        <v>#REF!</v>
      </c>
      <c r="BH14" t="e">
        <f>#REF!-"$Cm=!Lj"</f>
        <v>#REF!</v>
      </c>
      <c r="BI14" t="e">
        <f>#REF!-"$Cm=!Lk"</f>
        <v>#REF!</v>
      </c>
      <c r="BJ14" t="e">
        <f>#REF!-"$Cm=!Ll"</f>
        <v>#REF!</v>
      </c>
      <c r="BK14" t="e">
        <f>#REF!-"$Cm=!Lm"</f>
        <v>#REF!</v>
      </c>
      <c r="BL14" t="e">
        <f>#REF!-"$Cm=!Ln"</f>
        <v>#REF!</v>
      </c>
      <c r="BM14" t="e">
        <f>#REF!-"$Cm=!Lo"</f>
        <v>#REF!</v>
      </c>
      <c r="BN14" t="e">
        <f>#REF!-"$Cm=!Lp"</f>
        <v>#REF!</v>
      </c>
      <c r="BO14" t="e">
        <f>#REF!-"$Cm=!Lq"</f>
        <v>#REF!</v>
      </c>
      <c r="BP14" t="e">
        <f>#REF!-"$Cm=!Lr"</f>
        <v>#REF!</v>
      </c>
      <c r="BQ14" t="e">
        <f>#REF!-"$Cm=!Ls"</f>
        <v>#REF!</v>
      </c>
      <c r="BR14" t="e">
        <f>#REF!-"$Cm=!Lt"</f>
        <v>#REF!</v>
      </c>
      <c r="BS14" t="e">
        <f>#REF!-"$Cm=!Lu"</f>
        <v>#REF!</v>
      </c>
      <c r="BT14" t="e">
        <f>#REF!-"$Cm=!Lv"</f>
        <v>#REF!</v>
      </c>
      <c r="BU14" t="e">
        <f>#REF!-"$Cm=!Lw"</f>
        <v>#REF!</v>
      </c>
      <c r="BV14" t="e">
        <f>#REF!-"$Cm=!Lx"</f>
        <v>#REF!</v>
      </c>
      <c r="BW14" t="e">
        <f>#REF!-"$Cm=!Ly"</f>
        <v>#REF!</v>
      </c>
      <c r="BX14" t="e">
        <f>#REF!-"$Cm=!Lz"</f>
        <v>#REF!</v>
      </c>
      <c r="BY14" t="e">
        <f>#REF!-"$Cm=!L{"</f>
        <v>#REF!</v>
      </c>
      <c r="BZ14" t="e">
        <f>#REF!-"$Cm=!L|"</f>
        <v>#REF!</v>
      </c>
      <c r="CA14" t="e">
        <f>#REF!-"$Cm=!L}"</f>
        <v>#REF!</v>
      </c>
      <c r="CB14" t="e">
        <f>#REF!-"$Cm=!L~"</f>
        <v>#REF!</v>
      </c>
      <c r="CC14" t="e">
        <f>#REF!-"$Cm=!M#"</f>
        <v>#REF!</v>
      </c>
      <c r="CD14" t="e">
        <f>#REF!-"$Cm=!M$"</f>
        <v>#REF!</v>
      </c>
      <c r="CE14" t="e">
        <f>#REF!-"$Cm=!M%"</f>
        <v>#REF!</v>
      </c>
      <c r="CF14" t="e">
        <f>#REF!-"$Cm=!M&amp;"</f>
        <v>#REF!</v>
      </c>
      <c r="CG14" t="e">
        <f>#REF!-"$Cm=!M'"</f>
        <v>#REF!</v>
      </c>
      <c r="CH14" t="e">
        <f>#REF!-"$Cm=!M("</f>
        <v>#REF!</v>
      </c>
      <c r="CI14" t="e">
        <f>#REF!-"$Cm=!M)"</f>
        <v>#REF!</v>
      </c>
      <c r="CJ14" t="e">
        <f>#REF!-"$Cm=!M."</f>
        <v>#REF!</v>
      </c>
      <c r="CK14" t="e">
        <f>#REF!-"$Cm=!M/"</f>
        <v>#REF!</v>
      </c>
      <c r="CL14" t="e">
        <f>#REF!-"$Cm=!M0"</f>
        <v>#REF!</v>
      </c>
      <c r="CM14" t="e">
        <f>#REF!-"$Cm=!M1"</f>
        <v>#REF!</v>
      </c>
      <c r="CN14" t="e">
        <f>#REF!-"$Cm=!M2"</f>
        <v>#REF!</v>
      </c>
      <c r="CO14" t="e">
        <f>#REF!-"$Cm=!M3"</f>
        <v>#REF!</v>
      </c>
      <c r="CP14" t="e">
        <f>#REF!-"$Cm=!M4"</f>
        <v>#REF!</v>
      </c>
      <c r="CQ14" t="e">
        <f>#REF!-"$Cm=!M5"</f>
        <v>#REF!</v>
      </c>
      <c r="CR14" t="e">
        <f>#REF!-"$Cm=!M6"</f>
        <v>#REF!</v>
      </c>
      <c r="CS14" t="e">
        <f>#REF!-"$Cm=!M7"</f>
        <v>#REF!</v>
      </c>
      <c r="CT14" t="e">
        <f>#REF!-"$Cm=!M8"</f>
        <v>#REF!</v>
      </c>
      <c r="CU14" t="e">
        <f>#REF!-"$Cm=!M9"</f>
        <v>#REF!</v>
      </c>
      <c r="CV14" t="e">
        <f>#REF!-"$Cm=!M:"</f>
        <v>#REF!</v>
      </c>
      <c r="CW14" t="e">
        <f>#REF!-"$Cm=!M;"</f>
        <v>#REF!</v>
      </c>
      <c r="CX14" t="e">
        <f>#REF!-"$Cm=!M&lt;"</f>
        <v>#REF!</v>
      </c>
      <c r="CY14" t="e">
        <f>#REF!-"$Cm=!M="</f>
        <v>#REF!</v>
      </c>
      <c r="CZ14" t="e">
        <f>#REF!-"$Cm=!M&gt;"</f>
        <v>#REF!</v>
      </c>
      <c r="DA14" t="e">
        <f>#REF!-"$Cm=!M?"</f>
        <v>#REF!</v>
      </c>
      <c r="DB14" t="e">
        <f>#REF!-"$Cm=!M@"</f>
        <v>#REF!</v>
      </c>
      <c r="DC14" t="e">
        <f>#REF!-"$Cm=!MA"</f>
        <v>#REF!</v>
      </c>
      <c r="DD14" t="e">
        <f>#REF!-"$Cm=!MB"</f>
        <v>#REF!</v>
      </c>
      <c r="DE14" t="e">
        <f>#REF!-"$Cm=!MC"</f>
        <v>#REF!</v>
      </c>
      <c r="DF14" t="e">
        <f>#REF!-"$Cm=!MD"</f>
        <v>#REF!</v>
      </c>
      <c r="DG14" t="e">
        <f>#REF!-"$Cm=!ME"</f>
        <v>#REF!</v>
      </c>
      <c r="DH14" t="e">
        <f>#REF!-"$Cm=!MF"</f>
        <v>#REF!</v>
      </c>
      <c r="DI14" t="e">
        <f>#REF!-"$Cm=!MG"</f>
        <v>#REF!</v>
      </c>
      <c r="DJ14" t="e">
        <f>#REF!-"$Cm=!MH"</f>
        <v>#REF!</v>
      </c>
      <c r="DK14" t="e">
        <f>#REF!-"$Cm=!MI"</f>
        <v>#REF!</v>
      </c>
      <c r="DL14" t="e">
        <f>#REF!-"$Cm=!MJ"</f>
        <v>#REF!</v>
      </c>
      <c r="DM14" t="e">
        <f>#REF!-"$Cm=!MK"</f>
        <v>#REF!</v>
      </c>
      <c r="DN14" t="e">
        <f>#REF!-"$Cm=!ML"</f>
        <v>#REF!</v>
      </c>
      <c r="DO14" t="e">
        <f>#REF!-"$Cm=!MM"</f>
        <v>#REF!</v>
      </c>
      <c r="DP14" t="e">
        <f>#REF!-"$Cm=!MN"</f>
        <v>#REF!</v>
      </c>
      <c r="DQ14" t="e">
        <f>#REF!-"$Cm=!MO"</f>
        <v>#REF!</v>
      </c>
      <c r="DR14" t="e">
        <f>#REF!-"$Cm=!MP"</f>
        <v>#REF!</v>
      </c>
      <c r="DS14" t="e">
        <f>#REF!-"$Cm=!MQ"</f>
        <v>#REF!</v>
      </c>
      <c r="DT14" t="e">
        <f>#REF!-"$Cm=!MR"</f>
        <v>#REF!</v>
      </c>
      <c r="DU14" t="e">
        <f>#REF!-"$Cm=!MS"</f>
        <v>#REF!</v>
      </c>
      <c r="DV14" t="e">
        <f>#REF!-"$Cm=!MT"</f>
        <v>#REF!</v>
      </c>
      <c r="DW14" t="e">
        <f>#REF!-"$Cm=!MU"</f>
        <v>#REF!</v>
      </c>
      <c r="DX14" t="e">
        <f>#REF!-"$Cm=!MV"</f>
        <v>#REF!</v>
      </c>
      <c r="DY14" t="e">
        <f>#REF!-"$Cm=!MW"</f>
        <v>#REF!</v>
      </c>
      <c r="DZ14" t="e">
        <f>#REF!-"$Cm=!MX"</f>
        <v>#REF!</v>
      </c>
      <c r="EA14" t="e">
        <f>#REF!-"$Cm=!MY"</f>
        <v>#REF!</v>
      </c>
      <c r="EB14" t="e">
        <f>#REF!-"$Cm=!MZ"</f>
        <v>#REF!</v>
      </c>
      <c r="EC14" t="e">
        <f>#REF!-"$Cm=!M["</f>
        <v>#REF!</v>
      </c>
      <c r="ED14" t="e">
        <f>#REF!-"$Cm=!M\"</f>
        <v>#REF!</v>
      </c>
      <c r="EE14" t="e">
        <f>#REF!-"$Cm=!M]"</f>
        <v>#REF!</v>
      </c>
      <c r="EF14" t="e">
        <f>#REF!-"$Cm=!M^"</f>
        <v>#REF!</v>
      </c>
      <c r="EG14" t="e">
        <f>#REF!-"$Cm=!M_"</f>
        <v>#REF!</v>
      </c>
      <c r="EH14" t="e">
        <f>#REF!-"$Cm=!M`"</f>
        <v>#REF!</v>
      </c>
      <c r="EI14" t="e">
        <f>#REF!-"$Cm=!Ma"</f>
        <v>#REF!</v>
      </c>
      <c r="EJ14" t="e">
        <f>#REF!-"$Cm=!Mb"</f>
        <v>#REF!</v>
      </c>
      <c r="EK14" t="e">
        <f>#REF!-"$Cm=!Mc"</f>
        <v>#REF!</v>
      </c>
      <c r="EL14" t="e">
        <f>#REF!-"$Cm=!Md"</f>
        <v>#REF!</v>
      </c>
      <c r="EM14" t="e">
        <f>#REF!-"$Cm=!Me"</f>
        <v>#REF!</v>
      </c>
      <c r="EN14" t="e">
        <f>#REF!-"$Cm=!Mf"</f>
        <v>#REF!</v>
      </c>
      <c r="EO14" t="e">
        <f>#REF!-"$Cm=!Mg"</f>
        <v>#REF!</v>
      </c>
      <c r="EP14" t="e">
        <f>#REF!-"$Cm=!Mh"</f>
        <v>#REF!</v>
      </c>
      <c r="EQ14" t="e">
        <f>#REF!-"$Cm=!Mi"</f>
        <v>#REF!</v>
      </c>
      <c r="ER14" t="e">
        <f>#REF!-"$Cm=!Mj"</f>
        <v>#REF!</v>
      </c>
      <c r="ES14" t="e">
        <f>#REF!-"$Cm=!Mk"</f>
        <v>#REF!</v>
      </c>
      <c r="ET14" t="e">
        <f>#REF!-"$Cm=!Ml"</f>
        <v>#REF!</v>
      </c>
      <c r="EU14" t="e">
        <f>#REF!-"$Cm=!Mm"</f>
        <v>#REF!</v>
      </c>
      <c r="EV14" t="e">
        <f>#REF!-"$Cm=!Mn"</f>
        <v>#REF!</v>
      </c>
      <c r="EW14" t="e">
        <f>#REF!-"$Cm=!Mo"</f>
        <v>#REF!</v>
      </c>
      <c r="EX14" t="e">
        <f>#REF!-"$Cm=!Mp"</f>
        <v>#REF!</v>
      </c>
      <c r="EY14" t="e">
        <f>#REF!-"$Cm=!Mq"</f>
        <v>#REF!</v>
      </c>
      <c r="EZ14" t="e">
        <f>#REF!-"$Cm=!Mr"</f>
        <v>#REF!</v>
      </c>
      <c r="FA14" t="e">
        <f>#REF!-"$Cm=!Ms"</f>
        <v>#REF!</v>
      </c>
      <c r="FB14" t="e">
        <f>#REF!-"$Cm=!Mt"</f>
        <v>#REF!</v>
      </c>
      <c r="FC14" t="e">
        <f>#REF!-"$Cm=!Mu"</f>
        <v>#REF!</v>
      </c>
      <c r="FD14" t="e">
        <f>#REF!-"$Cm=!Mv"</f>
        <v>#REF!</v>
      </c>
      <c r="FE14" t="e">
        <f>#REF!-"$Cm=!Mw"</f>
        <v>#REF!</v>
      </c>
      <c r="FF14" t="e">
        <f>#REF!-"$Cm=!Mx"</f>
        <v>#REF!</v>
      </c>
      <c r="FG14" t="e">
        <f>#REF!-"$Cm=!My"</f>
        <v>#REF!</v>
      </c>
      <c r="FH14" t="e">
        <f>#REF!-"$Cm=!Mz"</f>
        <v>#REF!</v>
      </c>
      <c r="FI14" t="e">
        <f>#REF!-"$Cm=!M{"</f>
        <v>#REF!</v>
      </c>
      <c r="FJ14" t="e">
        <f>#REF!-"$Cm=!M|"</f>
        <v>#REF!</v>
      </c>
      <c r="FK14" t="e">
        <f>#REF!-"$Cm=!M}"</f>
        <v>#REF!</v>
      </c>
      <c r="FL14" t="e">
        <f>#REF!-"$Cm=!M~"</f>
        <v>#REF!</v>
      </c>
      <c r="FM14" t="e">
        <f>#REF!-"$Cm=!N#"</f>
        <v>#REF!</v>
      </c>
      <c r="FN14" t="e">
        <f>#REF!-"$Cm=!N$"</f>
        <v>#REF!</v>
      </c>
      <c r="FO14" t="e">
        <f>#REF!-"$Cm=!N%"</f>
        <v>#REF!</v>
      </c>
      <c r="FP14" t="e">
        <f>#REF!-"$Cm=!N&amp;"</f>
        <v>#REF!</v>
      </c>
      <c r="FQ14" t="e">
        <f>#REF!-"$Cm=!N'"</f>
        <v>#REF!</v>
      </c>
      <c r="FR14" t="e">
        <f>#REF!-"$Cm=!N("</f>
        <v>#REF!</v>
      </c>
      <c r="FS14" t="e">
        <f>#REF!-"$Cm=!N)"</f>
        <v>#REF!</v>
      </c>
      <c r="FT14" t="e">
        <f>#REF!-"$Cm=!N."</f>
        <v>#REF!</v>
      </c>
      <c r="FU14" t="e">
        <f>#REF!-"$Cm=!N/"</f>
        <v>#REF!</v>
      </c>
      <c r="FV14" t="e">
        <f>#REF!-"$Cm=!N0"</f>
        <v>#REF!</v>
      </c>
      <c r="FW14" t="e">
        <f>#REF!-"$Cm=!N1"</f>
        <v>#REF!</v>
      </c>
      <c r="FX14" t="e">
        <f>#REF!-"$Cm=!N2"</f>
        <v>#REF!</v>
      </c>
      <c r="FY14" t="e">
        <f>#REF!-"$Cm=!N3"</f>
        <v>#REF!</v>
      </c>
      <c r="FZ14" t="e">
        <f>#REF!-"$Cm=!N4"</f>
        <v>#REF!</v>
      </c>
      <c r="GA14" t="e">
        <f>#REF!-"$Cm=!N5"</f>
        <v>#REF!</v>
      </c>
      <c r="GB14" t="e">
        <f>#REF!-"$Cm=!N6"</f>
        <v>#REF!</v>
      </c>
      <c r="GC14" t="e">
        <f>#REF!-"$Cm=!N7"</f>
        <v>#REF!</v>
      </c>
      <c r="GD14" t="e">
        <f>#REF!-"$Cm=!N8"</f>
        <v>#REF!</v>
      </c>
      <c r="GE14" t="e">
        <f>#REF!-"$Cm=!N9"</f>
        <v>#REF!</v>
      </c>
      <c r="GF14" t="e">
        <f>#REF!-"$Cm=!N:"</f>
        <v>#REF!</v>
      </c>
      <c r="GG14" t="e">
        <f>#REF!-"$Cm=!N;"</f>
        <v>#REF!</v>
      </c>
      <c r="GH14" t="e">
        <f>#REF!-"$Cm=!N&lt;"</f>
        <v>#REF!</v>
      </c>
      <c r="GI14" t="e">
        <f>#REF!-"$Cm=!N="</f>
        <v>#REF!</v>
      </c>
      <c r="GJ14" t="e">
        <f>#REF!-"$Cm=!N&gt;"</f>
        <v>#REF!</v>
      </c>
      <c r="GK14" t="e">
        <f>#REF!-"$Cm=!N?"</f>
        <v>#REF!</v>
      </c>
      <c r="GL14" t="e">
        <f>#REF!-"$Cm=!N@"</f>
        <v>#REF!</v>
      </c>
      <c r="GM14" t="e">
        <f>#REF!-"$Cm=!NA"</f>
        <v>#REF!</v>
      </c>
      <c r="GN14" t="e">
        <f>#REF!-"$Cm=!NB"</f>
        <v>#REF!</v>
      </c>
      <c r="GO14" t="e">
        <f>#REF!-"$Cm=!NC"</f>
        <v>#REF!</v>
      </c>
      <c r="GP14" t="e">
        <f>#REF!-"$Cm=!ND"</f>
        <v>#REF!</v>
      </c>
      <c r="GQ14" t="e">
        <f>#REF!-"$Cm=!NE"</f>
        <v>#REF!</v>
      </c>
      <c r="GR14" t="e">
        <f>#REF!-"$Cm=!NF"</f>
        <v>#REF!</v>
      </c>
      <c r="GS14" t="e">
        <f>#REF!-"$Cm=!NG"</f>
        <v>#REF!</v>
      </c>
      <c r="GT14" t="e">
        <f>#REF!-"$Cm=!NH"</f>
        <v>#REF!</v>
      </c>
      <c r="GU14" t="e">
        <f>#REF!-"$Cm=!NI"</f>
        <v>#REF!</v>
      </c>
      <c r="GV14" t="e">
        <f>#REF!-"$Cm=!NJ"</f>
        <v>#REF!</v>
      </c>
      <c r="GW14" t="e">
        <f>#REF!-"$Cm=!NK"</f>
        <v>#REF!</v>
      </c>
      <c r="GX14" t="e">
        <f>#REF!-"$Cm=!NL"</f>
        <v>#REF!</v>
      </c>
      <c r="GY14" t="e">
        <f>#REF!-"$Cm=!NM"</f>
        <v>#REF!</v>
      </c>
      <c r="GZ14" t="e">
        <f>#REF!-"$Cm=!NN"</f>
        <v>#REF!</v>
      </c>
      <c r="HA14" t="e">
        <f>#REF!-"$Cm=!NO"</f>
        <v>#REF!</v>
      </c>
      <c r="HB14" t="e">
        <f>#REF!-"$Cm=!NP"</f>
        <v>#REF!</v>
      </c>
      <c r="HC14" t="e">
        <f>#REF!-"$Cm=!NQ"</f>
        <v>#REF!</v>
      </c>
      <c r="HD14" t="e">
        <f>#REF!-"$Cm=!NR"</f>
        <v>#REF!</v>
      </c>
      <c r="HE14" t="e">
        <f>#REF!-"$Cm=!NS"</f>
        <v>#REF!</v>
      </c>
      <c r="HF14" t="e">
        <f>#REF!-"$Cm=!NT"</f>
        <v>#REF!</v>
      </c>
      <c r="HG14" t="e">
        <f>#REF!-"$Cm=!NU"</f>
        <v>#REF!</v>
      </c>
      <c r="HH14" t="e">
        <f>#REF!-"$Cm=!NV"</f>
        <v>#REF!</v>
      </c>
      <c r="HI14" t="e">
        <f>#REF!-"$Cm=!NW"</f>
        <v>#REF!</v>
      </c>
      <c r="HJ14" t="e">
        <f>#REF!-"$Cm=!NX"</f>
        <v>#REF!</v>
      </c>
      <c r="HK14" t="e">
        <f>#REF!-"$Cm=!NY"</f>
        <v>#REF!</v>
      </c>
      <c r="HL14" t="e">
        <f>#REF!-"$Cm=!NZ"</f>
        <v>#REF!</v>
      </c>
      <c r="HM14" t="e">
        <f>#REF!-"$Cm=!N["</f>
        <v>#REF!</v>
      </c>
      <c r="HN14" t="e">
        <f>#REF!-"$Cm=!N\"</f>
        <v>#REF!</v>
      </c>
      <c r="HO14" t="e">
        <f>#REF!-"$Cm=!N]"</f>
        <v>#REF!</v>
      </c>
      <c r="HP14" t="e">
        <f>#REF!-"$Cm=!N^"</f>
        <v>#REF!</v>
      </c>
      <c r="HQ14" t="e">
        <f>#REF!-"$Cm=!N_"</f>
        <v>#REF!</v>
      </c>
      <c r="HR14" t="e">
        <f>#REF!-"$Cm=!N`"</f>
        <v>#REF!</v>
      </c>
      <c r="HS14" t="e">
        <f>#REF!-"$Cm=!Na"</f>
        <v>#REF!</v>
      </c>
      <c r="HT14" t="e">
        <f>#REF!-"$Cm=!Nb"</f>
        <v>#REF!</v>
      </c>
      <c r="HU14" t="e">
        <f>#REF!-"$Cm=!Nc"</f>
        <v>#REF!</v>
      </c>
      <c r="HV14" t="e">
        <f>#REF!-"$Cm=!Nd"</f>
        <v>#REF!</v>
      </c>
      <c r="HW14" t="e">
        <f>#REF!-"$Cm=!Ne"</f>
        <v>#REF!</v>
      </c>
      <c r="HX14" t="e">
        <f>#REF!-"$Cm=!Nf"</f>
        <v>#REF!</v>
      </c>
      <c r="HY14" t="e">
        <f>#REF!-"$Cm=!Ng"</f>
        <v>#REF!</v>
      </c>
      <c r="HZ14" t="e">
        <f>#REF!-"$Cm=!Nh"</f>
        <v>#REF!</v>
      </c>
      <c r="IA14" t="e">
        <f>#REF!-"$Cm=!Ni"</f>
        <v>#REF!</v>
      </c>
      <c r="IB14" t="e">
        <f>#REF!-"$Cm=!Nj"</f>
        <v>#REF!</v>
      </c>
      <c r="IC14" t="e">
        <f>#REF!-"$Cm=!Nk"</f>
        <v>#REF!</v>
      </c>
      <c r="ID14" t="e">
        <f>#REF!-"$Cm=!Nl"</f>
        <v>#REF!</v>
      </c>
      <c r="IE14" t="e">
        <f>#REF!-"$Cm=!Nm"</f>
        <v>#REF!</v>
      </c>
      <c r="IF14" t="e">
        <f>#REF!-"$Cm=!Nn"</f>
        <v>#REF!</v>
      </c>
      <c r="IG14" t="e">
        <f>#REF!-"$Cm=!No"</f>
        <v>#REF!</v>
      </c>
      <c r="IH14" t="e">
        <f>#REF!-"$Cm=!Np"</f>
        <v>#REF!</v>
      </c>
      <c r="II14" t="e">
        <f>#REF!-"$Cm=!Nq"</f>
        <v>#REF!</v>
      </c>
      <c r="IJ14" t="e">
        <f>#REF!-"$Cm=!Nr"</f>
        <v>#REF!</v>
      </c>
      <c r="IK14" t="e">
        <f>#REF!-"$Cm=!Ns"</f>
        <v>#REF!</v>
      </c>
      <c r="IL14" t="e">
        <f>#REF!-"$Cm=!Nt"</f>
        <v>#REF!</v>
      </c>
      <c r="IM14" t="e">
        <f>#REF!-"$Cm=!Nu"</f>
        <v>#REF!</v>
      </c>
      <c r="IN14" t="e">
        <f>#REF!-"$Cm=!Nv"</f>
        <v>#REF!</v>
      </c>
      <c r="IO14" t="e">
        <f>#REF!-"$Cm=!Nw"</f>
        <v>#REF!</v>
      </c>
      <c r="IP14" t="e">
        <f>#REF!-"$Cm=!Nx"</f>
        <v>#REF!</v>
      </c>
      <c r="IQ14" t="e">
        <f>#REF!-"$Cm=!Ny"</f>
        <v>#REF!</v>
      </c>
      <c r="IR14" t="e">
        <f>#REF!-"$Cm=!Nz"</f>
        <v>#REF!</v>
      </c>
      <c r="IS14" t="e">
        <f>#REF!-"$Cm=!N{"</f>
        <v>#REF!</v>
      </c>
      <c r="IT14" t="e">
        <f>#REF!-"$Cm=!N|"</f>
        <v>#REF!</v>
      </c>
      <c r="IU14" t="e">
        <f>#REF!-"$Cm=!N}"</f>
        <v>#REF!</v>
      </c>
      <c r="IV14" t="e">
        <f>#REF!+"$Cm=!N~"</f>
        <v>#REF!</v>
      </c>
    </row>
    <row r="15" spans="1:256">
      <c r="F15" t="e">
        <f>#REF!+"$Cm=!O#"</f>
        <v>#REF!</v>
      </c>
      <c r="G15" t="e">
        <f>#REF!+"$Cm=!O$"</f>
        <v>#REF!</v>
      </c>
      <c r="H15" t="e">
        <f>#REF!+"$Cm=!O%"</f>
        <v>#REF!</v>
      </c>
      <c r="I15" t="e">
        <f>#REF!+"$Cm=!O&amp;"</f>
        <v>#REF!</v>
      </c>
      <c r="J15" t="e">
        <f>#REF!+"$Cm=!O'"</f>
        <v>#REF!</v>
      </c>
      <c r="K15" t="e">
        <f>#REF!+"$Cm=!O("</f>
        <v>#REF!</v>
      </c>
      <c r="L15" t="e">
        <f>#REF!+"$Cm=!O)"</f>
        <v>#REF!</v>
      </c>
      <c r="M15" t="e">
        <f>#REF!+"$Cm=!O."</f>
        <v>#REF!</v>
      </c>
      <c r="N15" t="e">
        <f>#REF!+"$Cm=!O/"</f>
        <v>#REF!</v>
      </c>
      <c r="O15" t="e">
        <f>#REF!+"$Cm=!O0"</f>
        <v>#REF!</v>
      </c>
      <c r="P15" t="e">
        <f>#REF!+"$Cm=!O1"</f>
        <v>#REF!</v>
      </c>
      <c r="Q15" t="e">
        <f>#REF!+"$Cm=!O2"</f>
        <v>#REF!</v>
      </c>
      <c r="R15" t="e">
        <f>#REF!+"$Cm=!O3"</f>
        <v>#REF!</v>
      </c>
      <c r="S15" t="e">
        <f>#REF!+"$Cm=!O4"</f>
        <v>#REF!</v>
      </c>
      <c r="T15" t="e">
        <f>#REF!+"$Cm=!O5"</f>
        <v>#REF!</v>
      </c>
      <c r="U15" t="e">
        <f>#REF!+"$Cm=!O6"</f>
        <v>#REF!</v>
      </c>
      <c r="V15" t="e">
        <f>#REF!+"$Cm=!O7"</f>
        <v>#REF!</v>
      </c>
      <c r="W15" t="e">
        <f>#REF!+"$Cm=!O8"</f>
        <v>#REF!</v>
      </c>
      <c r="X15" t="e">
        <f>#REF!+"$Cm=!O9"</f>
        <v>#REF!</v>
      </c>
      <c r="Y15" t="e">
        <f>#REF!+"$Cm=!O:"</f>
        <v>#REF!</v>
      </c>
      <c r="Z15" t="e">
        <f>#REF!+"$Cm=!O;"</f>
        <v>#REF!</v>
      </c>
      <c r="AA15" t="e">
        <f>#REF!+"$Cm=!O&lt;"</f>
        <v>#REF!</v>
      </c>
      <c r="AB15" t="e">
        <f>#REF!+"$Cm=!O="</f>
        <v>#REF!</v>
      </c>
      <c r="AC15" t="e">
        <f>#REF!+"$Cm=!O&gt;"</f>
        <v>#REF!</v>
      </c>
      <c r="AD15" t="e">
        <f>#REF!+"$Cm=!O?"</f>
        <v>#REF!</v>
      </c>
      <c r="AE15" t="e">
        <f>#REF!+"$Cm=!O@"</f>
        <v>#REF!</v>
      </c>
      <c r="AF15" t="e">
        <f>#REF!+"$Cm=!OA"</f>
        <v>#REF!</v>
      </c>
      <c r="AG15" t="e">
        <f>#REF!+"$Cm=!OB"</f>
        <v>#REF!</v>
      </c>
      <c r="AH15" t="e">
        <f>#REF!+"$Cm=!OC"</f>
        <v>#REF!</v>
      </c>
      <c r="AI15" t="e">
        <f>#REF!+"$Cm=!OD"</f>
        <v>#REF!</v>
      </c>
      <c r="AJ15" t="e">
        <f>#REF!+"$Cm=!OE"</f>
        <v>#REF!</v>
      </c>
      <c r="AK15" t="e">
        <f>#REF!+"$Cm=!OF"</f>
        <v>#REF!</v>
      </c>
      <c r="AL15" t="e">
        <f>#REF!+"$Cm=!OG"</f>
        <v>#REF!</v>
      </c>
      <c r="AM15" t="e">
        <f>#REF!+"$Cm=!OH"</f>
        <v>#REF!</v>
      </c>
      <c r="AN15" t="e">
        <f>#REF!+"$Cm=!OI"</f>
        <v>#REF!</v>
      </c>
      <c r="AO15" t="e">
        <f>#REF!+"$Cm=!OJ"</f>
        <v>#REF!</v>
      </c>
      <c r="AP15" t="e">
        <f>#REF!+"$Cm=!OK"</f>
        <v>#REF!</v>
      </c>
      <c r="AQ15" t="e">
        <f>#REF!+"$Cm=!OL"</f>
        <v>#REF!</v>
      </c>
      <c r="AR15" t="e">
        <f>#REF!+"$Cm=!OM"</f>
        <v>#REF!</v>
      </c>
      <c r="AS15" t="e">
        <f>#REF!+"$Cm=!ON"</f>
        <v>#REF!</v>
      </c>
      <c r="AT15" t="e">
        <f>#REF!+"$Cm=!OO"</f>
        <v>#REF!</v>
      </c>
      <c r="AU15" t="e">
        <f>#REF!+"$Cm=!OP"</f>
        <v>#REF!</v>
      </c>
      <c r="AV15" t="e">
        <f>#REF!+"$Cm=!OQ"</f>
        <v>#REF!</v>
      </c>
      <c r="AW15" t="e">
        <f>#REF!+"$Cm=!OR"</f>
        <v>#REF!</v>
      </c>
      <c r="AX15" t="e">
        <f>#REF!+"$Cm=!OS"</f>
        <v>#REF!</v>
      </c>
      <c r="AY15" t="e">
        <f>#REF!+"$Cm=!OT"</f>
        <v>#REF!</v>
      </c>
      <c r="AZ15" t="e">
        <f>#REF!+"$Cm=!OU"</f>
        <v>#REF!</v>
      </c>
      <c r="BA15" t="e">
        <f>#REF!+"$Cm=!OV"</f>
        <v>#REF!</v>
      </c>
      <c r="BB15" t="e">
        <f>#REF!+"$Cm=!OW"</f>
        <v>#REF!</v>
      </c>
      <c r="BC15" t="e">
        <f>#REF!+"$Cm=!OX"</f>
        <v>#REF!</v>
      </c>
      <c r="BD15" t="e">
        <f>#REF!+"$Cm=!OY"</f>
        <v>#REF!</v>
      </c>
      <c r="BE15" t="e">
        <f>#REF!+"$Cm=!OZ"</f>
        <v>#REF!</v>
      </c>
      <c r="BF15" t="e">
        <f>#REF!+"$Cm=!O["</f>
        <v>#REF!</v>
      </c>
      <c r="BG15" t="e">
        <f>#REF!+"$Cm=!O\"</f>
        <v>#REF!</v>
      </c>
      <c r="BH15" t="e">
        <f>#REF!+"$Cm=!O]"</f>
        <v>#REF!</v>
      </c>
      <c r="BI15" t="e">
        <f>#REF!+"$Cm=!O^"</f>
        <v>#REF!</v>
      </c>
      <c r="BJ15" t="e">
        <f>#REF!+"$Cm=!O_"</f>
        <v>#REF!</v>
      </c>
      <c r="BK15" t="e">
        <f>#REF!+"$Cm=!O`"</f>
        <v>#REF!</v>
      </c>
      <c r="BL15" t="e">
        <f>#REF!+"$Cm=!Oa"</f>
        <v>#REF!</v>
      </c>
      <c r="BM15" t="e">
        <f>#REF!+"$Cm=!Ob"</f>
        <v>#REF!</v>
      </c>
      <c r="BN15" t="e">
        <f>#REF!+"$Cm=!Oc"</f>
        <v>#REF!</v>
      </c>
      <c r="BO15" t="e">
        <f>#REF!+"$Cm=!Od"</f>
        <v>#REF!</v>
      </c>
      <c r="BP15" t="e">
        <f>#REF!+"$Cm=!Oe"</f>
        <v>#REF!</v>
      </c>
      <c r="BQ15" t="e">
        <f>#REF!+"$Cm=!Of"</f>
        <v>#REF!</v>
      </c>
      <c r="BR15" t="e">
        <f>#REF!+"$Cm=!Og"</f>
        <v>#REF!</v>
      </c>
      <c r="BS15" t="e">
        <f>#REF!+"$Cm=!Oh"</f>
        <v>#REF!</v>
      </c>
      <c r="BT15" t="e">
        <f>#REF!+"$Cm=!Oi"</f>
        <v>#REF!</v>
      </c>
      <c r="BU15" t="e">
        <f>#REF!+"$Cm=!Oj"</f>
        <v>#REF!</v>
      </c>
      <c r="BV15" t="e">
        <f>#REF!+"$Cm=!Ok"</f>
        <v>#REF!</v>
      </c>
      <c r="BW15" t="e">
        <f>#REF!+"$Cm=!Ol"</f>
        <v>#REF!</v>
      </c>
      <c r="BX15" t="e">
        <f>#REF!+"$Cm=!Om"</f>
        <v>#REF!</v>
      </c>
      <c r="BY15" t="e">
        <f>#REF!+"$Cm=!On"</f>
        <v>#REF!</v>
      </c>
      <c r="BZ15" t="e">
        <f>#REF!+"$Cm=!Oo"</f>
        <v>#REF!</v>
      </c>
      <c r="CA15" t="e">
        <f>#REF!+"$Cm=!Op"</f>
        <v>#REF!</v>
      </c>
      <c r="CB15" t="e">
        <f>#REF!+"$Cm=!Oq"</f>
        <v>#REF!</v>
      </c>
      <c r="CC15" t="e">
        <f>#REF!+"$Cm=!Or"</f>
        <v>#REF!</v>
      </c>
      <c r="CD15" t="e">
        <f>#REF!+"$Cm=!Os"</f>
        <v>#REF!</v>
      </c>
      <c r="CE15" t="e">
        <f>#REF!+"$Cm=!Ot"</f>
        <v>#REF!</v>
      </c>
      <c r="CF15" t="e">
        <f>#REF!+"$Cm=!Ou"</f>
        <v>#REF!</v>
      </c>
      <c r="CG15" t="e">
        <f>#REF!+"$Cm=!Ov"</f>
        <v>#REF!</v>
      </c>
      <c r="CH15" t="e">
        <f>#REF!+"$Cm=!Ow"</f>
        <v>#REF!</v>
      </c>
      <c r="CI15" t="e">
        <f>#REF!+"$Cm=!Ox"</f>
        <v>#REF!</v>
      </c>
      <c r="CJ15" t="e">
        <f>#REF!+"$Cm=!Oy"</f>
        <v>#REF!</v>
      </c>
      <c r="CK15" t="e">
        <f>#REF!+"$Cm=!Oz"</f>
        <v>#REF!</v>
      </c>
      <c r="CL15" t="e">
        <f>#REF!+"$Cm=!O{"</f>
        <v>#REF!</v>
      </c>
      <c r="CM15" t="e">
        <f>#REF!+"$Cm=!O|"</f>
        <v>#REF!</v>
      </c>
      <c r="CN15" t="e">
        <f>#REF!+"$Cm=!O}"</f>
        <v>#REF!</v>
      </c>
      <c r="CO15" t="e">
        <f>#REF!+"$Cm=!O~"</f>
        <v>#REF!</v>
      </c>
      <c r="CP15" t="e">
        <f>#REF!+"$Cm=!P#"</f>
        <v>#REF!</v>
      </c>
      <c r="CQ15" t="e">
        <f>#REF!+"$Cm=!P$"</f>
        <v>#REF!</v>
      </c>
      <c r="CR15" t="e">
        <f>#REF!+"$Cm=!P%"</f>
        <v>#REF!</v>
      </c>
      <c r="CS15" t="e">
        <f>#REF!+"$Cm=!P&amp;"</f>
        <v>#REF!</v>
      </c>
      <c r="CT15" t="e">
        <f>#REF!+"$Cm=!P'"</f>
        <v>#REF!</v>
      </c>
      <c r="CU15" t="e">
        <f>#REF!+"$Cm=!P("</f>
        <v>#REF!</v>
      </c>
      <c r="CV15" t="e">
        <f>#REF!+"$Cm=!P)"</f>
        <v>#REF!</v>
      </c>
      <c r="CW15" t="e">
        <f>#REF!+"$Cm=!P."</f>
        <v>#REF!</v>
      </c>
      <c r="CX15" t="e">
        <f>#REF!+"$Cm=!P/"</f>
        <v>#REF!</v>
      </c>
      <c r="CY15" t="e">
        <f>#REF!+"$Cm=!P0"</f>
        <v>#REF!</v>
      </c>
      <c r="CZ15" t="e">
        <f>#REF!+"$Cm=!P1"</f>
        <v>#REF!</v>
      </c>
      <c r="DA15" t="e">
        <f>#REF!+"$Cm=!P2"</f>
        <v>#REF!</v>
      </c>
      <c r="DB15" t="e">
        <f>#REF!+"$Cm=!P3"</f>
        <v>#REF!</v>
      </c>
      <c r="DC15" t="e">
        <f>#REF!+"$Cm=!P4"</f>
        <v>#REF!</v>
      </c>
      <c r="DD15" t="e">
        <f>#REF!+"$Cm=!P5"</f>
        <v>#REF!</v>
      </c>
      <c r="DE15" t="e">
        <f>#REF!+"$Cm=!P6"</f>
        <v>#REF!</v>
      </c>
      <c r="DF15" t="e">
        <f>#REF!+"$Cm=!P7"</f>
        <v>#REF!</v>
      </c>
      <c r="DG15" t="e">
        <f>#REF!+"$Cm=!P8"</f>
        <v>#REF!</v>
      </c>
      <c r="DH15" t="e">
        <f>#REF!+"$Cm=!P9"</f>
        <v>#REF!</v>
      </c>
      <c r="DI15" t="e">
        <f>#REF!+"$Cm=!P:"</f>
        <v>#REF!</v>
      </c>
      <c r="DJ15" t="e">
        <f>#REF!+"$Cm=!P;"</f>
        <v>#REF!</v>
      </c>
      <c r="DK15" t="e">
        <f>#REF!+"$Cm=!P&lt;"</f>
        <v>#REF!</v>
      </c>
      <c r="DL15" t="e">
        <f>#REF!+"$Cm=!P="</f>
        <v>#REF!</v>
      </c>
      <c r="DM15" t="e">
        <f>#REF!+"$Cm=!P&gt;"</f>
        <v>#REF!</v>
      </c>
      <c r="DN15" t="e">
        <f>#REF!+"$Cm=!P?"</f>
        <v>#REF!</v>
      </c>
      <c r="DO15" t="e">
        <f>#REF!+"$Cm=!P@"</f>
        <v>#REF!</v>
      </c>
      <c r="DP15" t="e">
        <f>#REF!+"$Cm=!PA"</f>
        <v>#REF!</v>
      </c>
      <c r="DQ15" t="e">
        <f>#REF!+"$Cm=!PB"</f>
        <v>#REF!</v>
      </c>
      <c r="DR15" t="e">
        <f>#REF!+"$Cm=!PC"</f>
        <v>#REF!</v>
      </c>
      <c r="DS15" t="e">
        <f>#REF!+"$Cm=!PD"</f>
        <v>#REF!</v>
      </c>
      <c r="DT15" t="e">
        <f>#REF!+"$Cm=!PE"</f>
        <v>#REF!</v>
      </c>
      <c r="DU15" t="e">
        <f>#REF!+"$Cm=!PF"</f>
        <v>#REF!</v>
      </c>
      <c r="DV15" t="e">
        <f>#REF!+"$Cm=!PG"</f>
        <v>#REF!</v>
      </c>
      <c r="DW15" t="e">
        <f>#REF!+"$Cm=!PH"</f>
        <v>#REF!</v>
      </c>
      <c r="DX15" t="e">
        <f>#REF!+"$Cm=!PI"</f>
        <v>#REF!</v>
      </c>
      <c r="DY15" t="e">
        <f>#REF!+"$Cm=!PJ"</f>
        <v>#REF!</v>
      </c>
      <c r="DZ15" t="e">
        <f>#REF!+"$Cm=!PK"</f>
        <v>#REF!</v>
      </c>
      <c r="EA15" t="e">
        <f>#REF!+"$Cm=!PL"</f>
        <v>#REF!</v>
      </c>
      <c r="EB15" t="e">
        <f>#REF!+"$Cm=!PM"</f>
        <v>#REF!</v>
      </c>
      <c r="EC15" t="e">
        <f>#REF!+"$Cm=!PN"</f>
        <v>#REF!</v>
      </c>
      <c r="ED15" t="e">
        <f>#REF!+"$Cm=!PO"</f>
        <v>#REF!</v>
      </c>
      <c r="EE15" t="e">
        <f>#REF!+"$Cm=!PP"</f>
        <v>#REF!</v>
      </c>
      <c r="EF15" t="e">
        <f>#REF!+"$Cm=!PQ"</f>
        <v>#REF!</v>
      </c>
      <c r="EG15" t="e">
        <f>#REF!+"$Cm=!PR"</f>
        <v>#REF!</v>
      </c>
      <c r="EH15" t="e">
        <f>#REF!+"$Cm=!PS"</f>
        <v>#REF!</v>
      </c>
      <c r="EI15" t="e">
        <f>#REF!+"$Cm=!PT"</f>
        <v>#REF!</v>
      </c>
      <c r="EJ15" t="e">
        <f>#REF!+"$Cm=!PU"</f>
        <v>#REF!</v>
      </c>
      <c r="EK15" t="e">
        <f>#REF!+"$Cm=!PV"</f>
        <v>#REF!</v>
      </c>
      <c r="EL15" t="e">
        <f>#REF!+"$Cm=!PW"</f>
        <v>#REF!</v>
      </c>
      <c r="EM15" t="e">
        <f>#REF!+"$Cm=!PX"</f>
        <v>#REF!</v>
      </c>
      <c r="EN15" t="e">
        <f>#REF!+"$Cm=!PY"</f>
        <v>#REF!</v>
      </c>
      <c r="EO15" t="e">
        <f>#REF!+"$Cm=!PZ"</f>
        <v>#REF!</v>
      </c>
      <c r="EP15" t="e">
        <f>#REF!+"$Cm=!P["</f>
        <v>#REF!</v>
      </c>
      <c r="EQ15" t="e">
        <f>#REF!+"$Cm=!P\"</f>
        <v>#REF!</v>
      </c>
      <c r="ER15" t="e">
        <f>#REF!+"$Cm=!P]"</f>
        <v>#REF!</v>
      </c>
      <c r="ES15" t="e">
        <f>#REF!+"$Cm=!P^"</f>
        <v>#REF!</v>
      </c>
      <c r="ET15" t="e">
        <f>#REF!+"$Cm=!P_"</f>
        <v>#REF!</v>
      </c>
      <c r="EU15" t="e">
        <f>#REF!+"$Cm=!P`"</f>
        <v>#REF!</v>
      </c>
      <c r="EV15" t="e">
        <f>#REF!+"$Cm=!Pa"</f>
        <v>#REF!</v>
      </c>
      <c r="EW15" t="e">
        <f>#REF!+"$Cm=!Pb"</f>
        <v>#REF!</v>
      </c>
      <c r="EX15" t="e">
        <f>#REF!+"$Cm=!Pc"</f>
        <v>#REF!</v>
      </c>
      <c r="EY15" t="e">
        <f>#REF!+"$Cm=!Pd"</f>
        <v>#REF!</v>
      </c>
      <c r="EZ15" t="e">
        <f>#REF!+"$Cm=!Pe"</f>
        <v>#REF!</v>
      </c>
      <c r="FA15" t="e">
        <f>#REF!+"$Cm=!Pf"</f>
        <v>#REF!</v>
      </c>
      <c r="FB15" t="e">
        <f>#REF!+"$Cm=!Pg"</f>
        <v>#REF!</v>
      </c>
      <c r="FC15" t="e">
        <f>#REF!+"$Cm=!Ph"</f>
        <v>#REF!</v>
      </c>
      <c r="FD15" t="e">
        <f>#REF!+"$Cm=!Pi"</f>
        <v>#REF!</v>
      </c>
      <c r="FE15" t="e">
        <f>#REF!+"$Cm=!Pj"</f>
        <v>#REF!</v>
      </c>
      <c r="FF15" t="e">
        <f>#REF!+"$Cm=!Pk"</f>
        <v>#REF!</v>
      </c>
      <c r="FG15" t="e">
        <f>#REF!+"$Cm=!Pl"</f>
        <v>#REF!</v>
      </c>
      <c r="FH15" t="e">
        <f>#REF!+"$Cm=!Pm"</f>
        <v>#REF!</v>
      </c>
      <c r="FI15" t="e">
        <f>#REF!+"$Cm=!Pn"</f>
        <v>#REF!</v>
      </c>
      <c r="FJ15" t="e">
        <f>#REF!+"$Cm=!Po"</f>
        <v>#REF!</v>
      </c>
      <c r="FK15" t="e">
        <f>#REF!+"$Cm=!Pp"</f>
        <v>#REF!</v>
      </c>
      <c r="FL15" t="e">
        <f>#REF!+"$Cm=!Pq"</f>
        <v>#REF!</v>
      </c>
      <c r="FM15" t="e">
        <f>#REF!+"$Cm=!Pr"</f>
        <v>#REF!</v>
      </c>
      <c r="FN15" t="e">
        <f>#REF!+"$Cm=!Ps"</f>
        <v>#REF!</v>
      </c>
      <c r="FO15" t="e">
        <f>#REF!+"$Cm=!Pt"</f>
        <v>#REF!</v>
      </c>
      <c r="FP15" t="e">
        <f>#REF!+"$Cm=!Pu"</f>
        <v>#REF!</v>
      </c>
      <c r="FQ15" t="e">
        <f>#REF!+"$Cm=!Pv"</f>
        <v>#REF!</v>
      </c>
      <c r="FR15" t="e">
        <f>#REF!+"$Cm=!Pw"</f>
        <v>#REF!</v>
      </c>
      <c r="FS15" t="e">
        <f>#REF!+"$Cm=!Px"</f>
        <v>#REF!</v>
      </c>
      <c r="FT15" t="e">
        <f>#REF!+"$Cm=!Py"</f>
        <v>#REF!</v>
      </c>
      <c r="FU15" t="e">
        <f>#REF!+"$Cm=!Pz"</f>
        <v>#REF!</v>
      </c>
      <c r="FV15" t="e">
        <f>#REF!+"$Cm=!P{"</f>
        <v>#REF!</v>
      </c>
      <c r="FW15" t="e">
        <f>#REF!+"$Cm=!P|"</f>
        <v>#REF!</v>
      </c>
      <c r="FX15" t="e">
        <f>#REF!+"$Cm=!P}"</f>
        <v>#REF!</v>
      </c>
      <c r="FY15" t="e">
        <f>#REF!+"$Cm=!P~"</f>
        <v>#REF!</v>
      </c>
      <c r="FZ15" t="e">
        <f>#REF!+"$Cm=!Q#"</f>
        <v>#REF!</v>
      </c>
      <c r="GA15" t="e">
        <f>#REF!+"$Cm=!Q$"</f>
        <v>#REF!</v>
      </c>
      <c r="GB15" t="e">
        <f>#REF!+"$Cm=!Q%"</f>
        <v>#REF!</v>
      </c>
      <c r="GC15" t="e">
        <f>#REF!+"$Cm=!Q&amp;"</f>
        <v>#REF!</v>
      </c>
      <c r="GD15" t="e">
        <f>#REF!+"$Cm=!Q'"</f>
        <v>#REF!</v>
      </c>
      <c r="GE15" t="e">
        <f>#REF!+"$Cm=!Q("</f>
        <v>#REF!</v>
      </c>
      <c r="GF15" t="e">
        <f>#REF!+"$Cm=!Q)"</f>
        <v>#REF!</v>
      </c>
      <c r="GG15" t="e">
        <f>#REF!+"$Cm=!Q."</f>
        <v>#REF!</v>
      </c>
      <c r="GH15" t="e">
        <f>#REF!+"$Cm=!Q/"</f>
        <v>#REF!</v>
      </c>
      <c r="GI15" t="e">
        <f>#REF!+"$Cm=!Q0"</f>
        <v>#REF!</v>
      </c>
      <c r="GJ15" t="e">
        <f>#REF!+"$Cm=!Q1"</f>
        <v>#REF!</v>
      </c>
      <c r="GK15" t="e">
        <f>#REF!+"$Cm=!Q2"</f>
        <v>#REF!</v>
      </c>
      <c r="GL15" t="e">
        <f>#REF!+"$Cm=!Q3"</f>
        <v>#REF!</v>
      </c>
      <c r="GM15" t="e">
        <f>#REF!+"$Cm=!Q4"</f>
        <v>#REF!</v>
      </c>
      <c r="GN15" t="e">
        <f>#REF!+"$Cm=!Q5"</f>
        <v>#REF!</v>
      </c>
      <c r="GO15" t="e">
        <f>#REF!+"$Cm=!Q6"</f>
        <v>#REF!</v>
      </c>
      <c r="GP15" t="e">
        <f>#REF!+"$Cm=!Q7"</f>
        <v>#REF!</v>
      </c>
      <c r="GQ15" t="e">
        <f>#REF!+"$Cm=!Q8"</f>
        <v>#REF!</v>
      </c>
      <c r="GR15" t="e">
        <f>#REF!+"$Cm=!Q9"</f>
        <v>#REF!</v>
      </c>
      <c r="GS15" t="e">
        <f>#REF!+"$Cm=!Q:"</f>
        <v>#REF!</v>
      </c>
      <c r="GT15" t="e">
        <f>#REF!+"$Cm=!Q;"</f>
        <v>#REF!</v>
      </c>
      <c r="GU15" t="e">
        <f>#REF!+"$Cm=!Q&lt;"</f>
        <v>#REF!</v>
      </c>
      <c r="GV15" t="e">
        <f>#REF!+"$Cm=!Q="</f>
        <v>#REF!</v>
      </c>
      <c r="GW15" t="e">
        <f>#REF!+"$Cm=!Q&gt;"</f>
        <v>#REF!</v>
      </c>
      <c r="GX15" t="e">
        <f>#REF!+"$Cm=!Q?"</f>
        <v>#REF!</v>
      </c>
      <c r="GY15" t="e">
        <f>#REF!+"$Cm=!Q@"</f>
        <v>#REF!</v>
      </c>
      <c r="GZ15" t="e">
        <f>#REF!+"$Cm=!QA"</f>
        <v>#REF!</v>
      </c>
      <c r="HA15" t="e">
        <f>#REF!+"$Cm=!QB"</f>
        <v>#REF!</v>
      </c>
      <c r="HB15" t="e">
        <f>#REF!+"$Cm=!QC"</f>
        <v>#REF!</v>
      </c>
      <c r="HC15" t="e">
        <f>#REF!+"$Cm=!QD"</f>
        <v>#REF!</v>
      </c>
      <c r="HD15" t="e">
        <f>#REF!+"$Cm=!QE"</f>
        <v>#REF!</v>
      </c>
      <c r="HE15" t="e">
        <f>#REF!+"$Cm=!QF"</f>
        <v>#REF!</v>
      </c>
      <c r="HF15" t="e">
        <f>#REF!+"$Cm=!QG"</f>
        <v>#REF!</v>
      </c>
      <c r="HG15" t="e">
        <f>#REF!+"$Cm=!QH"</f>
        <v>#REF!</v>
      </c>
      <c r="HH15" t="e">
        <f>#REF!+"$Cm=!QI"</f>
        <v>#REF!</v>
      </c>
      <c r="HI15" t="e">
        <f>#REF!+"$Cm=!QJ"</f>
        <v>#REF!</v>
      </c>
      <c r="HJ15" t="e">
        <f>#REF!+"$Cm=!QK"</f>
        <v>#REF!</v>
      </c>
      <c r="HK15" t="e">
        <f>#REF!+"$Cm=!QL"</f>
        <v>#REF!</v>
      </c>
      <c r="HL15" t="e">
        <f>#REF!+"$Cm=!QM"</f>
        <v>#REF!</v>
      </c>
      <c r="HM15" t="e">
        <f>#REF!+"$Cm=!QN"</f>
        <v>#REF!</v>
      </c>
      <c r="HN15" t="e">
        <f>#REF!+"$Cm=!QO"</f>
        <v>#REF!</v>
      </c>
      <c r="HO15" t="e">
        <f>#REF!+"$Cm=!QP"</f>
        <v>#REF!</v>
      </c>
      <c r="HP15" t="e">
        <f>#REF!+"$Cm=!QQ"</f>
        <v>#REF!</v>
      </c>
      <c r="HQ15" t="e">
        <f>#REF!+"$Cm=!QR"</f>
        <v>#REF!</v>
      </c>
      <c r="HR15" t="e">
        <f>#REF!+"$Cm=!QS"</f>
        <v>#REF!</v>
      </c>
      <c r="HS15" t="e">
        <f>#REF!+"$Cm=!QT"</f>
        <v>#REF!</v>
      </c>
      <c r="HT15" t="e">
        <f>#REF!+"$Cm=!QU"</f>
        <v>#REF!</v>
      </c>
      <c r="HU15" t="e">
        <f>#REF!+"$Cm=!QV"</f>
        <v>#REF!</v>
      </c>
      <c r="HV15" t="e">
        <f>#REF!+"$Cm=!QW"</f>
        <v>#REF!</v>
      </c>
      <c r="HW15" t="e">
        <f>#REF!+"$Cm=!QX"</f>
        <v>#REF!</v>
      </c>
      <c r="HX15" t="e">
        <f>#REF!+"$Cm=!QY"</f>
        <v>#REF!</v>
      </c>
      <c r="HY15" t="e">
        <f>#REF!+"$Cm=!QZ"</f>
        <v>#REF!</v>
      </c>
      <c r="HZ15" t="e">
        <f>#REF!+"$Cm=!Q["</f>
        <v>#REF!</v>
      </c>
      <c r="IA15" t="e">
        <f>#REF!+"$Cm=!Q\"</f>
        <v>#REF!</v>
      </c>
      <c r="IB15" t="e">
        <f>#REF!+"$Cm=!Q]"</f>
        <v>#REF!</v>
      </c>
      <c r="IC15" t="e">
        <f>#REF!+"$Cm=!Q^"</f>
        <v>#REF!</v>
      </c>
      <c r="ID15" t="e">
        <f>#REF!+"$Cm=!Q_"</f>
        <v>#REF!</v>
      </c>
      <c r="IE15" t="e">
        <f>#REF!+"$Cm=!Q`"</f>
        <v>#REF!</v>
      </c>
      <c r="IF15" t="e">
        <f>#REF!+"$Cm=!Qa"</f>
        <v>#REF!</v>
      </c>
      <c r="IG15" t="e">
        <f>#REF!+"$Cm=!Qb"</f>
        <v>#REF!</v>
      </c>
      <c r="IH15" t="e">
        <f>#REF!+"$Cm=!Qc"</f>
        <v>#REF!</v>
      </c>
      <c r="II15" t="e">
        <f>#REF!+"$Cm=!Qd"</f>
        <v>#REF!</v>
      </c>
      <c r="IJ15" t="e">
        <f>#REF!+"$Cm=!Qe"</f>
        <v>#REF!</v>
      </c>
      <c r="IK15" t="e">
        <f>#REF!+"$Cm=!Qf"</f>
        <v>#REF!</v>
      </c>
      <c r="IL15" t="e">
        <f>#REF!+"$Cm=!Qg"</f>
        <v>#REF!</v>
      </c>
      <c r="IM15" t="e">
        <f>#REF!+"$Cm=!Qh"</f>
        <v>#REF!</v>
      </c>
      <c r="IN15" t="e">
        <f>#REF!+"$Cm=!Qi"</f>
        <v>#REF!</v>
      </c>
      <c r="IO15" t="e">
        <f>#REF!+"$Cm=!Qj"</f>
        <v>#REF!</v>
      </c>
      <c r="IP15" t="e">
        <f>#REF!+"$Cm=!Qk"</f>
        <v>#REF!</v>
      </c>
      <c r="IQ15" t="e">
        <f>#REF!+"$Cm=!Ql"</f>
        <v>#REF!</v>
      </c>
      <c r="IR15" t="e">
        <f>#REF!+"$Cm=!Qm"</f>
        <v>#REF!</v>
      </c>
      <c r="IS15" t="e">
        <f>#REF!+"$Cm=!Qn"</f>
        <v>#REF!</v>
      </c>
      <c r="IT15" t="e">
        <f>#REF!+"$Cm=!Qo"</f>
        <v>#REF!</v>
      </c>
      <c r="IU15" t="e">
        <f>#REF!+"$Cm=!Qp"</f>
        <v>#REF!</v>
      </c>
      <c r="IV15" t="e">
        <f>#REF!+"$Cm=!Qq"</f>
        <v>#REF!</v>
      </c>
    </row>
    <row r="16" spans="1:256">
      <c r="F16" t="e">
        <f>#REF!+"$Cm=!Qr"</f>
        <v>#REF!</v>
      </c>
      <c r="G16" t="e">
        <f>#REF!+"$Cm=!Qs"</f>
        <v>#REF!</v>
      </c>
      <c r="H16" t="e">
        <f>#REF!+"$Cm=!Qt"</f>
        <v>#REF!</v>
      </c>
      <c r="I16" t="e">
        <f>#REF!+"$Cm=!Qu"</f>
        <v>#REF!</v>
      </c>
      <c r="J16" t="e">
        <f>#REF!+"$Cm=!Qv"</f>
        <v>#REF!</v>
      </c>
      <c r="K16" t="e">
        <f>#REF!+"$Cm=!Qw"</f>
        <v>#REF!</v>
      </c>
      <c r="L16" t="e">
        <f>#REF!+"$Cm=!Qx"</f>
        <v>#REF!</v>
      </c>
      <c r="M16" t="e">
        <f>#REF!+"$Cm=!Qy"</f>
        <v>#REF!</v>
      </c>
      <c r="N16" t="e">
        <f>#REF!+"$Cm=!Qz"</f>
        <v>#REF!</v>
      </c>
      <c r="O16" t="e">
        <f>#REF!+"$Cm=!Q{"</f>
        <v>#REF!</v>
      </c>
      <c r="P16" t="e">
        <f>#REF!+"$Cm=!Q|"</f>
        <v>#REF!</v>
      </c>
      <c r="Q16" t="e">
        <f>#REF!+"$Cm=!Q}"</f>
        <v>#REF!</v>
      </c>
      <c r="R16" t="e">
        <f>#REF!+"$Cm=!Q~"</f>
        <v>#REF!</v>
      </c>
      <c r="S16" t="e">
        <f>#REF!+"$Cm=!R#"</f>
        <v>#REF!</v>
      </c>
      <c r="T16" t="e">
        <f>#REF!+"$Cm=!R$"</f>
        <v>#REF!</v>
      </c>
      <c r="U16" t="e">
        <f>#REF!+"$Cm=!R%"</f>
        <v>#REF!</v>
      </c>
      <c r="V16" t="e">
        <f>#REF!+"$Cm=!R&amp;"</f>
        <v>#REF!</v>
      </c>
      <c r="W16" t="e">
        <f>#REF!+"$Cm=!R'"</f>
        <v>#REF!</v>
      </c>
      <c r="X16" t="e">
        <f>#REF!+"$Cm=!R("</f>
        <v>#REF!</v>
      </c>
      <c r="Y16" t="e">
        <f>#REF!+"$Cm=!R)"</f>
        <v>#REF!</v>
      </c>
      <c r="Z16" t="e">
        <f>#REF!+"$Cm=!R."</f>
        <v>#REF!</v>
      </c>
      <c r="AA16" t="e">
        <f>#REF!+"$Cm=!R/"</f>
        <v>#REF!</v>
      </c>
      <c r="AB16" t="e">
        <f>#REF!+"$Cm=!R0"</f>
        <v>#REF!</v>
      </c>
      <c r="AC16" t="e">
        <f>#REF!+"$Cm=!R1"</f>
        <v>#REF!</v>
      </c>
      <c r="AD16" t="e">
        <f>#REF!+"$Cm=!R2"</f>
        <v>#REF!</v>
      </c>
      <c r="AE16" t="e">
        <f>#REF!+"$Cm=!R3"</f>
        <v>#REF!</v>
      </c>
      <c r="AF16" t="e">
        <f>#REF!+"$Cm=!R4"</f>
        <v>#REF!</v>
      </c>
      <c r="AG16" t="e">
        <f>#REF!+"$Cm=!R5"</f>
        <v>#REF!</v>
      </c>
      <c r="AH16" t="e">
        <f>#REF!+"$Cm=!R6"</f>
        <v>#REF!</v>
      </c>
      <c r="AI16" t="e">
        <f>#REF!+"$Cm=!R7"</f>
        <v>#REF!</v>
      </c>
      <c r="AJ16" t="e">
        <f>#REF!+"$Cm=!R8"</f>
        <v>#REF!</v>
      </c>
      <c r="AK16" t="e">
        <f>#REF!+"$Cm=!R9"</f>
        <v>#REF!</v>
      </c>
      <c r="AL16" t="e">
        <f>#REF!+"$Cm=!R:"</f>
        <v>#REF!</v>
      </c>
      <c r="AM16" t="e">
        <f>#REF!+"$Cm=!R;"</f>
        <v>#REF!</v>
      </c>
      <c r="AN16" t="e">
        <f>#REF!+"$Cm=!R&lt;"</f>
        <v>#REF!</v>
      </c>
      <c r="AO16" t="e">
        <f>#REF!+"$Cm=!R="</f>
        <v>#REF!</v>
      </c>
      <c r="AP16" t="e">
        <f>#REF!+"$Cm=!R&gt;"</f>
        <v>#REF!</v>
      </c>
      <c r="AQ16" t="e">
        <f>#REF!+"$Cm=!R?"</f>
        <v>#REF!</v>
      </c>
      <c r="AR16" t="e">
        <f>#REF!+"$Cm=!R@"</f>
        <v>#REF!</v>
      </c>
      <c r="AS16" t="e">
        <f>#REF!+"$Cm=!RA"</f>
        <v>#REF!</v>
      </c>
      <c r="AT16" t="e">
        <f>#REF!+"$Cm=!RB"</f>
        <v>#REF!</v>
      </c>
      <c r="AU16" t="e">
        <f>#REF!+"$Cm=!RC"</f>
        <v>#REF!</v>
      </c>
      <c r="AV16" t="e">
        <f>#REF!+"$Cm=!RD"</f>
        <v>#REF!</v>
      </c>
      <c r="AW16" t="e">
        <f>#REF!+"$Cm=!RE"</f>
        <v>#REF!</v>
      </c>
      <c r="AX16" t="e">
        <f>#REF!+"$Cm=!RF"</f>
        <v>#REF!</v>
      </c>
      <c r="AY16" t="e">
        <f>#REF!+"$Cm=!RG"</f>
        <v>#REF!</v>
      </c>
      <c r="AZ16" t="e">
        <f>#REF!+"$Cm=!RH"</f>
        <v>#REF!</v>
      </c>
      <c r="BA16" t="e">
        <f>#REF!+"$Cm=!RI"</f>
        <v>#REF!</v>
      </c>
      <c r="BB16" t="e">
        <f>#REF!+"$Cm=!RJ"</f>
        <v>#REF!</v>
      </c>
      <c r="BC16" t="e">
        <f>#REF!+"$Cm=!RK"</f>
        <v>#REF!</v>
      </c>
      <c r="BD16" t="e">
        <f>#REF!+"$Cm=!RL"</f>
        <v>#REF!</v>
      </c>
      <c r="BE16" t="e">
        <f>#REF!+"$Cm=!RM"</f>
        <v>#REF!</v>
      </c>
      <c r="BF16" t="e">
        <f>#REF!+"$Cm=!RN"</f>
        <v>#REF!</v>
      </c>
      <c r="BG16" t="e">
        <f>#REF!+"$Cm=!RO"</f>
        <v>#REF!</v>
      </c>
      <c r="BH16" t="e">
        <f>#REF!+"$Cm=!RP"</f>
        <v>#REF!</v>
      </c>
      <c r="BI16" t="e">
        <f>#REF!+"$Cm=!RQ"</f>
        <v>#REF!</v>
      </c>
      <c r="BJ16" t="e">
        <f>#REF!+"$Cm=!RR"</f>
        <v>#REF!</v>
      </c>
      <c r="BK16" t="e">
        <f>#REF!+"$Cm=!RS"</f>
        <v>#REF!</v>
      </c>
      <c r="BL16" t="e">
        <f>#REF!+"$Cm=!RT"</f>
        <v>#REF!</v>
      </c>
      <c r="BM16" t="e">
        <f>#REF!+"$Cm=!RU"</f>
        <v>#REF!</v>
      </c>
      <c r="BN16" t="e">
        <f>#REF!+"$Cm=!RV"</f>
        <v>#REF!</v>
      </c>
      <c r="BO16" t="e">
        <f>#REF!+"$Cm=!RW"</f>
        <v>#REF!</v>
      </c>
      <c r="BP16" t="e">
        <f>#REF!+"$Cm=!RX"</f>
        <v>#REF!</v>
      </c>
      <c r="BQ16" t="e">
        <f>#REF!+"$Cm=!RY"</f>
        <v>#REF!</v>
      </c>
      <c r="BR16" t="e">
        <f>#REF!+"$Cm=!RZ"</f>
        <v>#REF!</v>
      </c>
      <c r="BS16" t="e">
        <f>#REF!+"$Cm=!R["</f>
        <v>#REF!</v>
      </c>
      <c r="BT16" t="e">
        <f>#REF!+"$Cm=!R\"</f>
        <v>#REF!</v>
      </c>
      <c r="BU16" t="e">
        <f>#REF!+"$Cm=!R]"</f>
        <v>#REF!</v>
      </c>
      <c r="BV16" t="e">
        <f>#REF!+"$Cm=!R^"</f>
        <v>#REF!</v>
      </c>
      <c r="BW16" t="e">
        <f>#REF!+"$Cm=!R_"</f>
        <v>#REF!</v>
      </c>
      <c r="BX16" t="e">
        <f>#REF!+"$Cm=!R`"</f>
        <v>#REF!</v>
      </c>
      <c r="BY16" t="e">
        <f>#REF!+"$Cm=!Ra"</f>
        <v>#REF!</v>
      </c>
      <c r="BZ16" t="e">
        <f>#REF!+"$Cm=!Rb"</f>
        <v>#REF!</v>
      </c>
      <c r="CA16" t="e">
        <f>#REF!+"$Cm=!Rc"</f>
        <v>#REF!</v>
      </c>
      <c r="CB16" t="e">
        <f>#REF!+"$Cm=!Rd"</f>
        <v>#REF!</v>
      </c>
      <c r="CC16" t="e">
        <f>#REF!+"$Cm=!Re"</f>
        <v>#REF!</v>
      </c>
      <c r="CD16" t="e">
        <f>#REF!+"$Cm=!Rf"</f>
        <v>#REF!</v>
      </c>
      <c r="CE16" t="e">
        <f>#REF!+"$Cm=!Rg"</f>
        <v>#REF!</v>
      </c>
      <c r="CF16" t="e">
        <f>#REF!+"$Cm=!Rh"</f>
        <v>#REF!</v>
      </c>
      <c r="CG16" t="e">
        <f>#REF!+"$Cm=!Ri"</f>
        <v>#REF!</v>
      </c>
      <c r="CH16" t="e">
        <f>#REF!+"$Cm=!Rj"</f>
        <v>#REF!</v>
      </c>
      <c r="CI16" t="e">
        <f>#REF!+"$Cm=!Rk"</f>
        <v>#REF!</v>
      </c>
      <c r="CJ16" t="e">
        <f>#REF!+"$Cm=!Rl"</f>
        <v>#REF!</v>
      </c>
      <c r="CK16" t="e">
        <f>#REF!+"$Cm=!Rm"</f>
        <v>#REF!</v>
      </c>
      <c r="CL16" t="e">
        <f>#REF!+"$Cm=!Rn"</f>
        <v>#REF!</v>
      </c>
      <c r="CM16" t="e">
        <f>#REF!+"$Cm=!Ro"</f>
        <v>#REF!</v>
      </c>
      <c r="CN16" t="e">
        <f>#REF!+"$Cm=!Rp"</f>
        <v>#REF!</v>
      </c>
      <c r="CO16" t="e">
        <f>#REF!+"$Cm=!Rq"</f>
        <v>#REF!</v>
      </c>
      <c r="CP16" t="e">
        <f>#REF!+"$Cm=!Rr"</f>
        <v>#REF!</v>
      </c>
      <c r="CQ16" t="e">
        <f>#REF!+"$Cm=!Rs"</f>
        <v>#REF!</v>
      </c>
      <c r="CR16" t="e">
        <f>#REF!+"$Cm=!Rt"</f>
        <v>#REF!</v>
      </c>
      <c r="CS16" t="e">
        <f>#REF!+"$Cm=!Ru"</f>
        <v>#REF!</v>
      </c>
      <c r="CT16" t="e">
        <f>#REF!+"$Cm=!Rv"</f>
        <v>#REF!</v>
      </c>
      <c r="CU16" t="e">
        <f>#REF!+"$Cm=!Rw"</f>
        <v>#REF!</v>
      </c>
      <c r="CV16" t="e">
        <f>#REF!+"$Cm=!Rx"</f>
        <v>#REF!</v>
      </c>
      <c r="CW16" t="e">
        <f>#REF!+"$Cm=!Ry"</f>
        <v>#REF!</v>
      </c>
      <c r="CX16" t="e">
        <f>#REF!+"$Cm=!Rz"</f>
        <v>#REF!</v>
      </c>
      <c r="CY16" t="e">
        <f>#REF!+"$Cm=!R{"</f>
        <v>#REF!</v>
      </c>
      <c r="CZ16" t="e">
        <f>#REF!+"$Cm=!R|"</f>
        <v>#REF!</v>
      </c>
      <c r="DA16" t="e">
        <f>#REF!+"$Cm=!R}"</f>
        <v>#REF!</v>
      </c>
      <c r="DB16" t="e">
        <f>#REF!+"$Cm=!R~"</f>
        <v>#REF!</v>
      </c>
      <c r="DC16" t="e">
        <f>#REF!+"$Cm=!S#"</f>
        <v>#REF!</v>
      </c>
      <c r="DD16" t="e">
        <f>#REF!+"$Cm=!S$"</f>
        <v>#REF!</v>
      </c>
      <c r="DE16" t="e">
        <f>#REF!+"$Cm=!S%"</f>
        <v>#REF!</v>
      </c>
      <c r="DF16" t="e">
        <f>#REF!+"$Cm=!S&amp;"</f>
        <v>#REF!</v>
      </c>
      <c r="DG16" t="e">
        <f>#REF!+"$Cm=!S'"</f>
        <v>#REF!</v>
      </c>
      <c r="DH16" t="e">
        <f>#REF!+"$Cm=!S("</f>
        <v>#REF!</v>
      </c>
      <c r="DI16" t="e">
        <f>#REF!+"$Cm=!S)"</f>
        <v>#REF!</v>
      </c>
      <c r="DJ16" t="e">
        <f>#REF!+"$Cm=!S."</f>
        <v>#REF!</v>
      </c>
      <c r="DK16" t="e">
        <f>#REF!+"$Cm=!S/"</f>
        <v>#REF!</v>
      </c>
      <c r="DL16" t="e">
        <f>#REF!+"$Cm=!S0"</f>
        <v>#REF!</v>
      </c>
      <c r="DM16" t="e">
        <f>#REF!+"$Cm=!S1"</f>
        <v>#REF!</v>
      </c>
      <c r="DN16" t="e">
        <f>#REF!+"$Cm=!S2"</f>
        <v>#REF!</v>
      </c>
      <c r="DO16" t="e">
        <f>#REF!+"$Cm=!S3"</f>
        <v>#REF!</v>
      </c>
      <c r="DP16" t="e">
        <f>#REF!+"$Cm=!S4"</f>
        <v>#REF!</v>
      </c>
      <c r="DQ16" t="e">
        <f>#REF!+"$Cm=!S5"</f>
        <v>#REF!</v>
      </c>
      <c r="DR16" t="e">
        <f>#REF!+"$Cm=!S6"</f>
        <v>#REF!</v>
      </c>
      <c r="DS16" t="e">
        <f>#REF!+"$Cm=!S7"</f>
        <v>#REF!</v>
      </c>
      <c r="DT16" t="e">
        <f>#REF!+"$Cm=!S8"</f>
        <v>#REF!</v>
      </c>
      <c r="DU16" t="e">
        <f>#REF!+"$Cm=!S9"</f>
        <v>#REF!</v>
      </c>
      <c r="DV16" t="e">
        <f>#REF!+"$Cm=!S:"</f>
        <v>#REF!</v>
      </c>
      <c r="DW16" t="e">
        <f>#REF!+"$Cm=!S;"</f>
        <v>#REF!</v>
      </c>
      <c r="DX16" t="e">
        <f>#REF!+"$Cm=!S&lt;"</f>
        <v>#REF!</v>
      </c>
      <c r="DY16" t="e">
        <f>#REF!+"$Cm=!S="</f>
        <v>#REF!</v>
      </c>
      <c r="DZ16" t="e">
        <f>#REF!+"$Cm=!S&gt;"</f>
        <v>#REF!</v>
      </c>
      <c r="EA16" t="e">
        <f>#REF!+"$Cm=!S?"</f>
        <v>#REF!</v>
      </c>
      <c r="EB16" t="e">
        <f>#REF!+"$Cm=!S@"</f>
        <v>#REF!</v>
      </c>
      <c r="EC16" t="e">
        <f>#REF!+"$Cm=!SA"</f>
        <v>#REF!</v>
      </c>
      <c r="ED16" t="e">
        <f>#REF!+"$Cm=!SB"</f>
        <v>#REF!</v>
      </c>
      <c r="EE16" t="e">
        <f>#REF!+"$Cm=!SC"</f>
        <v>#REF!</v>
      </c>
      <c r="EF16" t="e">
        <f>#REF!+"$Cm=!SD"</f>
        <v>#REF!</v>
      </c>
      <c r="EG16" t="e">
        <f>#REF!+"$Cm=!SE"</f>
        <v>#REF!</v>
      </c>
      <c r="EH16" t="e">
        <f>#REF!+"$Cm=!SF"</f>
        <v>#REF!</v>
      </c>
      <c r="EI16" t="e">
        <f>#REF!+"$Cm=!SG"</f>
        <v>#REF!</v>
      </c>
      <c r="EJ16" t="e">
        <f>#REF!+"$Cm=!SH"</f>
        <v>#REF!</v>
      </c>
      <c r="EK16" t="e">
        <f>#REF!+"$Cm=!SI"</f>
        <v>#REF!</v>
      </c>
      <c r="EL16" t="e">
        <f>#REF!+"$Cm=!SJ"</f>
        <v>#REF!</v>
      </c>
      <c r="EM16" t="e">
        <f>#REF!+"$Cm=!SK"</f>
        <v>#REF!</v>
      </c>
      <c r="EN16" t="e">
        <f>#REF!+"$Cm=!SL"</f>
        <v>#REF!</v>
      </c>
      <c r="EO16" t="e">
        <f>#REF!+"$Cm=!SM"</f>
        <v>#REF!</v>
      </c>
      <c r="EP16" t="e">
        <f>#REF!+"$Cm=!SN"</f>
        <v>#REF!</v>
      </c>
      <c r="EQ16" t="e">
        <f>#REF!+"$Cm=!SO"</f>
        <v>#REF!</v>
      </c>
      <c r="ER16" t="e">
        <f>#REF!+"$Cm=!SP"</f>
        <v>#REF!</v>
      </c>
      <c r="ES16" t="e">
        <f>#REF!+"$Cm=!SQ"</f>
        <v>#REF!</v>
      </c>
      <c r="ET16" t="e">
        <f>#REF!+"$Cm=!SR"</f>
        <v>#REF!</v>
      </c>
      <c r="EU16" t="e">
        <f>#REF!+"$Cm=!SS"</f>
        <v>#REF!</v>
      </c>
      <c r="EV16" t="e">
        <f>#REF!+"$Cm=!ST"</f>
        <v>#REF!</v>
      </c>
      <c r="EW16" t="e">
        <f>#REF!+"$Cm=!SU"</f>
        <v>#REF!</v>
      </c>
      <c r="EX16" t="e">
        <f>#REF!+"$Cm=!SV"</f>
        <v>#REF!</v>
      </c>
      <c r="EY16" t="e">
        <f>#REF!+"$Cm=!SW"</f>
        <v>#REF!</v>
      </c>
      <c r="EZ16" t="e">
        <f>#REF!+"$Cm=!SX"</f>
        <v>#REF!</v>
      </c>
      <c r="FA16" t="e">
        <f>#REF!+"$Cm=!SY"</f>
        <v>#REF!</v>
      </c>
      <c r="FB16" t="e">
        <f>#REF!+"$Cm=!SZ"</f>
        <v>#REF!</v>
      </c>
      <c r="FC16" t="e">
        <f>#REF!+"$Cm=!S["</f>
        <v>#REF!</v>
      </c>
      <c r="FD16" t="e">
        <f>#REF!+"$Cm=!S\"</f>
        <v>#REF!</v>
      </c>
      <c r="FE16" t="e">
        <f>#REF!+"$Cm=!S]"</f>
        <v>#REF!</v>
      </c>
      <c r="FF16" t="e">
        <f>#REF!+"$Cm=!S^"</f>
        <v>#REF!</v>
      </c>
      <c r="FG16" t="e">
        <f>#REF!+"$Cm=!S_"</f>
        <v>#REF!</v>
      </c>
      <c r="FH16" t="e">
        <f>#REF!+"$Cm=!S`"</f>
        <v>#REF!</v>
      </c>
      <c r="FI16" t="e">
        <f>#REF!+"$Cm=!Sa"</f>
        <v>#REF!</v>
      </c>
      <c r="FJ16" t="e">
        <f>#REF!+"$Cm=!Sb"</f>
        <v>#REF!</v>
      </c>
      <c r="FK16" t="e">
        <f>#REF!+"$Cm=!Sc"</f>
        <v>#REF!</v>
      </c>
      <c r="FL16" t="e">
        <f>#REF!+"$Cm=!Sd"</f>
        <v>#REF!</v>
      </c>
      <c r="FM16" t="e">
        <f>#REF!+"$Cm=!Se"</f>
        <v>#REF!</v>
      </c>
      <c r="FN16" t="e">
        <f>#REF!+"$Cm=!Sf"</f>
        <v>#REF!</v>
      </c>
      <c r="FO16" t="e">
        <f>#REF!+"$Cm=!Sg"</f>
        <v>#REF!</v>
      </c>
      <c r="FP16" t="e">
        <f>#REF!+"$Cm=!Sh"</f>
        <v>#REF!</v>
      </c>
      <c r="FQ16" t="e">
        <f>#REF!+"$Cm=!Si"</f>
        <v>#REF!</v>
      </c>
      <c r="FR16" t="e">
        <f>#REF!+"$Cm=!Sj"</f>
        <v>#REF!</v>
      </c>
      <c r="FS16" t="e">
        <f>#REF!+"$Cm=!Sk"</f>
        <v>#REF!</v>
      </c>
      <c r="FT16" t="e">
        <f>#REF!+"$Cm=!Sl"</f>
        <v>#REF!</v>
      </c>
      <c r="FU16" t="e">
        <f>#REF!+"$Cm=!Sm"</f>
        <v>#REF!</v>
      </c>
      <c r="FV16" t="e">
        <f>#REF!+"$Cm=!Sn"</f>
        <v>#REF!</v>
      </c>
      <c r="FW16" t="e">
        <f>#REF!+"$Cm=!So"</f>
        <v>#REF!</v>
      </c>
      <c r="FX16" t="e">
        <f>#REF!+"$Cm=!Sp"</f>
        <v>#REF!</v>
      </c>
      <c r="FY16" t="e">
        <f>#REF!+"$Cm=!Sq"</f>
        <v>#REF!</v>
      </c>
      <c r="FZ16" t="e">
        <f>#REF!+"$Cm=!Sr"</f>
        <v>#REF!</v>
      </c>
      <c r="GA16" t="e">
        <f>#REF!+"$Cm=!Ss"</f>
        <v>#REF!</v>
      </c>
      <c r="GB16" t="e">
        <f>#REF!+"$Cm=!St"</f>
        <v>#REF!</v>
      </c>
      <c r="GC16" t="e">
        <f>#REF!+"$Cm=!Su"</f>
        <v>#REF!</v>
      </c>
      <c r="GD16" t="e">
        <f>#REF!+"$Cm=!Sv"</f>
        <v>#REF!</v>
      </c>
      <c r="GE16" t="e">
        <f>#REF!+"$Cm=!Sw"</f>
        <v>#REF!</v>
      </c>
      <c r="GF16" t="e">
        <f>#REF!+"$Cm=!Sx"</f>
        <v>#REF!</v>
      </c>
      <c r="GG16" t="e">
        <f>#REF!+"$Cm=!Sy"</f>
        <v>#REF!</v>
      </c>
      <c r="GH16" t="e">
        <f>#REF!+"$Cm=!Sz"</f>
        <v>#REF!</v>
      </c>
      <c r="GI16" t="e">
        <f>#REF!+"$Cm=!S{"</f>
        <v>#REF!</v>
      </c>
      <c r="GJ16" t="e">
        <f>#REF!+"$Cm=!S|"</f>
        <v>#REF!</v>
      </c>
      <c r="GK16" t="e">
        <f>#REF!+"$Cm=!S}"</f>
        <v>#REF!</v>
      </c>
      <c r="GL16" t="e">
        <f>#REF!+"$Cm=!S~"</f>
        <v>#REF!</v>
      </c>
      <c r="GM16" t="e">
        <f>#REF!+"$Cm=!T#"</f>
        <v>#REF!</v>
      </c>
      <c r="GN16" t="e">
        <f>#REF!+"$Cm=!T$"</f>
        <v>#REF!</v>
      </c>
      <c r="GO16" t="e">
        <f>#REF!+"$Cm=!T%"</f>
        <v>#REF!</v>
      </c>
      <c r="GP16" t="e">
        <f>#REF!+"$Cm=!T&amp;"</f>
        <v>#REF!</v>
      </c>
      <c r="GQ16" t="e">
        <f>#REF!+"$Cm=!T'"</f>
        <v>#REF!</v>
      </c>
      <c r="GR16" t="e">
        <f>#REF!+"$Cm=!T("</f>
        <v>#REF!</v>
      </c>
      <c r="GS16" t="e">
        <f>#REF!+"$Cm=!T)"</f>
        <v>#REF!</v>
      </c>
      <c r="GT16" t="e">
        <f>#REF!+"$Cm=!T."</f>
        <v>#REF!</v>
      </c>
      <c r="GU16" t="e">
        <f>#REF!+"$Cm=!T/"</f>
        <v>#REF!</v>
      </c>
      <c r="GV16" t="e">
        <f>#REF!+"$Cm=!T0"</f>
        <v>#REF!</v>
      </c>
      <c r="GW16" t="e">
        <f>#REF!+"$Cm=!T1"</f>
        <v>#REF!</v>
      </c>
      <c r="GX16" t="e">
        <f>#REF!+"$Cm=!T2"</f>
        <v>#REF!</v>
      </c>
      <c r="GY16" t="e">
        <f>#REF!+"$Cm=!T3"</f>
        <v>#REF!</v>
      </c>
      <c r="GZ16" t="e">
        <f>#REF!+"$Cm=!T4"</f>
        <v>#REF!</v>
      </c>
      <c r="HA16" t="e">
        <f>#REF!+"$Cm=!T5"</f>
        <v>#REF!</v>
      </c>
      <c r="HB16" t="e">
        <f>#REF!+"$Cm=!T6"</f>
        <v>#REF!</v>
      </c>
      <c r="HC16" t="e">
        <f>#REF!+"$Cm=!T7"</f>
        <v>#REF!</v>
      </c>
      <c r="HD16" t="e">
        <f>#REF!+"$Cm=!T8"</f>
        <v>#REF!</v>
      </c>
      <c r="HE16" t="e">
        <f>#REF!+"$Cm=!T9"</f>
        <v>#REF!</v>
      </c>
      <c r="HF16" t="e">
        <f>#REF!+"$Cm=!T:"</f>
        <v>#REF!</v>
      </c>
      <c r="HG16" t="e">
        <f>#REF!+"$Cm=!T;"</f>
        <v>#REF!</v>
      </c>
      <c r="HH16" t="e">
        <f>#REF!+"$Cm=!T&lt;"</f>
        <v>#REF!</v>
      </c>
      <c r="HI16" t="e">
        <f>#REF!+"$Cm=!T="</f>
        <v>#REF!</v>
      </c>
      <c r="HJ16" t="e">
        <f>#REF!+"$Cm=!T&gt;"</f>
        <v>#REF!</v>
      </c>
      <c r="HK16" t="e">
        <f>#REF!+"$Cm=!T?"</f>
        <v>#REF!</v>
      </c>
      <c r="HL16" t="e">
        <f>#REF!+"$Cm=!T@"</f>
        <v>#REF!</v>
      </c>
      <c r="HM16" t="e">
        <f>#REF!+"$Cm=!TA"</f>
        <v>#REF!</v>
      </c>
      <c r="HN16" t="e">
        <f>#REF!+"$Cm=!TB"</f>
        <v>#REF!</v>
      </c>
      <c r="HO16" t="e">
        <f>#REF!+"$Cm=!TC"</f>
        <v>#REF!</v>
      </c>
      <c r="HP16" t="e">
        <f>#REF!+"$Cm=!TD"</f>
        <v>#REF!</v>
      </c>
      <c r="HQ16" t="e">
        <f>#REF!+"$Cm=!TE"</f>
        <v>#REF!</v>
      </c>
      <c r="HR16" t="e">
        <f>#REF!+"$Cm=!TF"</f>
        <v>#REF!</v>
      </c>
      <c r="HS16" t="e">
        <f>#REF!+"$Cm=!TG"</f>
        <v>#REF!</v>
      </c>
      <c r="HT16" t="e">
        <f>#REF!+"$Cm=!TH"</f>
        <v>#REF!</v>
      </c>
      <c r="HU16" t="e">
        <f>#REF!+"$Cm=!TI"</f>
        <v>#REF!</v>
      </c>
      <c r="HV16" t="e">
        <f>#REF!+"$Cm=!TJ"</f>
        <v>#REF!</v>
      </c>
      <c r="HW16" t="e">
        <f>#REF!+"$Cm=!TK"</f>
        <v>#REF!</v>
      </c>
      <c r="HX16" t="e">
        <f>#REF!+"$Cm=!TL"</f>
        <v>#REF!</v>
      </c>
      <c r="HY16" t="e">
        <f>#REF!+"$Cm=!TM"</f>
        <v>#REF!</v>
      </c>
      <c r="HZ16" t="e">
        <f>#REF!+"$Cm=!TN"</f>
        <v>#REF!</v>
      </c>
      <c r="IA16" t="e">
        <f>#REF!+"$Cm=!TO"</f>
        <v>#REF!</v>
      </c>
      <c r="IB16" t="e">
        <f>#REF!+"$Cm=!TP"</f>
        <v>#REF!</v>
      </c>
      <c r="IC16" t="e">
        <f>#REF!+"$Cm=!TQ"</f>
        <v>#REF!</v>
      </c>
      <c r="ID16" t="e">
        <f>#REF!+"$Cm=!TR"</f>
        <v>#REF!</v>
      </c>
      <c r="IE16" t="e">
        <f>#REF!+"$Cm=!TS"</f>
        <v>#REF!</v>
      </c>
      <c r="IF16" t="e">
        <f>#REF!+"$Cm=!TT"</f>
        <v>#REF!</v>
      </c>
      <c r="IG16" t="e">
        <f>#REF!+"$Cm=!TU"</f>
        <v>#REF!</v>
      </c>
      <c r="IH16" t="e">
        <f>#REF!+"$Cm=!TV"</f>
        <v>#REF!</v>
      </c>
      <c r="II16" t="e">
        <f>#REF!+"$Cm=!TW"</f>
        <v>#REF!</v>
      </c>
      <c r="IJ16" t="e">
        <f>#REF!+"$Cm=!TX"</f>
        <v>#REF!</v>
      </c>
      <c r="IK16" t="e">
        <f>#REF!+"$Cm=!TY"</f>
        <v>#REF!</v>
      </c>
      <c r="IL16" t="e">
        <f>#REF!+"$Cm=!TZ"</f>
        <v>#REF!</v>
      </c>
      <c r="IM16" t="e">
        <f>#REF!+"$Cm=!T["</f>
        <v>#REF!</v>
      </c>
      <c r="IN16" t="e">
        <f>#REF!+"$Cm=!T\"</f>
        <v>#REF!</v>
      </c>
      <c r="IO16" t="e">
        <f>#REF!+"$Cm=!T]"</f>
        <v>#REF!</v>
      </c>
      <c r="IP16" t="e">
        <f>#REF!+"$Cm=!T^"</f>
        <v>#REF!</v>
      </c>
      <c r="IQ16" t="e">
        <f>#REF!+"$Cm=!T_"</f>
        <v>#REF!</v>
      </c>
      <c r="IR16" t="e">
        <f>#REF!+"$Cm=!T`"</f>
        <v>#REF!</v>
      </c>
      <c r="IS16" t="e">
        <f>#REF!+"$Cm=!Ta"</f>
        <v>#REF!</v>
      </c>
      <c r="IT16" t="e">
        <f>#REF!+"$Cm=!Tb"</f>
        <v>#REF!</v>
      </c>
      <c r="IU16" t="e">
        <f>#REF!+"$Cm=!Tc"</f>
        <v>#REF!</v>
      </c>
      <c r="IV16" t="e">
        <f>#REF!+"$Cm=!Td"</f>
        <v>#REF!</v>
      </c>
    </row>
    <row r="17" spans="6:256">
      <c r="F17" t="e">
        <f>#REF!+"$Cm=!Te"</f>
        <v>#REF!</v>
      </c>
      <c r="G17" t="e">
        <f>#REF!+"$Cm=!Tf"</f>
        <v>#REF!</v>
      </c>
      <c r="H17" t="e">
        <f>#REF!+"$Cm=!Tg"</f>
        <v>#REF!</v>
      </c>
      <c r="I17" t="e">
        <f>#REF!+"$Cm=!Th"</f>
        <v>#REF!</v>
      </c>
      <c r="J17" t="e">
        <f>#REF!+"$Cm=!Ti"</f>
        <v>#REF!</v>
      </c>
      <c r="K17" t="e">
        <f>#REF!+"$Cm=!Tj"</f>
        <v>#REF!</v>
      </c>
      <c r="L17" t="e">
        <f>#REF!+"$Cm=!Tk"</f>
        <v>#REF!</v>
      </c>
      <c r="M17" t="e">
        <f>#REF!+"$Cm=!Tl"</f>
        <v>#REF!</v>
      </c>
      <c r="N17" t="e">
        <f>#REF!+"$Cm=!Tm"</f>
        <v>#REF!</v>
      </c>
      <c r="O17" t="e">
        <f>#REF!+"$Cm=!Tn"</f>
        <v>#REF!</v>
      </c>
      <c r="P17" t="e">
        <f>#REF!+"$Cm=!To"</f>
        <v>#REF!</v>
      </c>
      <c r="Q17" t="e">
        <f>#REF!+"$Cm=!Tp"</f>
        <v>#REF!</v>
      </c>
      <c r="R17" t="e">
        <f>#REF!+"$Cm=!Tq"</f>
        <v>#REF!</v>
      </c>
      <c r="S17" t="e">
        <f>#REF!+"$Cm=!Tr"</f>
        <v>#REF!</v>
      </c>
      <c r="T17" t="e">
        <f>#REF!+"$Cm=!Ts"</f>
        <v>#REF!</v>
      </c>
      <c r="U17" t="e">
        <f>#REF!+"$Cm=!Tt"</f>
        <v>#REF!</v>
      </c>
      <c r="V17" t="e">
        <f>#REF!+"$Cm=!Tu"</f>
        <v>#REF!</v>
      </c>
      <c r="W17" t="e">
        <f>#REF!+"$Cm=!Tv"</f>
        <v>#REF!</v>
      </c>
      <c r="X17" t="e">
        <f>#REF!+"$Cm=!Tw"</f>
        <v>#REF!</v>
      </c>
      <c r="Y17" t="e">
        <f>#REF!+"$Cm=!Tx"</f>
        <v>#REF!</v>
      </c>
      <c r="Z17" t="e">
        <f>#REF!+"$Cm=!Ty"</f>
        <v>#REF!</v>
      </c>
      <c r="AA17" t="e">
        <f>#REF!+"$Cm=!Tz"</f>
        <v>#REF!</v>
      </c>
      <c r="AB17" t="e">
        <f>#REF!+"$Cm=!T{"</f>
        <v>#REF!</v>
      </c>
      <c r="AC17" t="e">
        <f>#REF!+"$Cm=!T|"</f>
        <v>#REF!</v>
      </c>
      <c r="AD17" t="e">
        <f>#REF!+"$Cm=!T}"</f>
        <v>#REF!</v>
      </c>
      <c r="AE17" t="e">
        <f>#REF!+"$Cm=!T~"</f>
        <v>#REF!</v>
      </c>
      <c r="AF17" t="e">
        <f>#REF!+"$Cm=!U#"</f>
        <v>#REF!</v>
      </c>
      <c r="AG17" t="e">
        <f>#REF!+"$Cm=!U$"</f>
        <v>#REF!</v>
      </c>
      <c r="AH17" t="e">
        <f>#REF!+"$Cm=!U%"</f>
        <v>#REF!</v>
      </c>
      <c r="AI17" t="e">
        <f>#REF!+"$Cm=!U&amp;"</f>
        <v>#REF!</v>
      </c>
      <c r="AJ17" t="e">
        <f>#REF!+"$Cm=!U'"</f>
        <v>#REF!</v>
      </c>
      <c r="AK17" t="e">
        <f>#REF!+"$Cm=!U("</f>
        <v>#REF!</v>
      </c>
      <c r="AL17" t="e">
        <f>#REF!+"$Cm=!U)"</f>
        <v>#REF!</v>
      </c>
      <c r="AM17" t="e">
        <f>#REF!+"$Cm=!U."</f>
        <v>#REF!</v>
      </c>
      <c r="AN17" t="e">
        <f>#REF!+"$Cm=!U/"</f>
        <v>#REF!</v>
      </c>
      <c r="AO17" t="e">
        <f>#REF!+"$Cm=!U0"</f>
        <v>#REF!</v>
      </c>
      <c r="AP17" t="e">
        <f>#REF!+"$Cm=!U1"</f>
        <v>#REF!</v>
      </c>
      <c r="AQ17" t="e">
        <f>#REF!+"$Cm=!U2"</f>
        <v>#REF!</v>
      </c>
      <c r="AR17" t="e">
        <f>#REF!+"$Cm=!U3"</f>
        <v>#REF!</v>
      </c>
      <c r="AS17" t="e">
        <f>#REF!+"$Cm=!U4"</f>
        <v>#REF!</v>
      </c>
      <c r="AT17" t="e">
        <f>#REF!+"$Cm=!U5"</f>
        <v>#REF!</v>
      </c>
      <c r="AU17" t="e">
        <f>#REF!+"$Cm=!U6"</f>
        <v>#REF!</v>
      </c>
      <c r="AV17" t="e">
        <f>#REF!+"$Cm=!U7"</f>
        <v>#REF!</v>
      </c>
      <c r="AW17" t="e">
        <f>#REF!+"$Cm=!U8"</f>
        <v>#REF!</v>
      </c>
      <c r="AX17" t="e">
        <f>#REF!+"$Cm=!U9"</f>
        <v>#REF!</v>
      </c>
      <c r="AY17" t="e">
        <f>#REF!+"$Cm=!U:"</f>
        <v>#REF!</v>
      </c>
      <c r="AZ17" t="e">
        <f>#REF!+"$Cm=!U;"</f>
        <v>#REF!</v>
      </c>
      <c r="BA17" t="e">
        <f>#REF!+"$Cm=!U&lt;"</f>
        <v>#REF!</v>
      </c>
      <c r="BB17" t="e">
        <f>#REF!+"$Cm=!U="</f>
        <v>#REF!</v>
      </c>
      <c r="BC17" t="e">
        <f>#REF!+"$Cm=!U&gt;"</f>
        <v>#REF!</v>
      </c>
      <c r="BD17" t="e">
        <f>#REF!+"$Cm=!U?"</f>
        <v>#REF!</v>
      </c>
      <c r="BE17" t="e">
        <f>#REF!+"$Cm=!U@"</f>
        <v>#REF!</v>
      </c>
      <c r="BF17" t="e">
        <f>#REF!+"$Cm=!UA"</f>
        <v>#REF!</v>
      </c>
      <c r="BG17" t="e">
        <f>#REF!+"$Cm=!UB"</f>
        <v>#REF!</v>
      </c>
      <c r="BH17" t="e">
        <f>#REF!+"$Cm=!UC"</f>
        <v>#REF!</v>
      </c>
      <c r="BI17" t="e">
        <f>#REF!+"$Cm=!UD"</f>
        <v>#REF!</v>
      </c>
      <c r="BJ17" t="e">
        <f>#REF!+"$Cm=!UE"</f>
        <v>#REF!</v>
      </c>
      <c r="BK17" t="e">
        <f>#REF!+"$Cm=!UF"</f>
        <v>#REF!</v>
      </c>
      <c r="BL17" t="e">
        <f>#REF!+"$Cm=!UG"</f>
        <v>#REF!</v>
      </c>
      <c r="BM17" t="e">
        <f>#REF!+"$Cm=!UH"</f>
        <v>#REF!</v>
      </c>
      <c r="BN17" t="e">
        <f>#REF!+"$Cm=!UI"</f>
        <v>#REF!</v>
      </c>
      <c r="BO17" t="e">
        <f>#REF!+"$Cm=!UJ"</f>
        <v>#REF!</v>
      </c>
      <c r="BP17" t="e">
        <f>#REF!+"$Cm=!UK"</f>
        <v>#REF!</v>
      </c>
      <c r="BQ17" t="e">
        <f>#REF!+"$Cm=!UL"</f>
        <v>#REF!</v>
      </c>
      <c r="BR17" t="e">
        <f>#REF!+"$Cm=!UM"</f>
        <v>#REF!</v>
      </c>
      <c r="BS17" t="e">
        <f>#REF!+"$Cm=!UN"</f>
        <v>#REF!</v>
      </c>
      <c r="BT17" t="e">
        <f>#REF!+"$Cm=!UO"</f>
        <v>#REF!</v>
      </c>
      <c r="BU17" t="e">
        <f>#REF!+"$Cm=!UP"</f>
        <v>#REF!</v>
      </c>
      <c r="BV17" t="e">
        <f>#REF!+"$Cm=!UQ"</f>
        <v>#REF!</v>
      </c>
      <c r="BW17" t="e">
        <f>#REF!+"$Cm=!UR"</f>
        <v>#REF!</v>
      </c>
      <c r="BX17" t="e">
        <f>#REF!+"$Cm=!US"</f>
        <v>#REF!</v>
      </c>
      <c r="BY17" t="e">
        <f>#REF!+"$Cm=!UT"</f>
        <v>#REF!</v>
      </c>
      <c r="BZ17" t="e">
        <f>#REF!+"$Cm=!UU"</f>
        <v>#REF!</v>
      </c>
      <c r="CA17" t="e">
        <f>#REF!+"$Cm=!UV"</f>
        <v>#REF!</v>
      </c>
      <c r="CB17" t="e">
        <f>#REF!+"$Cm=!UW"</f>
        <v>#REF!</v>
      </c>
      <c r="CC17" t="e">
        <f>#REF!+"$Cm=!UX"</f>
        <v>#REF!</v>
      </c>
      <c r="CD17" t="e">
        <f>#REF!+"$Cm=!UY"</f>
        <v>#REF!</v>
      </c>
      <c r="CE17" t="e">
        <f>#REF!+"$Cm=!UZ"</f>
        <v>#REF!</v>
      </c>
      <c r="CF17" t="e">
        <f>#REF!+"$Cm=!U["</f>
        <v>#REF!</v>
      </c>
      <c r="CG17" t="e">
        <f>#REF!+"$Cm=!U\"</f>
        <v>#REF!</v>
      </c>
      <c r="CH17" t="e">
        <f>#REF!+"$Cm=!U]"</f>
        <v>#REF!</v>
      </c>
      <c r="CI17" t="e">
        <f>#REF!+"$Cm=!U^"</f>
        <v>#REF!</v>
      </c>
      <c r="CJ17" t="e">
        <f>#REF!+"$Cm=!U_"</f>
        <v>#REF!</v>
      </c>
      <c r="CK17" t="e">
        <f>#REF!+"$Cm=!U`"</f>
        <v>#REF!</v>
      </c>
      <c r="CL17" t="e">
        <f>#REF!+"$Cm=!Ua"</f>
        <v>#REF!</v>
      </c>
      <c r="CM17" t="e">
        <f>#REF!+"$Cm=!Ub"</f>
        <v>#REF!</v>
      </c>
      <c r="CN17" t="e">
        <f>#REF!+"$Cm=!Uc"</f>
        <v>#REF!</v>
      </c>
      <c r="CO17" t="e">
        <f>#REF!+"$Cm=!Ud"</f>
        <v>#REF!</v>
      </c>
      <c r="CP17" t="e">
        <f>#REF!+"$Cm=!Ue"</f>
        <v>#REF!</v>
      </c>
      <c r="CQ17" t="e">
        <f>#REF!+"$Cm=!Uf"</f>
        <v>#REF!</v>
      </c>
      <c r="CR17" t="e">
        <f>#REF!+"$Cm=!Ug"</f>
        <v>#REF!</v>
      </c>
      <c r="CS17" t="e">
        <f>#REF!+"$Cm=!Uh"</f>
        <v>#REF!</v>
      </c>
      <c r="CT17" t="e">
        <f>#REF!+"$Cm=!Ui"</f>
        <v>#REF!</v>
      </c>
      <c r="CU17" t="e">
        <f>#REF!+"$Cm=!Uj"</f>
        <v>#REF!</v>
      </c>
      <c r="CV17" t="e">
        <f>#REF!+"$Cm=!Uk"</f>
        <v>#REF!</v>
      </c>
      <c r="CW17" t="e">
        <f>#REF!+"$Cm=!Ul"</f>
        <v>#REF!</v>
      </c>
      <c r="CX17" t="e">
        <f>#REF!+"$Cm=!Um"</f>
        <v>#REF!</v>
      </c>
      <c r="CY17" t="e">
        <f>#REF!+"$Cm=!Un"</f>
        <v>#REF!</v>
      </c>
      <c r="CZ17" t="e">
        <f>#REF!+"$Cm=!Uo"</f>
        <v>#REF!</v>
      </c>
      <c r="DA17" t="e">
        <f>#REF!+"$Cm=!Up"</f>
        <v>#REF!</v>
      </c>
      <c r="DB17" t="e">
        <f>#REF!+"$Cm=!Uq"</f>
        <v>#REF!</v>
      </c>
      <c r="DC17" t="e">
        <f>#REF!+"$Cm=!Ur"</f>
        <v>#REF!</v>
      </c>
      <c r="DD17" t="e">
        <f>#REF!+"$Cm=!Us"</f>
        <v>#REF!</v>
      </c>
      <c r="DE17" t="e">
        <f>#REF!+"$Cm=!Ut"</f>
        <v>#REF!</v>
      </c>
      <c r="DF17" t="e">
        <f>#REF!+"$Cm=!Uu"</f>
        <v>#REF!</v>
      </c>
      <c r="DG17" t="e">
        <f>#REF!+"$Cm=!Uv"</f>
        <v>#REF!</v>
      </c>
      <c r="DH17" t="e">
        <f>#REF!+"$Cm=!Uw"</f>
        <v>#REF!</v>
      </c>
      <c r="DI17" t="e">
        <f>#REF!+"$Cm=!Ux"</f>
        <v>#REF!</v>
      </c>
      <c r="DJ17" t="e">
        <f>#REF!+"$Cm=!Uy"</f>
        <v>#REF!</v>
      </c>
      <c r="DK17" t="e">
        <f>#REF!+"$Cm=!Uz"</f>
        <v>#REF!</v>
      </c>
      <c r="DL17" t="e">
        <f>#REF!+"$Cm=!U{"</f>
        <v>#REF!</v>
      </c>
      <c r="DM17" t="e">
        <f>#REF!+"$Cm=!U|"</f>
        <v>#REF!</v>
      </c>
      <c r="DN17" t="e">
        <f>#REF!+"$Cm=!U}"</f>
        <v>#REF!</v>
      </c>
      <c r="DO17" t="e">
        <f>#REF!+"$Cm=!U~"</f>
        <v>#REF!</v>
      </c>
      <c r="DP17" t="e">
        <f>#REF!+"$Cm=!V#"</f>
        <v>#REF!</v>
      </c>
      <c r="DQ17" t="e">
        <f>#REF!+"$Cm=!V$"</f>
        <v>#REF!</v>
      </c>
      <c r="DR17" t="e">
        <f>#REF!+"$Cm=!V%"</f>
        <v>#REF!</v>
      </c>
      <c r="DS17" t="e">
        <f>#REF!+"$Cm=!V&amp;"</f>
        <v>#REF!</v>
      </c>
      <c r="DT17" t="e">
        <f>#REF!+"$Cm=!V'"</f>
        <v>#REF!</v>
      </c>
      <c r="DU17" t="e">
        <f>#REF!+"$Cm=!V("</f>
        <v>#REF!</v>
      </c>
      <c r="DV17" t="e">
        <f>#REF!+"$Cm=!V)"</f>
        <v>#REF!</v>
      </c>
      <c r="DW17" t="e">
        <f>#REF!+"$Cm=!V."</f>
        <v>#REF!</v>
      </c>
      <c r="DX17" t="e">
        <f>#REF!+"$Cm=!V/"</f>
        <v>#REF!</v>
      </c>
      <c r="DY17" t="e">
        <f>#REF!+"$Cm=!V0"</f>
        <v>#REF!</v>
      </c>
      <c r="DZ17" t="e">
        <f>#REF!+"$Cm=!V1"</f>
        <v>#REF!</v>
      </c>
      <c r="EA17" t="e">
        <f>#REF!+"$Cm=!V2"</f>
        <v>#REF!</v>
      </c>
      <c r="EB17" t="e">
        <f>#REF!+"$Cm=!V3"</f>
        <v>#REF!</v>
      </c>
      <c r="EC17" t="e">
        <f>#REF!+"$Cm=!V4"</f>
        <v>#REF!</v>
      </c>
      <c r="ED17" t="e">
        <f>#REF!+"$Cm=!V5"</f>
        <v>#REF!</v>
      </c>
      <c r="EE17" t="e">
        <f>#REF!+"$Cm=!V6"</f>
        <v>#REF!</v>
      </c>
      <c r="EF17" t="e">
        <f>#REF!+"$Cm=!V7"</f>
        <v>#REF!</v>
      </c>
      <c r="EG17" t="e">
        <f>#REF!+"$Cm=!V8"</f>
        <v>#REF!</v>
      </c>
      <c r="EH17" t="e">
        <f>#REF!+"$Cm=!V9"</f>
        <v>#REF!</v>
      </c>
      <c r="EI17" t="e">
        <f>#REF!+"$Cm=!V:"</f>
        <v>#REF!</v>
      </c>
      <c r="EJ17" t="e">
        <f>#REF!+"$Cm=!V;"</f>
        <v>#REF!</v>
      </c>
      <c r="EK17" t="e">
        <f>#REF!+"$Cm=!V&lt;"</f>
        <v>#REF!</v>
      </c>
      <c r="EL17" t="e">
        <f>#REF!+"$Cm=!V="</f>
        <v>#REF!</v>
      </c>
      <c r="EM17" t="e">
        <f>#REF!+"$Cm=!V&gt;"</f>
        <v>#REF!</v>
      </c>
      <c r="EN17" t="e">
        <f>#REF!+"$Cm=!V?"</f>
        <v>#REF!</v>
      </c>
      <c r="EO17" t="e">
        <f>#REF!+"$Cm=!V@"</f>
        <v>#REF!</v>
      </c>
      <c r="EP17" t="e">
        <f>#REF!+"$Cm=!VA"</f>
        <v>#REF!</v>
      </c>
      <c r="EQ17" t="e">
        <f>#REF!+"$Cm=!VB"</f>
        <v>#REF!</v>
      </c>
      <c r="ER17" t="e">
        <f>#REF!+"$Cm=!VC"</f>
        <v>#REF!</v>
      </c>
      <c r="ES17" t="e">
        <f>#REF!+"$Cm=!VD"</f>
        <v>#REF!</v>
      </c>
      <c r="ET17" t="e">
        <f>#REF!+"$Cm=!VE"</f>
        <v>#REF!</v>
      </c>
      <c r="EU17" t="e">
        <f>#REF!+"$Cm=!VF"</f>
        <v>#REF!</v>
      </c>
      <c r="EV17" t="e">
        <f>#REF!+"$Cm=!VG"</f>
        <v>#REF!</v>
      </c>
      <c r="EW17" t="e">
        <f>#REF!+"$Cm=!VH"</f>
        <v>#REF!</v>
      </c>
      <c r="EX17" t="e">
        <f>#REF!+"$Cm=!VI"</f>
        <v>#REF!</v>
      </c>
      <c r="EY17" t="e">
        <f>#REF!+"$Cm=!VJ"</f>
        <v>#REF!</v>
      </c>
      <c r="EZ17" t="e">
        <f>#REF!+"$Cm=!VK"</f>
        <v>#REF!</v>
      </c>
      <c r="FA17" t="e">
        <f>#REF!+"$Cm=!VL"</f>
        <v>#REF!</v>
      </c>
      <c r="FB17" t="e">
        <f>#REF!+"$Cm=!VM"</f>
        <v>#REF!</v>
      </c>
      <c r="FC17" t="e">
        <f>#REF!+"$Cm=!VN"</f>
        <v>#REF!</v>
      </c>
      <c r="FD17" t="e">
        <f>#REF!+"$Cm=!VO"</f>
        <v>#REF!</v>
      </c>
      <c r="FE17" t="e">
        <f>#REF!+"$Cm=!VP"</f>
        <v>#REF!</v>
      </c>
      <c r="FF17" t="e">
        <f>#REF!+"$Cm=!VQ"</f>
        <v>#REF!</v>
      </c>
      <c r="FG17" t="e">
        <f>#REF!+"$Cm=!VR"</f>
        <v>#REF!</v>
      </c>
      <c r="FH17" t="e">
        <f>#REF!+"$Cm=!VS"</f>
        <v>#REF!</v>
      </c>
      <c r="FI17" t="e">
        <f>#REF!+"$Cm=!VT"</f>
        <v>#REF!</v>
      </c>
      <c r="FJ17" t="e">
        <f>#REF!+"$Cm=!VU"</f>
        <v>#REF!</v>
      </c>
      <c r="FK17" t="e">
        <f>#REF!+"$Cm=!VV"</f>
        <v>#REF!</v>
      </c>
      <c r="FL17" t="e">
        <f>#REF!+"$Cm=!VW"</f>
        <v>#REF!</v>
      </c>
      <c r="FM17" t="e">
        <f>#REF!+"$Cm=!VX"</f>
        <v>#REF!</v>
      </c>
      <c r="FN17" t="e">
        <f>#REF!+"$Cm=!VY"</f>
        <v>#REF!</v>
      </c>
      <c r="FO17" t="e">
        <f>#REF!+"$Cm=!VZ"</f>
        <v>#REF!</v>
      </c>
      <c r="FP17" t="e">
        <f>#REF!+"$Cm=!V["</f>
        <v>#REF!</v>
      </c>
      <c r="FQ17" t="e">
        <f>#REF!+"$Cm=!V\"</f>
        <v>#REF!</v>
      </c>
      <c r="FR17" t="e">
        <f>#REF!+"$Cm=!V]"</f>
        <v>#REF!</v>
      </c>
      <c r="FS17" t="e">
        <f>#REF!+"$Cm=!V^"</f>
        <v>#REF!</v>
      </c>
      <c r="FT17" t="e">
        <f>#REF!+"$Cm=!V_"</f>
        <v>#REF!</v>
      </c>
      <c r="FU17" t="e">
        <f>#REF!+"$Cm=!V`"</f>
        <v>#REF!</v>
      </c>
      <c r="FV17" t="e">
        <f>#REF!+"$Cm=!Va"</f>
        <v>#REF!</v>
      </c>
      <c r="FW17" t="e">
        <f>#REF!+"$Cm=!Vb"</f>
        <v>#REF!</v>
      </c>
      <c r="FX17" t="e">
        <f>#REF!+"$Cm=!Vc"</f>
        <v>#REF!</v>
      </c>
      <c r="FY17" t="e">
        <f>#REF!+"$Cm=!Vd"</f>
        <v>#REF!</v>
      </c>
      <c r="FZ17" t="e">
        <f>#REF!+"$Cm=!Ve"</f>
        <v>#REF!</v>
      </c>
      <c r="GA17" t="e">
        <f>#REF!+"$Cm=!Vf"</f>
        <v>#REF!</v>
      </c>
      <c r="GB17" t="e">
        <f>#REF!+"$Cm=!Vg"</f>
        <v>#REF!</v>
      </c>
      <c r="GC17" t="e">
        <f>#REF!+"$Cm=!Vh"</f>
        <v>#REF!</v>
      </c>
      <c r="GD17" t="e">
        <f>#REF!+"$Cm=!Vi"</f>
        <v>#REF!</v>
      </c>
      <c r="GE17" t="e">
        <f>#REF!+"$Cm=!Vj"</f>
        <v>#REF!</v>
      </c>
      <c r="GF17" t="e">
        <f>#REF!+"$Cm=!Vk"</f>
        <v>#REF!</v>
      </c>
      <c r="GG17" t="e">
        <f>#REF!+"$Cm=!Vl"</f>
        <v>#REF!</v>
      </c>
      <c r="GH17" t="e">
        <f>#REF!+"$Cm=!Vm"</f>
        <v>#REF!</v>
      </c>
      <c r="GI17" t="e">
        <f>#REF!+"$Cm=!Vn"</f>
        <v>#REF!</v>
      </c>
      <c r="GJ17" t="e">
        <f>#REF!+"$Cm=!Vo"</f>
        <v>#REF!</v>
      </c>
      <c r="GK17" t="e">
        <f>#REF!+"$Cm=!Vp"</f>
        <v>#REF!</v>
      </c>
      <c r="GL17" t="e">
        <f>#REF!+"$Cm=!Vq"</f>
        <v>#REF!</v>
      </c>
      <c r="GM17" t="e">
        <f>#REF!+"$Cm=!Vr"</f>
        <v>#REF!</v>
      </c>
      <c r="GN17" t="e">
        <f>#REF!+"$Cm=!Vs"</f>
        <v>#REF!</v>
      </c>
      <c r="GO17" t="e">
        <f>#REF!+"$Cm=!Vt"</f>
        <v>#REF!</v>
      </c>
      <c r="GP17" t="e">
        <f>#REF!+"$Cm=!Vu"</f>
        <v>#REF!</v>
      </c>
      <c r="GQ17" t="e">
        <f>#REF!+"$Cm=!Vv"</f>
        <v>#REF!</v>
      </c>
      <c r="GR17" t="e">
        <f>#REF!+"$Cm=!Vw"</f>
        <v>#REF!</v>
      </c>
      <c r="GS17" t="e">
        <f>#REF!+"$Cm=!Vx"</f>
        <v>#REF!</v>
      </c>
      <c r="GT17" t="e">
        <f>#REF!+"$Cm=!Vy"</f>
        <v>#REF!</v>
      </c>
      <c r="GU17" t="e">
        <f>#REF!+"$Cm=!Vz"</f>
        <v>#REF!</v>
      </c>
      <c r="GV17" t="e">
        <f>#REF!+"$Cm=!V{"</f>
        <v>#REF!</v>
      </c>
      <c r="GW17" t="e">
        <f>#REF!+"$Cm=!V|"</f>
        <v>#REF!</v>
      </c>
      <c r="GX17" t="e">
        <f>#REF!+"$Cm=!V}"</f>
        <v>#REF!</v>
      </c>
      <c r="GY17" t="e">
        <f>#REF!+"$Cm=!V~"</f>
        <v>#REF!</v>
      </c>
      <c r="GZ17" t="e">
        <f>#REF!+"$Cm=!W#"</f>
        <v>#REF!</v>
      </c>
      <c r="HA17" t="e">
        <f>#REF!+"$Cm=!W$"</f>
        <v>#REF!</v>
      </c>
      <c r="HB17" t="e">
        <f>#REF!+"$Cm=!W%"</f>
        <v>#REF!</v>
      </c>
      <c r="HC17" t="e">
        <f>#REF!+"$Cm=!W&amp;"</f>
        <v>#REF!</v>
      </c>
      <c r="HD17" t="e">
        <f>#REF!+"$Cm=!W'"</f>
        <v>#REF!</v>
      </c>
      <c r="HE17" t="e">
        <f>#REF!+"$Cm=!W("</f>
        <v>#REF!</v>
      </c>
      <c r="HF17" t="e">
        <f>#REF!+"$Cm=!W)"</f>
        <v>#REF!</v>
      </c>
      <c r="HG17" t="e">
        <f>#REF!+"$Cm=!W."</f>
        <v>#REF!</v>
      </c>
      <c r="HH17" t="e">
        <f>#REF!+"$Cm=!W/"</f>
        <v>#REF!</v>
      </c>
      <c r="HI17" t="e">
        <f>#REF!+"$Cm=!W0"</f>
        <v>#REF!</v>
      </c>
      <c r="HJ17" t="e">
        <f>#REF!+"$Cm=!W1"</f>
        <v>#REF!</v>
      </c>
      <c r="HK17" t="e">
        <f>#REF!+"$Cm=!W2"</f>
        <v>#REF!</v>
      </c>
      <c r="HL17" t="e">
        <f>#REF!+"$Cm=!W3"</f>
        <v>#REF!</v>
      </c>
      <c r="HM17" t="e">
        <f>#REF!+"$Cm=!W4"</f>
        <v>#REF!</v>
      </c>
      <c r="HN17" t="e">
        <f>#REF!+"$Cm=!W5"</f>
        <v>#REF!</v>
      </c>
      <c r="HO17" t="e">
        <f>#REF!+"$Cm=!W6"</f>
        <v>#REF!</v>
      </c>
      <c r="HP17" t="e">
        <f>#REF!+"$Cm=!W7"</f>
        <v>#REF!</v>
      </c>
      <c r="HQ17" t="e">
        <f>#REF!+"$Cm=!W8"</f>
        <v>#REF!</v>
      </c>
      <c r="HR17" t="e">
        <f>#REF!+"$Cm=!W9"</f>
        <v>#REF!</v>
      </c>
      <c r="HS17" t="e">
        <f>#REF!+"$Cm=!W:"</f>
        <v>#REF!</v>
      </c>
      <c r="HT17" t="e">
        <f>#REF!+"$Cm=!W;"</f>
        <v>#REF!</v>
      </c>
      <c r="HU17" t="e">
        <f>#REF!+"$Cm=!W&lt;"</f>
        <v>#REF!</v>
      </c>
      <c r="HV17" t="e">
        <f>#REF!+"$Cm=!W="</f>
        <v>#REF!</v>
      </c>
      <c r="HW17" t="e">
        <f>#REF!+"$Cm=!W&gt;"</f>
        <v>#REF!</v>
      </c>
      <c r="HX17" t="e">
        <f>#REF!+"$Cm=!W?"</f>
        <v>#REF!</v>
      </c>
      <c r="HY17" t="e">
        <f>#REF!+"$Cm=!W@"</f>
        <v>#REF!</v>
      </c>
      <c r="HZ17" t="e">
        <f>#REF!+"$Cm=!WA"</f>
        <v>#REF!</v>
      </c>
      <c r="IA17" t="e">
        <f>#REF!+"$Cm=!WB"</f>
        <v>#REF!</v>
      </c>
      <c r="IB17" t="e">
        <f>#REF!+"$Cm=!WC"</f>
        <v>#REF!</v>
      </c>
      <c r="IC17" t="e">
        <f>#REF!+"$Cm=!WD"</f>
        <v>#REF!</v>
      </c>
      <c r="ID17" t="e">
        <f>#REF!+"$Cm=!WE"</f>
        <v>#REF!</v>
      </c>
      <c r="IE17" t="e">
        <f>#REF!+"$Cm=!WF"</f>
        <v>#REF!</v>
      </c>
      <c r="IF17" t="e">
        <f>#REF!+"$Cm=!WG"</f>
        <v>#REF!</v>
      </c>
      <c r="IG17" t="e">
        <f>#REF!+"$Cm=!WH"</f>
        <v>#REF!</v>
      </c>
      <c r="IH17" t="e">
        <f>#REF!+"$Cm=!WI"</f>
        <v>#REF!</v>
      </c>
      <c r="II17" t="e">
        <f>#REF!+"$Cm=!WJ"</f>
        <v>#REF!</v>
      </c>
      <c r="IJ17" t="e">
        <f>#REF!+"$Cm=!WK"</f>
        <v>#REF!</v>
      </c>
      <c r="IK17" t="e">
        <f>#REF!+"$Cm=!WL"</f>
        <v>#REF!</v>
      </c>
      <c r="IL17" t="e">
        <f>#REF!+"$Cm=!WM"</f>
        <v>#REF!</v>
      </c>
      <c r="IM17" t="e">
        <f>#REF!+"$Cm=!WN"</f>
        <v>#REF!</v>
      </c>
      <c r="IN17" t="e">
        <f>#REF!+"$Cm=!WO"</f>
        <v>#REF!</v>
      </c>
      <c r="IO17" t="e">
        <f>#REF!+"$Cm=!WP"</f>
        <v>#REF!</v>
      </c>
      <c r="IP17" t="e">
        <f>#REF!+"$Cm=!WQ"</f>
        <v>#REF!</v>
      </c>
      <c r="IQ17" t="e">
        <f>#REF!+"$Cm=!WR"</f>
        <v>#REF!</v>
      </c>
      <c r="IR17" t="e">
        <f>#REF!+"$Cm=!WS"</f>
        <v>#REF!</v>
      </c>
      <c r="IS17" t="e">
        <f>#REF!+"$Cm=!WT"</f>
        <v>#REF!</v>
      </c>
      <c r="IT17" t="e">
        <f>#REF!+"$Cm=!WU"</f>
        <v>#REF!</v>
      </c>
      <c r="IU17" t="e">
        <f>#REF!+"$Cm=!WV"</f>
        <v>#REF!</v>
      </c>
      <c r="IV17" t="e">
        <f>#REF!+"$Cm=!WW"</f>
        <v>#REF!</v>
      </c>
    </row>
    <row r="18" spans="6:256">
      <c r="F18" t="e">
        <f>#REF!+"$Cm=!WX"</f>
        <v>#REF!</v>
      </c>
      <c r="G18" t="e">
        <f>#REF!+"$Cm=!WY"</f>
        <v>#REF!</v>
      </c>
      <c r="H18" t="e">
        <f>#REF!+"$Cm=!WZ"</f>
        <v>#REF!</v>
      </c>
      <c r="I18" t="e">
        <f>#REF!+"$Cm=!W["</f>
        <v>#REF!</v>
      </c>
      <c r="J18" t="e">
        <f>#REF!+"$Cm=!W\"</f>
        <v>#REF!</v>
      </c>
      <c r="K18" t="e">
        <f>#REF!+"$Cm=!W]"</f>
        <v>#REF!</v>
      </c>
      <c r="L18" t="e">
        <f>#REF!+"$Cm=!W^"</f>
        <v>#REF!</v>
      </c>
      <c r="M18" t="e">
        <f>#REF!+"$Cm=!W_"</f>
        <v>#REF!</v>
      </c>
      <c r="N18" t="e">
        <f>#REF!+"$Cm=!W`"</f>
        <v>#REF!</v>
      </c>
      <c r="O18" t="e">
        <f>#REF!+"$Cm=!Wa"</f>
        <v>#REF!</v>
      </c>
      <c r="P18" t="e">
        <f>#REF!+"$Cm=!Wb"</f>
        <v>#REF!</v>
      </c>
      <c r="Q18" t="e">
        <f>#REF!+"$Cm=!Wc"</f>
        <v>#REF!</v>
      </c>
      <c r="R18" t="e">
        <f>#REF!+"$Cm=!Wd"</f>
        <v>#REF!</v>
      </c>
      <c r="S18" t="e">
        <f>#REF!+"$Cm=!We"</f>
        <v>#REF!</v>
      </c>
      <c r="T18" t="e">
        <f>#REF!+"$Cm=!Wf"</f>
        <v>#REF!</v>
      </c>
      <c r="U18" t="e">
        <f>#REF!+"$Cm=!Wg"</f>
        <v>#REF!</v>
      </c>
      <c r="V18" t="e">
        <f>#REF!+"$Cm=!Wh"</f>
        <v>#REF!</v>
      </c>
      <c r="W18" t="e">
        <f>#REF!+"$Cm=!Wi"</f>
        <v>#REF!</v>
      </c>
      <c r="X18" t="e">
        <f>#REF!+"$Cm=!Wj"</f>
        <v>#REF!</v>
      </c>
      <c r="Y18" t="e">
        <f>#REF!+"$Cm=!Wk"</f>
        <v>#REF!</v>
      </c>
      <c r="Z18" t="e">
        <f>#REF!+"$Cm=!Wl"</f>
        <v>#REF!</v>
      </c>
      <c r="AA18" t="e">
        <f>#REF!+"$Cm=!Wm"</f>
        <v>#REF!</v>
      </c>
      <c r="AB18" t="e">
        <f>#REF!+"$Cm=!Wn"</f>
        <v>#REF!</v>
      </c>
      <c r="AC18" t="e">
        <f>#REF!+"$Cm=!Wo"</f>
        <v>#REF!</v>
      </c>
      <c r="AD18" t="e">
        <f>#REF!+"$Cm=!Wp"</f>
        <v>#REF!</v>
      </c>
      <c r="AE18" t="e">
        <f>#REF!+"$Cm=!Wq"</f>
        <v>#REF!</v>
      </c>
      <c r="AF18" t="e">
        <f>#REF!+"$Cm=!Wr"</f>
        <v>#REF!</v>
      </c>
      <c r="AG18" t="e">
        <f>#REF!+"$Cm=!Ws"</f>
        <v>#REF!</v>
      </c>
      <c r="AH18" t="e">
        <f>#REF!+"$Cm=!Wt"</f>
        <v>#REF!</v>
      </c>
      <c r="AI18" t="e">
        <f>#REF!+"$Cm=!Wu"</f>
        <v>#REF!</v>
      </c>
      <c r="AJ18" t="e">
        <f>#REF!+"$Cm=!Wv"</f>
        <v>#REF!</v>
      </c>
      <c r="AK18" t="e">
        <f>#REF!+"$Cm=!Ww"</f>
        <v>#REF!</v>
      </c>
      <c r="AL18" t="e">
        <f>#REF!+"$Cm=!Wx"</f>
        <v>#REF!</v>
      </c>
      <c r="AM18" t="e">
        <f>#REF!+"$Cm=!Wy"</f>
        <v>#REF!</v>
      </c>
      <c r="AN18" t="e">
        <f>#REF!+"$Cm=!Wz"</f>
        <v>#REF!</v>
      </c>
      <c r="AO18" t="e">
        <f>#REF!+"$Cm=!W{"</f>
        <v>#REF!</v>
      </c>
      <c r="AP18" t="e">
        <f>#REF!+"$Cm=!W|"</f>
        <v>#REF!</v>
      </c>
      <c r="AQ18" t="e">
        <f>#REF!+"$Cm=!W}"</f>
        <v>#REF!</v>
      </c>
      <c r="AR18" t="e">
        <f>#REF!+"$Cm=!W~"</f>
        <v>#REF!</v>
      </c>
      <c r="AS18" t="e">
        <f>#REF!+"$Cm=!X#"</f>
        <v>#REF!</v>
      </c>
      <c r="AT18" t="e">
        <f>#REF!+"$Cm=!X$"</f>
        <v>#REF!</v>
      </c>
      <c r="AU18" t="e">
        <f>#REF!+"$Cm=!X%"</f>
        <v>#REF!</v>
      </c>
      <c r="AV18" t="e">
        <f>#REF!+"$Cm=!X&amp;"</f>
        <v>#REF!</v>
      </c>
      <c r="AW18" t="e">
        <f>#REF!+"$Cm=!X'"</f>
        <v>#REF!</v>
      </c>
      <c r="AX18" t="e">
        <f>#REF!+"$Cm=!X("</f>
        <v>#REF!</v>
      </c>
      <c r="AY18" t="e">
        <f>#REF!+"$Cm=!X)"</f>
        <v>#REF!</v>
      </c>
      <c r="AZ18" t="e">
        <f>#REF!+"$Cm=!X."</f>
        <v>#REF!</v>
      </c>
      <c r="BA18" t="e">
        <f>#REF!+"$Cm=!X/"</f>
        <v>#REF!</v>
      </c>
      <c r="BB18" t="e">
        <f>#REF!+"$Cm=!X0"</f>
        <v>#REF!</v>
      </c>
      <c r="BC18" t="e">
        <f>#REF!+"$Cm=!X1"</f>
        <v>#REF!</v>
      </c>
      <c r="BD18" t="e">
        <f>#REF!+"$Cm=!X2"</f>
        <v>#REF!</v>
      </c>
      <c r="BE18" t="e">
        <f>#REF!+"$Cm=!X3"</f>
        <v>#REF!</v>
      </c>
      <c r="BF18" t="e">
        <f>#REF!+"$Cm=!X4"</f>
        <v>#REF!</v>
      </c>
      <c r="BG18" t="e">
        <f>#REF!+"$Cm=!X5"</f>
        <v>#REF!</v>
      </c>
      <c r="BH18" t="e">
        <f>#REF!+"$Cm=!X6"</f>
        <v>#REF!</v>
      </c>
      <c r="BI18" t="e">
        <f>#REF!+"$Cm=!X7"</f>
        <v>#REF!</v>
      </c>
      <c r="BJ18" t="e">
        <f>#REF!+"$Cm=!X8"</f>
        <v>#REF!</v>
      </c>
      <c r="BK18" t="e">
        <f>#REF!+"$Cm=!X9"</f>
        <v>#REF!</v>
      </c>
      <c r="BL18" t="e">
        <f>#REF!+"$Cm=!X:"</f>
        <v>#REF!</v>
      </c>
      <c r="BM18" t="e">
        <f>#REF!+"$Cm=!X;"</f>
        <v>#REF!</v>
      </c>
      <c r="BN18" t="e">
        <f>#REF!+"$Cm=!X&lt;"</f>
        <v>#REF!</v>
      </c>
      <c r="BO18" t="e">
        <f>#REF!+"$Cm=!X="</f>
        <v>#REF!</v>
      </c>
      <c r="BP18" t="e">
        <f>#REF!+"$Cm=!X&gt;"</f>
        <v>#REF!</v>
      </c>
      <c r="BQ18" t="e">
        <f>#REF!+"$Cm=!X?"</f>
        <v>#REF!</v>
      </c>
      <c r="BR18" t="e">
        <f>#REF!+"$Cm=!X@"</f>
        <v>#REF!</v>
      </c>
      <c r="BS18" t="e">
        <f>#REF!+"$Cm=!XA"</f>
        <v>#REF!</v>
      </c>
      <c r="BT18" t="e">
        <f>#REF!+"$Cm=!XB"</f>
        <v>#REF!</v>
      </c>
      <c r="BU18" t="e">
        <f>#REF!+"$Cm=!XC"</f>
        <v>#REF!</v>
      </c>
      <c r="BV18" t="e">
        <f>#REF!+"$Cm=!XD"</f>
        <v>#REF!</v>
      </c>
      <c r="BW18" t="e">
        <f>#REF!+"$Cm=!XE"</f>
        <v>#REF!</v>
      </c>
      <c r="BX18" t="e">
        <f>#REF!+"$Cm=!XF"</f>
        <v>#REF!</v>
      </c>
      <c r="BY18" t="e">
        <f>#REF!+"$Cm=!XG"</f>
        <v>#REF!</v>
      </c>
      <c r="BZ18" t="e">
        <f>#REF!+"$Cm=!XH"</f>
        <v>#REF!</v>
      </c>
      <c r="CA18" t="e">
        <f>#REF!+"$Cm=!XI"</f>
        <v>#REF!</v>
      </c>
      <c r="CB18" t="e">
        <f>#REF!+"$Cm=!XJ"</f>
        <v>#REF!</v>
      </c>
      <c r="CC18" t="e">
        <f>#REF!+"$Cm=!XK"</f>
        <v>#REF!</v>
      </c>
      <c r="CD18" t="e">
        <f>#REF!+"$Cm=!XL"</f>
        <v>#REF!</v>
      </c>
      <c r="CE18" t="e">
        <f>#REF!+"$Cm=!XM"</f>
        <v>#REF!</v>
      </c>
      <c r="CF18" t="e">
        <f>#REF!+"$Cm=!XN"</f>
        <v>#REF!</v>
      </c>
      <c r="CG18" t="e">
        <f>#REF!+"$Cm=!XO"</f>
        <v>#REF!</v>
      </c>
      <c r="CH18" t="e">
        <f>#REF!+"$Cm=!XP"</f>
        <v>#REF!</v>
      </c>
      <c r="CI18" t="e">
        <f>#REF!+"$Cm=!XQ"</f>
        <v>#REF!</v>
      </c>
      <c r="CJ18" t="e">
        <f>#REF!+"$Cm=!XR"</f>
        <v>#REF!</v>
      </c>
      <c r="CK18" t="e">
        <f>#REF!+"$Cm=!XS"</f>
        <v>#REF!</v>
      </c>
      <c r="CL18" t="e">
        <f>#REF!+"$Cm=!XT"</f>
        <v>#REF!</v>
      </c>
      <c r="CM18" t="e">
        <f>#REF!+"$Cm=!XU"</f>
        <v>#REF!</v>
      </c>
      <c r="CN18" t="e">
        <f>#REF!+"$Cm=!XV"</f>
        <v>#REF!</v>
      </c>
      <c r="CO18" t="e">
        <f>#REF!+"$Cm=!XW"</f>
        <v>#REF!</v>
      </c>
      <c r="CP18" t="e">
        <f>#REF!+"$Cm=!XX"</f>
        <v>#REF!</v>
      </c>
      <c r="CQ18" t="e">
        <f>#REF!+"$Cm=!XY"</f>
        <v>#REF!</v>
      </c>
      <c r="CR18" t="e">
        <f>#REF!+"$Cm=!XZ"</f>
        <v>#REF!</v>
      </c>
      <c r="CS18" t="e">
        <f>#REF!+"$Cm=!X["</f>
        <v>#REF!</v>
      </c>
      <c r="CT18" t="e">
        <f>#REF!+"$Cm=!X\"</f>
        <v>#REF!</v>
      </c>
      <c r="CU18" t="e">
        <f>#REF!+"$Cm=!X]"</f>
        <v>#REF!</v>
      </c>
      <c r="CV18" t="e">
        <f>#REF!+"$Cm=!X^"</f>
        <v>#REF!</v>
      </c>
      <c r="CW18" t="e">
        <f>#REF!+"$Cm=!X_"</f>
        <v>#REF!</v>
      </c>
      <c r="CX18" t="e">
        <f>#REF!+"$Cm=!X`"</f>
        <v>#REF!</v>
      </c>
      <c r="CY18" t="e">
        <f>#REF!+"$Cm=!Xa"</f>
        <v>#REF!</v>
      </c>
      <c r="CZ18" t="e">
        <f>#REF!+"$Cm=!Xb"</f>
        <v>#REF!</v>
      </c>
      <c r="DA18" t="e">
        <f>#REF!+"$Cm=!Xc"</f>
        <v>#REF!</v>
      </c>
      <c r="DB18" t="e">
        <f>#REF!+"$Cm=!Xd"</f>
        <v>#REF!</v>
      </c>
      <c r="DC18" t="e">
        <f>#REF!+"$Cm=!Xe"</f>
        <v>#REF!</v>
      </c>
      <c r="DD18" t="e">
        <f>#REF!+"$Cm=!Xf"</f>
        <v>#REF!</v>
      </c>
      <c r="DE18" t="e">
        <f>#REF!+"$Cm=!Xg"</f>
        <v>#REF!</v>
      </c>
      <c r="DF18" t="e">
        <f>#REF!+"$Cm=!Xh"</f>
        <v>#REF!</v>
      </c>
      <c r="DG18" t="e">
        <f>#REF!+"$Cm=!Xi"</f>
        <v>#REF!</v>
      </c>
      <c r="DH18" t="e">
        <f>#REF!+"$Cm=!Xj"</f>
        <v>#REF!</v>
      </c>
      <c r="DI18" t="e">
        <f>#REF!+"$Cm=!Xk"</f>
        <v>#REF!</v>
      </c>
      <c r="DJ18" t="e">
        <f>#REF!+"$Cm=!Xl"</f>
        <v>#REF!</v>
      </c>
      <c r="DK18" t="e">
        <f>#REF!+"$Cm=!Xm"</f>
        <v>#REF!</v>
      </c>
      <c r="DL18" t="e">
        <f>#REF!+"$Cm=!Xn"</f>
        <v>#REF!</v>
      </c>
      <c r="DM18" t="e">
        <f>#REF!+"$Cm=!Xo"</f>
        <v>#REF!</v>
      </c>
      <c r="DN18" t="e">
        <f>#REF!+"$Cm=!Xp"</f>
        <v>#REF!</v>
      </c>
      <c r="DO18" t="e">
        <f>#REF!+"$Cm=!Xq"</f>
        <v>#REF!</v>
      </c>
      <c r="DP18" t="e">
        <f>#REF!+"$Cm=!Xr"</f>
        <v>#REF!</v>
      </c>
      <c r="DQ18" t="e">
        <f>#REF!+"$Cm=!Xs"</f>
        <v>#REF!</v>
      </c>
      <c r="DR18" t="e">
        <f>#REF!+"$Cm=!Xt"</f>
        <v>#REF!</v>
      </c>
      <c r="DS18" t="e">
        <f>#REF!+"$Cm=!Xu"</f>
        <v>#REF!</v>
      </c>
      <c r="DT18" t="e">
        <f>#REF!+"$Cm=!Xv"</f>
        <v>#REF!</v>
      </c>
      <c r="DU18" t="e">
        <f>#REF!+"$Cm=!Xw"</f>
        <v>#REF!</v>
      </c>
      <c r="DV18" t="e">
        <f>#REF!+"$Cm=!Xx"</f>
        <v>#REF!</v>
      </c>
      <c r="DW18" t="e">
        <f>#REF!+"$Cm=!Xy"</f>
        <v>#REF!</v>
      </c>
      <c r="DX18" t="e">
        <f>#REF!+"$Cm=!Xz"</f>
        <v>#REF!</v>
      </c>
      <c r="DY18" t="e">
        <f>#REF!+"$Cm=!X{"</f>
        <v>#REF!</v>
      </c>
      <c r="DZ18" t="e">
        <f>#REF!+"$Cm=!X|"</f>
        <v>#REF!</v>
      </c>
      <c r="EA18" t="e">
        <f>#REF!+"$Cm=!X}"</f>
        <v>#REF!</v>
      </c>
      <c r="EB18" t="e">
        <f>#REF!+"$Cm=!X~"</f>
        <v>#REF!</v>
      </c>
      <c r="EC18" t="e">
        <f>#REF!+"$Cm=!Y#"</f>
        <v>#REF!</v>
      </c>
      <c r="ED18" t="e">
        <f>#REF!+"$Cm=!Y$"</f>
        <v>#REF!</v>
      </c>
      <c r="EE18" t="e">
        <f>#REF!+"$Cm=!Y%"</f>
        <v>#REF!</v>
      </c>
      <c r="EF18" t="e">
        <f>#REF!+"$Cm=!Y&amp;"</f>
        <v>#REF!</v>
      </c>
      <c r="EG18" t="e">
        <f>#REF!+"$Cm=!Y'"</f>
        <v>#REF!</v>
      </c>
      <c r="EH18" t="e">
        <f>#REF!+"$Cm=!Y("</f>
        <v>#REF!</v>
      </c>
      <c r="EI18" t="e">
        <f>#REF!+"$Cm=!Y)"</f>
        <v>#REF!</v>
      </c>
      <c r="EJ18" t="e">
        <f>#REF!+"$Cm=!Y."</f>
        <v>#REF!</v>
      </c>
      <c r="EK18" t="e">
        <f>#REF!+"$Cm=!Y/"</f>
        <v>#REF!</v>
      </c>
      <c r="EL18" t="e">
        <f>#REF!+"$Cm=!Y0"</f>
        <v>#REF!</v>
      </c>
      <c r="EM18" t="e">
        <f>#REF!+"$Cm=!Y1"</f>
        <v>#REF!</v>
      </c>
      <c r="EN18" t="e">
        <f>#REF!+"$Cm=!Y2"</f>
        <v>#REF!</v>
      </c>
      <c r="EO18" t="e">
        <f>#REF!+"$Cm=!Y3"</f>
        <v>#REF!</v>
      </c>
      <c r="EP18" t="e">
        <f>#REF!+"$Cm=!Y4"</f>
        <v>#REF!</v>
      </c>
      <c r="EQ18" t="e">
        <f>#REF!+"$Cm=!Y5"</f>
        <v>#REF!</v>
      </c>
      <c r="ER18" t="e">
        <f>#REF!+"$Cm=!Y6"</f>
        <v>#REF!</v>
      </c>
      <c r="ES18" t="e">
        <f>#REF!+"$Cm=!Y7"</f>
        <v>#REF!</v>
      </c>
      <c r="ET18" t="e">
        <f>#REF!+"$Cm=!Y8"</f>
        <v>#REF!</v>
      </c>
      <c r="EU18" t="e">
        <f>#REF!+"$Cm=!Y9"</f>
        <v>#REF!</v>
      </c>
      <c r="EV18" t="e">
        <f>#REF!+"$Cm=!Y:"</f>
        <v>#REF!</v>
      </c>
      <c r="EW18" t="e">
        <f>#REF!+"$Cm=!Y;"</f>
        <v>#REF!</v>
      </c>
      <c r="EX18" t="e">
        <f>#REF!+"$Cm=!Y&lt;"</f>
        <v>#REF!</v>
      </c>
      <c r="EY18" t="e">
        <f>#REF!+"$Cm=!Y="</f>
        <v>#REF!</v>
      </c>
      <c r="EZ18" t="e">
        <f>#REF!+"$Cm=!Y&gt;"</f>
        <v>#REF!</v>
      </c>
      <c r="FA18" t="e">
        <f>#REF!+"$Cm=!Y?"</f>
        <v>#REF!</v>
      </c>
      <c r="FB18" t="e">
        <f>#REF!+"$Cm=!Y@"</f>
        <v>#REF!</v>
      </c>
      <c r="FC18" t="e">
        <f>#REF!+"$Cm=!YA"</f>
        <v>#REF!</v>
      </c>
      <c r="FD18" t="e">
        <f>#REF!+"$Cm=!YB"</f>
        <v>#REF!</v>
      </c>
      <c r="FE18" t="e">
        <f>#REF!+"$Cm=!YC"</f>
        <v>#REF!</v>
      </c>
      <c r="FF18" t="e">
        <f>#REF!+"$Cm=!YD"</f>
        <v>#REF!</v>
      </c>
      <c r="FG18" t="e">
        <f>#REF!+"$Cm=!YE"</f>
        <v>#REF!</v>
      </c>
      <c r="FH18" t="e">
        <f>#REF!+"$Cm=!YF"</f>
        <v>#REF!</v>
      </c>
      <c r="FI18" t="e">
        <f>#REF!+"$Cm=!YG"</f>
        <v>#REF!</v>
      </c>
      <c r="FJ18" t="e">
        <f>#REF!+"$Cm=!YH"</f>
        <v>#REF!</v>
      </c>
      <c r="FK18" t="e">
        <f>#REF!+"$Cm=!YI"</f>
        <v>#REF!</v>
      </c>
      <c r="FL18" t="e">
        <f>#REF!+"$Cm=!YJ"</f>
        <v>#REF!</v>
      </c>
      <c r="FM18" t="e">
        <f>#REF!+"$Cm=!YK"</f>
        <v>#REF!</v>
      </c>
      <c r="FN18" t="e">
        <f>#REF!+"$Cm=!YL"</f>
        <v>#REF!</v>
      </c>
      <c r="FO18" t="e">
        <f>#REF!+"$Cm=!YM"</f>
        <v>#REF!</v>
      </c>
      <c r="FP18" t="e">
        <f>#REF!+"$Cm=!YN"</f>
        <v>#REF!</v>
      </c>
      <c r="FQ18" t="e">
        <f>#REF!+"$Cm=!YO"</f>
        <v>#REF!</v>
      </c>
      <c r="FR18" t="e">
        <f>#REF!+"$Cm=!YP"</f>
        <v>#REF!</v>
      </c>
      <c r="FS18" t="e">
        <f>#REF!+"$Cm=!YQ"</f>
        <v>#REF!</v>
      </c>
      <c r="FT18" t="e">
        <f>#REF!+"$Cm=!YR"</f>
        <v>#REF!</v>
      </c>
      <c r="FU18" t="e">
        <f>#REF!+"$Cm=!YS"</f>
        <v>#REF!</v>
      </c>
      <c r="FV18" t="e">
        <f>#REF!+"$Cm=!YT"</f>
        <v>#REF!</v>
      </c>
      <c r="FW18" t="e">
        <f>#REF!+"$Cm=!YU"</f>
        <v>#REF!</v>
      </c>
      <c r="FX18" t="e">
        <f>#REF!+"$Cm=!YV"</f>
        <v>#REF!</v>
      </c>
      <c r="FY18" t="e">
        <f>#REF!+"$Cm=!YW"</f>
        <v>#REF!</v>
      </c>
      <c r="FZ18" t="e">
        <f>#REF!+"$Cm=!YX"</f>
        <v>#REF!</v>
      </c>
      <c r="GA18" t="e">
        <f>#REF!+"$Cm=!YY"</f>
        <v>#REF!</v>
      </c>
      <c r="GB18" s="1" t="e">
        <f>#REF!+"$Cm=!YZ"</f>
        <v>#REF!</v>
      </c>
      <c r="GC18" s="1" t="e">
        <f>#REF!+"$Cm=!Y["</f>
        <v>#REF!</v>
      </c>
      <c r="GD18" s="1" t="e">
        <f>#REF!+"$Cm=!Y\"</f>
        <v>#REF!</v>
      </c>
      <c r="GE18" t="e">
        <f>#REF!+"$Cm=!Y]"</f>
        <v>#REF!</v>
      </c>
      <c r="GF18" t="e">
        <f>#REF!+"$Cm=!Y^"</f>
        <v>#REF!</v>
      </c>
      <c r="GG18" t="e">
        <f>#REF!+"$Cm=!Y_"</f>
        <v>#REF!</v>
      </c>
      <c r="GH18" t="e">
        <f>#REF!+"$Cm=!Y`"</f>
        <v>#REF!</v>
      </c>
      <c r="GI18" t="e">
        <f>#REF!+"$Cm=!Ya"</f>
        <v>#REF!</v>
      </c>
      <c r="GJ18" t="e">
        <f>#REF!+"$Cm=!Yb"</f>
        <v>#REF!</v>
      </c>
      <c r="GK18" t="e">
        <f>#REF!+"$Cm=!Yc"</f>
        <v>#REF!</v>
      </c>
      <c r="GL18" t="e">
        <f>#REF!+"$Cm=!Yd"</f>
        <v>#REF!</v>
      </c>
      <c r="GM18" t="e">
        <f>#REF!+"$Cm=!Ye"</f>
        <v>#REF!</v>
      </c>
      <c r="GN18" t="e">
        <f>#REF!+"$Cm=!Yf"</f>
        <v>#REF!</v>
      </c>
      <c r="GO18" t="e">
        <f>#REF!+"$Cm=!Yg"</f>
        <v>#REF!</v>
      </c>
      <c r="GP18" t="e">
        <f>#REF!+"$Cm=!Yh"</f>
        <v>#REF!</v>
      </c>
      <c r="GQ18" t="e">
        <f>#REF!+"$Cm=!Yi"</f>
        <v>#REF!</v>
      </c>
      <c r="GR18" t="e">
        <f>#REF!+"$Cm=!Yj"</f>
        <v>#REF!</v>
      </c>
      <c r="GS18" t="e">
        <f>#REF!+"$Cm=!Yk"</f>
        <v>#REF!</v>
      </c>
      <c r="GT18" t="e">
        <f>#REF!+"$Cm=!Yl"</f>
        <v>#REF!</v>
      </c>
      <c r="GU18" t="e">
        <f>#REF!+"$Cm=!Ym"</f>
        <v>#REF!</v>
      </c>
      <c r="GV18" t="e">
        <f>#REF!+"$Cm=!Yn"</f>
        <v>#REF!</v>
      </c>
      <c r="GW18" t="e">
        <f>#REF!+"$Cm=!Yo"</f>
        <v>#REF!</v>
      </c>
      <c r="GX18" t="e">
        <f>#REF!+"$Cm=!Yp"</f>
        <v>#REF!</v>
      </c>
      <c r="GY18" t="e">
        <f>#REF!+"$Cm=!Yq"</f>
        <v>#REF!</v>
      </c>
      <c r="GZ18" t="e">
        <f>#REF!+"$Cm=!Yr"</f>
        <v>#REF!</v>
      </c>
      <c r="HA18" t="e">
        <f>#REF!+"$Cm=!Ys"</f>
        <v>#REF!</v>
      </c>
      <c r="HB18" t="e">
        <f>#REF!+"$Cm=!Yt"</f>
        <v>#REF!</v>
      </c>
      <c r="HC18" t="e">
        <f>#REF!+"$Cm=!Yu"</f>
        <v>#REF!</v>
      </c>
      <c r="HD18" t="e">
        <f>#REF!+"$Cm=!Yv"</f>
        <v>#REF!</v>
      </c>
      <c r="HE18" t="e">
        <f>#REF!+"$Cm=!Yw"</f>
        <v>#REF!</v>
      </c>
      <c r="HF18" t="e">
        <f>#REF!+"$Cm=!Yx"</f>
        <v>#REF!</v>
      </c>
      <c r="HG18" t="e">
        <f>#REF!+"$Cm=!Yy"</f>
        <v>#REF!</v>
      </c>
      <c r="HH18" t="e">
        <f>#REF!+"$Cm=!Yz"</f>
        <v>#REF!</v>
      </c>
      <c r="HI18" t="e">
        <f>#REF!+"$Cm=!Y{"</f>
        <v>#REF!</v>
      </c>
      <c r="HJ18" t="e">
        <f>#REF!+"$Cm=!Y|"</f>
        <v>#REF!</v>
      </c>
      <c r="HK18" t="e">
        <f>#REF!+"$Cm=!Y}"</f>
        <v>#REF!</v>
      </c>
      <c r="HL18" t="e">
        <f>#REF!+"$Cm=!Y~"</f>
        <v>#REF!</v>
      </c>
      <c r="HM18" t="e">
        <f>#REF!+"$Cm=!Z#"</f>
        <v>#REF!</v>
      </c>
      <c r="HN18" t="e">
        <f>#REF!+"$Cm=!Z$"</f>
        <v>#REF!</v>
      </c>
      <c r="HO18" t="e">
        <f>#REF!+"$Cm=!Z%"</f>
        <v>#REF!</v>
      </c>
      <c r="HP18" t="e">
        <f>#REF!+"$Cm=!Z&amp;"</f>
        <v>#REF!</v>
      </c>
      <c r="HQ18" t="e">
        <f>#REF!+"$Cm=!Z'"</f>
        <v>#REF!</v>
      </c>
      <c r="HR18" t="e">
        <f>#REF!+"$Cm=!Z("</f>
        <v>#REF!</v>
      </c>
      <c r="HS18" t="e">
        <f>#REF!+"$Cm=!Z)"</f>
        <v>#REF!</v>
      </c>
      <c r="HT18" t="e">
        <f>#REF!+"$Cm=!Z."</f>
        <v>#REF!</v>
      </c>
      <c r="HU18" t="e">
        <f>#REF!+"$Cm=!Z/"</f>
        <v>#REF!</v>
      </c>
      <c r="HV18" t="e">
        <f>#REF!+"$Cm=!Z0"</f>
        <v>#REF!</v>
      </c>
      <c r="HW18" t="e">
        <f>#REF!+"$Cm=!Z1"</f>
        <v>#REF!</v>
      </c>
      <c r="HX18" t="e">
        <f>#REF!+"$Cm=!Z2"</f>
        <v>#REF!</v>
      </c>
      <c r="HY18" t="e">
        <f>#REF!+"$Cm=!Z3"</f>
        <v>#REF!</v>
      </c>
      <c r="HZ18" t="e">
        <f>#REF!+"$Cm=!Z4"</f>
        <v>#REF!</v>
      </c>
      <c r="IA18" t="e">
        <f>#REF!+"$Cm=!Z5"</f>
        <v>#REF!</v>
      </c>
      <c r="IB18" t="e">
        <f>#REF!+"$Cm=!Z6"</f>
        <v>#REF!</v>
      </c>
      <c r="IC18" t="e">
        <f>#REF!+"$Cm=!Z7"</f>
        <v>#REF!</v>
      </c>
      <c r="ID18" t="e">
        <f>#REF!+"$Cm=!Z8"</f>
        <v>#REF!</v>
      </c>
      <c r="IE18" t="e">
        <f>#REF!+"$Cm=!Z9"</f>
        <v>#REF!</v>
      </c>
      <c r="IF18" t="e">
        <f>#REF!+"$Cm=!Z:"</f>
        <v>#REF!</v>
      </c>
      <c r="IG18" t="e">
        <f>#REF!+"$Cm=!Z;"</f>
        <v>#REF!</v>
      </c>
      <c r="IH18" t="e">
        <f>#REF!+"$Cm=!Z&lt;"</f>
        <v>#REF!</v>
      </c>
      <c r="II18" t="e">
        <f>#REF!+"$Cm=!Z="</f>
        <v>#REF!</v>
      </c>
      <c r="IJ18" t="e">
        <f>#REF!+"$Cm=!Z&gt;"</f>
        <v>#REF!</v>
      </c>
      <c r="IK18" t="e">
        <f>#REF!+"$Cm=!Z?"</f>
        <v>#REF!</v>
      </c>
      <c r="IL18" t="e">
        <f>#REF!+"$Cm=!Z@"</f>
        <v>#REF!</v>
      </c>
      <c r="IM18" t="e">
        <f>#REF!+"$Cm=!ZA"</f>
        <v>#REF!</v>
      </c>
      <c r="IN18" t="e">
        <f>#REF!+"$Cm=!ZB"</f>
        <v>#REF!</v>
      </c>
      <c r="IO18" t="e">
        <f>#REF!+"$Cm=!ZC"</f>
        <v>#REF!</v>
      </c>
      <c r="IP18" t="e">
        <f>#REF!+"$Cm=!ZD"</f>
        <v>#REF!</v>
      </c>
      <c r="IQ18" t="e">
        <f>#REF!+"$Cm=!ZE"</f>
        <v>#REF!</v>
      </c>
      <c r="IR18" t="e">
        <f>#REF!+"$Cm=!ZF"</f>
        <v>#REF!</v>
      </c>
      <c r="IS18" t="e">
        <f>#REF!+"$Cm=!ZG"</f>
        <v>#REF!</v>
      </c>
      <c r="IT18" t="e">
        <f>#REF!+"$Cm=!ZH"</f>
        <v>#REF!</v>
      </c>
      <c r="IU18" t="e">
        <f>#REF!+"$Cm=!ZI"</f>
        <v>#REF!</v>
      </c>
      <c r="IV18" t="e">
        <f>#REF!+"$Cm=!ZJ"</f>
        <v>#REF!</v>
      </c>
    </row>
    <row r="19" spans="6:256">
      <c r="F19" t="e">
        <f>#REF!+"$Cm=!ZK"</f>
        <v>#REF!</v>
      </c>
      <c r="G19" t="e">
        <f>#REF!+"$Cm=!ZL"</f>
        <v>#REF!</v>
      </c>
      <c r="H19" t="e">
        <f>#REF!+"$Cm=!ZM"</f>
        <v>#REF!</v>
      </c>
      <c r="I19" t="e">
        <f>#REF!+"$Cm=!ZN"</f>
        <v>#REF!</v>
      </c>
      <c r="J19" t="e">
        <f>#REF!+"$Cm=!ZO"</f>
        <v>#REF!</v>
      </c>
      <c r="K19" t="e">
        <f>#REF!+"$Cm=!ZP"</f>
        <v>#REF!</v>
      </c>
      <c r="L19" t="e">
        <f>#REF!+"$Cm=!ZQ"</f>
        <v>#REF!</v>
      </c>
      <c r="M19" t="e">
        <f>#REF!+"$Cm=!ZR"</f>
        <v>#REF!</v>
      </c>
      <c r="N19" t="e">
        <f>#REF!+"$Cm=!ZS"</f>
        <v>#REF!</v>
      </c>
      <c r="O19" t="e">
        <f>#REF!+"$Cm=!ZT"</f>
        <v>#REF!</v>
      </c>
      <c r="P19" t="e">
        <f>#REF!+"$Cm=!ZU"</f>
        <v>#REF!</v>
      </c>
      <c r="Q19" t="e">
        <f>#REF!+"$Cm=!ZV"</f>
        <v>#REF!</v>
      </c>
      <c r="R19" t="e">
        <f>#REF!+"$Cm=!ZW"</f>
        <v>#REF!</v>
      </c>
      <c r="S19" t="e">
        <f>#REF!+"$Cm=!ZX"</f>
        <v>#REF!</v>
      </c>
      <c r="T19" t="e">
        <f>#REF!+"$Cm=!ZY"</f>
        <v>#REF!</v>
      </c>
      <c r="U19" t="e">
        <f>#REF!+"$Cm=!ZZ"</f>
        <v>#REF!</v>
      </c>
      <c r="V19" t="e">
        <f>#REF!+"$Cm=!Z["</f>
        <v>#REF!</v>
      </c>
      <c r="W19" t="e">
        <f>#REF!+"$Cm=!Z\"</f>
        <v>#REF!</v>
      </c>
      <c r="X19" t="e">
        <f>#REF!+"$Cm=!Z]"</f>
        <v>#REF!</v>
      </c>
      <c r="Y19" t="e">
        <f>#REF!+"$Cm=!Z^"</f>
        <v>#REF!</v>
      </c>
      <c r="Z19" t="e">
        <f>#REF!+"$Cm=!Z_"</f>
        <v>#REF!</v>
      </c>
      <c r="AA19" t="e">
        <f>#REF!+"$Cm=!Z`"</f>
        <v>#REF!</v>
      </c>
      <c r="AB19" t="e">
        <f>#REF!+"$Cm=!Za"</f>
        <v>#REF!</v>
      </c>
      <c r="AC19" t="e">
        <f>#REF!+"$Cm=!Zb"</f>
        <v>#REF!</v>
      </c>
      <c r="AD19" t="e">
        <f>#REF!+"$Cm=!Zc"</f>
        <v>#REF!</v>
      </c>
      <c r="AE19" t="e">
        <f>#REF!+"$Cm=!Zd"</f>
        <v>#REF!</v>
      </c>
      <c r="AF19" t="e">
        <f>#REF!+"$Cm=!Ze"</f>
        <v>#REF!</v>
      </c>
      <c r="AG19" t="e">
        <f>#REF!+"$Cm=!Zf"</f>
        <v>#REF!</v>
      </c>
      <c r="AH19" t="e">
        <f>#REF!+"$Cm=!Zg"</f>
        <v>#REF!</v>
      </c>
      <c r="AI19" t="e">
        <f>#REF!+"$Cm=!Zh"</f>
        <v>#REF!</v>
      </c>
      <c r="AJ19" t="e">
        <f>#REF!+"$Cm=!Zi"</f>
        <v>#REF!</v>
      </c>
      <c r="AK19" t="e">
        <f>#REF!+"$Cm=!Zj"</f>
        <v>#REF!</v>
      </c>
      <c r="AL19" t="e">
        <f>#REF!+"$Cm=!Zk"</f>
        <v>#REF!</v>
      </c>
      <c r="AM19" t="e">
        <f>#REF!+"$Cm=!Zl"</f>
        <v>#REF!</v>
      </c>
      <c r="AN19" t="e">
        <f>#REF!+"$Cm=!Zm"</f>
        <v>#REF!</v>
      </c>
      <c r="AO19" t="e">
        <f>#REF!+"$Cm=!Zn"</f>
        <v>#REF!</v>
      </c>
      <c r="AP19" t="e">
        <f>#REF!+"$Cm=!Zo"</f>
        <v>#REF!</v>
      </c>
      <c r="AQ19" t="e">
        <f>#REF!+"$Cm=!Zp"</f>
        <v>#REF!</v>
      </c>
      <c r="AR19" t="e">
        <f>#REF!+"$Cm=!Zq"</f>
        <v>#REF!</v>
      </c>
      <c r="AS19" t="e">
        <f>#REF!+"$Cm=!Zr"</f>
        <v>#REF!</v>
      </c>
      <c r="AT19" t="e">
        <f>#REF!+"$Cm=!Zs"</f>
        <v>#REF!</v>
      </c>
      <c r="AU19" t="e">
        <f>#REF!+"$Cm=!Zt"</f>
        <v>#REF!</v>
      </c>
      <c r="AV19" t="e">
        <f>#REF!+"$Cm=!Zu"</f>
        <v>#REF!</v>
      </c>
      <c r="AW19" t="e">
        <f>#REF!+"$Cm=!Zv"</f>
        <v>#REF!</v>
      </c>
      <c r="AX19" t="e">
        <f>#REF!+"$Cm=!Zw"</f>
        <v>#REF!</v>
      </c>
      <c r="AY19" t="e">
        <f>#REF!+"$Cm=!Zx"</f>
        <v>#REF!</v>
      </c>
      <c r="AZ19" t="e">
        <f>#REF!+"$Cm=!Zy"</f>
        <v>#REF!</v>
      </c>
      <c r="BA19" t="e">
        <f>#REF!+"$Cm=!Zz"</f>
        <v>#REF!</v>
      </c>
      <c r="BB19" t="e">
        <f>#REF!+"$Cm=!Z{"</f>
        <v>#REF!</v>
      </c>
      <c r="BC19" t="e">
        <f>#REF!+"$Cm=!Z|"</f>
        <v>#REF!</v>
      </c>
      <c r="BD19" t="e">
        <f>#REF!+"$Cm=!Z}"</f>
        <v>#REF!</v>
      </c>
      <c r="BE19" t="e">
        <f>#REF!+"$Cm=!Z~"</f>
        <v>#REF!</v>
      </c>
      <c r="BF19" t="e">
        <f>#REF!+"$Cm=![#"</f>
        <v>#REF!</v>
      </c>
      <c r="BG19" t="e">
        <f>#REF!+"$Cm=![$"</f>
        <v>#REF!</v>
      </c>
      <c r="BH19" t="e">
        <f>#REF!+"$Cm=![%"</f>
        <v>#REF!</v>
      </c>
      <c r="BI19" t="e">
        <f>#REF!+"$Cm=![&amp;"</f>
        <v>#REF!</v>
      </c>
      <c r="BJ19" t="e">
        <f>#REF!+"$Cm=!['"</f>
        <v>#REF!</v>
      </c>
      <c r="BK19" t="e">
        <f>#REF!+"$Cm=![("</f>
        <v>#REF!</v>
      </c>
      <c r="BL19" t="e">
        <f>#REF!+"$Cm=![)"</f>
        <v>#REF!</v>
      </c>
      <c r="BM19" t="e">
        <f>#REF!+"$Cm=![."</f>
        <v>#REF!</v>
      </c>
      <c r="BN19" t="e">
        <f>#REF!+"$Cm=![/"</f>
        <v>#REF!</v>
      </c>
      <c r="BO19" t="e">
        <f>#REF!+"$Cm=![0"</f>
        <v>#REF!</v>
      </c>
      <c r="BP19" t="e">
        <f>#REF!+"$Cm=![1"</f>
        <v>#REF!</v>
      </c>
      <c r="BQ19" t="e">
        <f>#REF!+"$Cm=![2"</f>
        <v>#REF!</v>
      </c>
      <c r="BR19" t="e">
        <f>#REF!+"$Cm=![3"</f>
        <v>#REF!</v>
      </c>
      <c r="BS19" t="e">
        <f>#REF!+"$Cm=![4"</f>
        <v>#REF!</v>
      </c>
      <c r="BT19" t="e">
        <f>#REF!+"$Cm=![5"</f>
        <v>#REF!</v>
      </c>
      <c r="BU19" t="e">
        <f>#REF!+"$Cm=![6"</f>
        <v>#REF!</v>
      </c>
      <c r="BV19" t="e">
        <f>#REF!+"$Cm=![7"</f>
        <v>#REF!</v>
      </c>
      <c r="BW19" t="e">
        <f>#REF!+"$Cm=![8"</f>
        <v>#REF!</v>
      </c>
      <c r="BX19" t="e">
        <f>#REF!+"$Cm=![9"</f>
        <v>#REF!</v>
      </c>
      <c r="BY19" t="e">
        <f>#REF!+"$Cm=![:"</f>
        <v>#REF!</v>
      </c>
      <c r="BZ19" t="e">
        <f>#REF!+"$Cm=![;"</f>
        <v>#REF!</v>
      </c>
      <c r="CA19" t="e">
        <f>#REF!+"$Cm=![&lt;"</f>
        <v>#REF!</v>
      </c>
      <c r="CB19" t="e">
        <f>#REF!+"$Cm=![="</f>
        <v>#REF!</v>
      </c>
      <c r="CC19" t="e">
        <f>#REF!+"$Cm=![&gt;"</f>
        <v>#REF!</v>
      </c>
      <c r="CD19" t="e">
        <f>#REF!+"$Cm=![?"</f>
        <v>#REF!</v>
      </c>
      <c r="CE19" t="e">
        <f>#REF!+"$Cm=![@"</f>
        <v>#REF!</v>
      </c>
      <c r="CF19" t="e">
        <f>#REF!+"$Cm=![A"</f>
        <v>#REF!</v>
      </c>
      <c r="CG19" t="e">
        <f>#REF!+"$Cm=![B"</f>
        <v>#REF!</v>
      </c>
      <c r="CH19" t="e">
        <f>#REF!+"$Cm=![C"</f>
        <v>#REF!</v>
      </c>
      <c r="CI19" t="e">
        <f>#REF!+"$Cm=![D"</f>
        <v>#REF!</v>
      </c>
      <c r="CJ19" t="e">
        <f>#REF!+"$Cm=![E"</f>
        <v>#REF!</v>
      </c>
      <c r="CK19" t="e">
        <f>#REF!+"$Cm=![F"</f>
        <v>#REF!</v>
      </c>
      <c r="CL19" t="e">
        <f>#REF!+"$Cm=![G"</f>
        <v>#REF!</v>
      </c>
      <c r="CM19" t="e">
        <f>#REF!+"$Cm=![H"</f>
        <v>#REF!</v>
      </c>
      <c r="CN19" t="e">
        <f>#REF!+"$Cm=![I"</f>
        <v>#REF!</v>
      </c>
      <c r="CO19" t="e">
        <f>#REF!+"$Cm=![J"</f>
        <v>#REF!</v>
      </c>
      <c r="CP19" t="e">
        <f>#REF!+"$Cm=![K"</f>
        <v>#REF!</v>
      </c>
      <c r="CQ19" t="e">
        <f>#REF!+"$Cm=![L"</f>
        <v>#REF!</v>
      </c>
      <c r="CR19" t="e">
        <f>#REF!+"$Cm=![M"</f>
        <v>#REF!</v>
      </c>
      <c r="CS19" t="e">
        <f>#REF!+"$Cm=![N"</f>
        <v>#REF!</v>
      </c>
      <c r="CT19" t="e">
        <f>#REF!+"$Cm=![O"</f>
        <v>#REF!</v>
      </c>
      <c r="CU19" t="e">
        <f>#REF!+"$Cm=![P"</f>
        <v>#REF!</v>
      </c>
      <c r="CV19" t="e">
        <f>#REF!+"$Cm=![Q"</f>
        <v>#REF!</v>
      </c>
      <c r="CW19" t="e">
        <f>#REF!+"$Cm=![R"</f>
        <v>#REF!</v>
      </c>
      <c r="CX19" t="e">
        <f>#REF!+"$Cm=![S"</f>
        <v>#REF!</v>
      </c>
      <c r="CY19" t="e">
        <f>#REF!+"$Cm=![T"</f>
        <v>#REF!</v>
      </c>
      <c r="CZ19" t="e">
        <f>#REF!+"$Cm=![U"</f>
        <v>#REF!</v>
      </c>
      <c r="DA19" t="e">
        <f>#REF!+"$Cm=![V"</f>
        <v>#REF!</v>
      </c>
      <c r="DB19" t="e">
        <f>#REF!+"$Cm=![W"</f>
        <v>#REF!</v>
      </c>
      <c r="DC19" t="e">
        <f>#REF!+"$Cm=![X"</f>
        <v>#REF!</v>
      </c>
      <c r="DD19" t="e">
        <f>#REF!+"$Cm=![Y"</f>
        <v>#REF!</v>
      </c>
      <c r="DE19" t="e">
        <f>#REF!+"$Cm=![Z"</f>
        <v>#REF!</v>
      </c>
      <c r="DF19" t="e">
        <f>#REF!+"$Cm=![["</f>
        <v>#REF!</v>
      </c>
      <c r="DG19" t="e">
        <f>#REF!+"$Cm=![\"</f>
        <v>#REF!</v>
      </c>
      <c r="DH19" t="e">
        <f>#REF!+"$Cm=![]"</f>
        <v>#REF!</v>
      </c>
      <c r="DI19" t="e">
        <f>#REF!+"$Cm=![^"</f>
        <v>#REF!</v>
      </c>
      <c r="DJ19" t="e">
        <f>#REF!+"$Cm=![_"</f>
        <v>#REF!</v>
      </c>
      <c r="DK19" t="e">
        <f>#REF!+"$Cm=![`"</f>
        <v>#REF!</v>
      </c>
      <c r="DL19" t="e">
        <f>#REF!+"$Cm=![a"</f>
        <v>#REF!</v>
      </c>
      <c r="DM19" t="e">
        <f>#REF!+"$Cm=![b"</f>
        <v>#REF!</v>
      </c>
      <c r="DN19" t="e">
        <f>#REF!+"$Cm=![c"</f>
        <v>#REF!</v>
      </c>
      <c r="DO19" t="e">
        <f>#REF!+"$Cm=![d"</f>
        <v>#REF!</v>
      </c>
      <c r="DP19" t="e">
        <f>#REF!+"$Cm=![e"</f>
        <v>#REF!</v>
      </c>
      <c r="DQ19" t="e">
        <f>#REF!+"$Cm=![f"</f>
        <v>#REF!</v>
      </c>
      <c r="DR19" t="e">
        <f>#REF!+"$Cm=![g"</f>
        <v>#REF!</v>
      </c>
      <c r="DS19" t="e">
        <f>#REF!+"$Cm=![h"</f>
        <v>#REF!</v>
      </c>
      <c r="DT19" t="e">
        <f>#REF!+"$Cm=![i"</f>
        <v>#REF!</v>
      </c>
      <c r="DU19" t="e">
        <f>#REF!+"$Cm=![j"</f>
        <v>#REF!</v>
      </c>
      <c r="DV19" t="e">
        <f>#REF!+"$Cm=![k"</f>
        <v>#REF!</v>
      </c>
      <c r="DW19" t="e">
        <f>#REF!+"$Cm=![l"</f>
        <v>#REF!</v>
      </c>
      <c r="DX19" t="e">
        <f>#REF!+"$Cm=![m"</f>
        <v>#REF!</v>
      </c>
      <c r="DY19" t="e">
        <f>#REF!+"$Cm=![n"</f>
        <v>#REF!</v>
      </c>
      <c r="DZ19" t="e">
        <f>#REF!+"$Cm=![o"</f>
        <v>#REF!</v>
      </c>
      <c r="EA19" t="e">
        <f>#REF!+"$Cm=![p"</f>
        <v>#REF!</v>
      </c>
      <c r="EB19" t="e">
        <f>#REF!+"$Cm=![q"</f>
        <v>#REF!</v>
      </c>
      <c r="EC19" t="e">
        <f>#REF!+"$Cm=![r"</f>
        <v>#REF!</v>
      </c>
      <c r="ED19" t="e">
        <f>#REF!+"$Cm=![s"</f>
        <v>#REF!</v>
      </c>
      <c r="EE19" t="e">
        <f>#REF!+"$Cm=![t"</f>
        <v>#REF!</v>
      </c>
      <c r="EF19" t="e">
        <f>#REF!+"$Cm=![u"</f>
        <v>#REF!</v>
      </c>
      <c r="EG19" t="e">
        <f>#REF!+"$Cm=![v"</f>
        <v>#REF!</v>
      </c>
      <c r="EH19" t="e">
        <f>#REF!+"$Cm=![w"</f>
        <v>#REF!</v>
      </c>
      <c r="EI19" t="e">
        <f>#REF!+"$Cm=![x"</f>
        <v>#REF!</v>
      </c>
      <c r="EJ19" t="e">
        <f>#REF!+"$Cm=![y"</f>
        <v>#REF!</v>
      </c>
      <c r="EK19" t="e">
        <f>#REF!+"$Cm=![z"</f>
        <v>#REF!</v>
      </c>
      <c r="EL19" t="e">
        <f>#REF!+"$Cm=![{"</f>
        <v>#REF!</v>
      </c>
      <c r="EM19" t="e">
        <f>#REF!+"$Cm=![|"</f>
        <v>#REF!</v>
      </c>
      <c r="EN19" t="e">
        <f>#REF!+"$Cm=![}"</f>
        <v>#REF!</v>
      </c>
      <c r="EO19" t="e">
        <f>#REF!+"$Cm=![~"</f>
        <v>#REF!</v>
      </c>
      <c r="EP19" t="e">
        <f>#REF!+"$Cm=!\#"</f>
        <v>#REF!</v>
      </c>
      <c r="EQ19" t="e">
        <f>#REF!+"$Cm=!\$"</f>
        <v>#REF!</v>
      </c>
      <c r="ER19" t="e">
        <f>#REF!+"$Cm=!\%"</f>
        <v>#REF!</v>
      </c>
      <c r="ES19" t="e">
        <f>#REF!+"$Cm=!\&amp;"</f>
        <v>#REF!</v>
      </c>
      <c r="ET19" t="e">
        <f>#REF!+"$Cm=!\'"</f>
        <v>#REF!</v>
      </c>
      <c r="EU19" t="e">
        <f>#REF!+"$Cm=!\("</f>
        <v>#REF!</v>
      </c>
      <c r="EV19" t="e">
        <f>#REF!+"$Cm=!\)"</f>
        <v>#REF!</v>
      </c>
      <c r="EW19" t="e">
        <f>#REF!+"$Cm=!\."</f>
        <v>#REF!</v>
      </c>
      <c r="EX19" t="e">
        <f>#REF!+"$Cm=!\/"</f>
        <v>#REF!</v>
      </c>
      <c r="EY19" t="e">
        <f>#REF!+"$Cm=!\0"</f>
        <v>#REF!</v>
      </c>
      <c r="EZ19" t="e">
        <f>#REF!+"$Cm=!\1"</f>
        <v>#REF!</v>
      </c>
      <c r="FA19" t="e">
        <f>#REF!+"$Cm=!\2"</f>
        <v>#REF!</v>
      </c>
      <c r="FB19" t="e">
        <f>#REF!+"$Cm=!\3"</f>
        <v>#REF!</v>
      </c>
      <c r="FC19" t="e">
        <f>#REF!+"$Cm=!\4"</f>
        <v>#REF!</v>
      </c>
      <c r="FD19" t="e">
        <f>#REF!+"$Cm=!\5"</f>
        <v>#REF!</v>
      </c>
      <c r="FE19" t="e">
        <f>#REF!+"$Cm=!\6"</f>
        <v>#REF!</v>
      </c>
      <c r="FF19" t="e">
        <f>#REF!+"$Cm=!\7"</f>
        <v>#REF!</v>
      </c>
      <c r="FG19" t="e">
        <f>#REF!+"$Cm=!\8"</f>
        <v>#REF!</v>
      </c>
      <c r="FH19" t="e">
        <f>#REF!+"$Cm=!\9"</f>
        <v>#REF!</v>
      </c>
      <c r="FI19" t="e">
        <f>#REF!+"$Cm=!\:"</f>
        <v>#REF!</v>
      </c>
      <c r="FJ19" t="e">
        <f>#REF!+"$Cm=!\;"</f>
        <v>#REF!</v>
      </c>
      <c r="FK19" t="e">
        <f>#REF!+"$Cm=!\&lt;"</f>
        <v>#REF!</v>
      </c>
      <c r="FL19" t="e">
        <f>#REF!+"$Cm=!\="</f>
        <v>#REF!</v>
      </c>
      <c r="FM19" t="e">
        <f>#REF!+"$Cm=!\&gt;"</f>
        <v>#REF!</v>
      </c>
      <c r="FN19" t="e">
        <f>#REF!+"$Cm=!\?"</f>
        <v>#REF!</v>
      </c>
      <c r="FO19" t="e">
        <f>#REF!+"$Cm=!\@"</f>
        <v>#REF!</v>
      </c>
      <c r="FP19" t="e">
        <f>#REF!+"$Cm=!\A"</f>
        <v>#REF!</v>
      </c>
      <c r="FQ19" t="e">
        <f>#REF!+"$Cm=!\B"</f>
        <v>#REF!</v>
      </c>
      <c r="FR19" t="e">
        <f>#REF!+"$Cm=!\C"</f>
        <v>#REF!</v>
      </c>
      <c r="FS19" t="e">
        <f>#REF!+"$Cm=!\D"</f>
        <v>#REF!</v>
      </c>
      <c r="FT19" t="e">
        <f>#REF!+"$Cm=!\E"</f>
        <v>#REF!</v>
      </c>
      <c r="FU19" t="e">
        <f>#REF!+"$Cm=!\F"</f>
        <v>#REF!</v>
      </c>
      <c r="FV19" t="e">
        <f>#REF!+"$Cm=!\G"</f>
        <v>#REF!</v>
      </c>
      <c r="FW19" t="e">
        <f>#REF!+"$Cm=!\H"</f>
        <v>#REF!</v>
      </c>
      <c r="FX19" t="e">
        <f>#REF!+"$Cm=!\I"</f>
        <v>#REF!</v>
      </c>
      <c r="FY19" t="e">
        <f>#REF!+"$Cm=!\J"</f>
        <v>#REF!</v>
      </c>
      <c r="FZ19" t="e">
        <f>#REF!+"$Cm=!\K"</f>
        <v>#REF!</v>
      </c>
      <c r="GA19" t="e">
        <f>#REF!+"$Cm=!\L"</f>
        <v>#REF!</v>
      </c>
      <c r="GB19" t="e">
        <f>#REF!+"$Cm=!\M"</f>
        <v>#REF!</v>
      </c>
      <c r="GC19" t="e">
        <f>#REF!+"$Cm=!\N"</f>
        <v>#REF!</v>
      </c>
      <c r="GD19" t="e">
        <f>#REF!+"$Cm=!\O"</f>
        <v>#REF!</v>
      </c>
      <c r="GE19" t="e">
        <f>#REF!+"$Cm=!\P"</f>
        <v>#REF!</v>
      </c>
      <c r="GF19" t="e">
        <f>#REF!+"$Cm=!\Q"</f>
        <v>#REF!</v>
      </c>
      <c r="GG19" t="e">
        <f>#REF!+"$Cm=!\R"</f>
        <v>#REF!</v>
      </c>
      <c r="GH19" t="e">
        <f>#REF!+"$Cm=!\S"</f>
        <v>#REF!</v>
      </c>
      <c r="GI19" t="e">
        <f>#REF!+"$Cm=!\T"</f>
        <v>#REF!</v>
      </c>
      <c r="GJ19" t="e">
        <f>#REF!+"$Cm=!\U"</f>
        <v>#REF!</v>
      </c>
      <c r="GK19" t="e">
        <f>#REF!+"$Cm=!\V"</f>
        <v>#REF!</v>
      </c>
      <c r="GL19" t="e">
        <f>#REF!+"$Cm=!\W"</f>
        <v>#REF!</v>
      </c>
      <c r="GM19" t="e">
        <f>#REF!+"$Cm=!\X"</f>
        <v>#REF!</v>
      </c>
      <c r="GN19" t="e">
        <f>#REF!+"$Cm=!\Y"</f>
        <v>#REF!</v>
      </c>
      <c r="GO19" t="e">
        <f>#REF!+"$Cm=!\Z"</f>
        <v>#REF!</v>
      </c>
      <c r="GP19" t="e">
        <f>#REF!+"$Cm=!\["</f>
        <v>#REF!</v>
      </c>
      <c r="GQ19" t="e">
        <f>#REF!+"$Cm=!\\"</f>
        <v>#REF!</v>
      </c>
      <c r="GR19" t="e">
        <f>#REF!+"$Cm=!\]"</f>
        <v>#REF!</v>
      </c>
      <c r="GS19" t="e">
        <f>#REF!+"$Cm=!\^"</f>
        <v>#REF!</v>
      </c>
      <c r="GT19" t="e">
        <f>#REF!+"$Cm=!\_"</f>
        <v>#REF!</v>
      </c>
      <c r="GU19" t="e">
        <f>#REF!+"$Cm=!\`"</f>
        <v>#REF!</v>
      </c>
      <c r="GV19" t="e">
        <f>#REF!+"$Cm=!\a"</f>
        <v>#REF!</v>
      </c>
      <c r="GW19" t="e">
        <f>#REF!+"$Cm=!\b"</f>
        <v>#REF!</v>
      </c>
      <c r="GX19" t="e">
        <f>#REF!+"$Cm=!\c"</f>
        <v>#REF!</v>
      </c>
      <c r="GY19" t="e">
        <f>#REF!+"$Cm=!\d"</f>
        <v>#REF!</v>
      </c>
      <c r="GZ19" t="e">
        <f>#REF!+"$Cm=!\e"</f>
        <v>#REF!</v>
      </c>
      <c r="HA19" t="e">
        <f>#REF!+"$Cm=!\f"</f>
        <v>#REF!</v>
      </c>
      <c r="HB19" t="e">
        <f>#REF!+"$Cm=!\g"</f>
        <v>#REF!</v>
      </c>
      <c r="HC19" t="e">
        <f>#REF!+"$Cm=!\h"</f>
        <v>#REF!</v>
      </c>
      <c r="HD19" t="e">
        <f>#REF!+"$Cm=!\i"</f>
        <v>#REF!</v>
      </c>
      <c r="HE19" t="e">
        <f>#REF!+"$Cm=!\j"</f>
        <v>#REF!</v>
      </c>
      <c r="HF19" t="e">
        <f>#REF!+"$Cm=!\k"</f>
        <v>#REF!</v>
      </c>
      <c r="HG19" t="e">
        <f>#REF!+"$Cm=!\l"</f>
        <v>#REF!</v>
      </c>
      <c r="HH19" t="e">
        <f>#REF!+"$Cm=!\m"</f>
        <v>#REF!</v>
      </c>
      <c r="HI19" t="e">
        <f>#REF!+"$Cm=!\n"</f>
        <v>#REF!</v>
      </c>
      <c r="HJ19" t="e">
        <f>#REF!+"$Cm=!\o"</f>
        <v>#REF!</v>
      </c>
      <c r="HK19" t="e">
        <f>#REF!+"$Cm=!\p"</f>
        <v>#REF!</v>
      </c>
      <c r="HL19" t="e">
        <f>#REF!+"$Cm=!\q"</f>
        <v>#REF!</v>
      </c>
      <c r="HM19" t="e">
        <f>#REF!+"$Cm=!\r"</f>
        <v>#REF!</v>
      </c>
      <c r="HN19" t="e">
        <f>#REF!+"$Cm=!\s"</f>
        <v>#REF!</v>
      </c>
      <c r="HO19" t="e">
        <f>#REF!+"$Cm=!\t"</f>
        <v>#REF!</v>
      </c>
      <c r="HP19" t="e">
        <f>#REF!+"$Cm=!\u"</f>
        <v>#REF!</v>
      </c>
      <c r="HQ19" t="e">
        <f>#REF!+"$Cm=!\v"</f>
        <v>#REF!</v>
      </c>
      <c r="HR19" t="e">
        <f>#REF!+"$Cm=!\w"</f>
        <v>#REF!</v>
      </c>
      <c r="HS19" t="e">
        <f>#REF!+"$Cm=!\x"</f>
        <v>#REF!</v>
      </c>
      <c r="HT19" t="e">
        <f>#REF!+"$Cm=!\y"</f>
        <v>#REF!</v>
      </c>
      <c r="HU19" t="e">
        <f>#REF!+"$Cm=!\z"</f>
        <v>#REF!</v>
      </c>
      <c r="HV19" t="e">
        <f>#REF!+"$Cm=!\{"</f>
        <v>#REF!</v>
      </c>
      <c r="HW19" t="e">
        <f>#REF!+"$Cm=!\|"</f>
        <v>#REF!</v>
      </c>
      <c r="HX19" t="e">
        <f>#REF!+"$Cm=!\}"</f>
        <v>#REF!</v>
      </c>
      <c r="HY19" t="e">
        <f>#REF!+"$Cm=!\~"</f>
        <v>#REF!</v>
      </c>
      <c r="HZ19" t="e">
        <f>#REF!+"$Cm=!]#"</f>
        <v>#REF!</v>
      </c>
      <c r="IA19" t="e">
        <f>#REF!+"$Cm=!]$"</f>
        <v>#REF!</v>
      </c>
      <c r="IB19" t="e">
        <f>#REF!+"$Cm=!]%"</f>
        <v>#REF!</v>
      </c>
      <c r="IC19" t="e">
        <f>#REF!+"$Cm=!]&amp;"</f>
        <v>#REF!</v>
      </c>
      <c r="ID19" t="e">
        <f>#REF!+"$Cm=!]'"</f>
        <v>#REF!</v>
      </c>
      <c r="IE19" t="e">
        <f>#REF!+"$Cm=!]("</f>
        <v>#REF!</v>
      </c>
      <c r="IF19" t="e">
        <f>#REF!+"$Cm=!])"</f>
        <v>#REF!</v>
      </c>
      <c r="IG19" t="e">
        <f>#REF!+"$Cm=!]."</f>
        <v>#REF!</v>
      </c>
      <c r="IH19" t="e">
        <f>#REF!+"$Cm=!]/"</f>
        <v>#REF!</v>
      </c>
      <c r="II19" t="e">
        <f>#REF!+"$Cm=!]0"</f>
        <v>#REF!</v>
      </c>
      <c r="IJ19" t="e">
        <f>#REF!+"$Cm=!]1"</f>
        <v>#REF!</v>
      </c>
      <c r="IK19" t="e">
        <f>#REF!+"$Cm=!]2"</f>
        <v>#REF!</v>
      </c>
      <c r="IL19" t="e">
        <f>#REF!+"$Cm=!]3"</f>
        <v>#REF!</v>
      </c>
      <c r="IM19" t="e">
        <f>#REF!+"$Cm=!]4"</f>
        <v>#REF!</v>
      </c>
      <c r="IN19" t="e">
        <f>#REF!+"$Cm=!]5"</f>
        <v>#REF!</v>
      </c>
      <c r="IO19" t="e">
        <f>#REF!+"$Cm=!]6"</f>
        <v>#REF!</v>
      </c>
      <c r="IP19" t="e">
        <f>#REF!+"$Cm=!]7"</f>
        <v>#REF!</v>
      </c>
      <c r="IQ19" t="e">
        <f>#REF!+"$Cm=!]8"</f>
        <v>#REF!</v>
      </c>
      <c r="IR19" t="e">
        <f>#REF!+"$Cm=!]9"</f>
        <v>#REF!</v>
      </c>
      <c r="IS19" t="e">
        <f>#REF!+"$Cm=!]:"</f>
        <v>#REF!</v>
      </c>
      <c r="IT19" t="e">
        <f>#REF!+"$Cm=!];"</f>
        <v>#REF!</v>
      </c>
      <c r="IU19" t="e">
        <f>#REF!+"$Cm=!]&lt;"</f>
        <v>#REF!</v>
      </c>
      <c r="IV19" t="e">
        <f>#REF!+"$Cm=!]="</f>
        <v>#REF!</v>
      </c>
    </row>
    <row r="20" spans="6:256">
      <c r="F20" t="e">
        <f>#REF!+"$Cm=!]&gt;"</f>
        <v>#REF!</v>
      </c>
      <c r="G20" t="e">
        <f>#REF!+"$Cm=!]?"</f>
        <v>#REF!</v>
      </c>
      <c r="H20" t="e">
        <f>#REF!+"$Cm=!]@"</f>
        <v>#REF!</v>
      </c>
      <c r="I20" t="e">
        <f>#REF!+"$Cm=!]A"</f>
        <v>#REF!</v>
      </c>
      <c r="J20" t="e">
        <f>#REF!+"$Cm=!]B"</f>
        <v>#REF!</v>
      </c>
      <c r="K20" t="e">
        <f>#REF!+"$Cm=!]C"</f>
        <v>#REF!</v>
      </c>
      <c r="L20" t="e">
        <f>#REF!+"$Cm=!]D"</f>
        <v>#REF!</v>
      </c>
      <c r="M20" t="e">
        <f>#REF!+"$Cm=!]E"</f>
        <v>#REF!</v>
      </c>
      <c r="N20" t="e">
        <f>#REF!+"$Cm=!]F"</f>
        <v>#REF!</v>
      </c>
      <c r="O20" t="e">
        <f>#REF!+"$Cm=!]G"</f>
        <v>#REF!</v>
      </c>
      <c r="P20" t="e">
        <f>#REF!+"$Cm=!]H"</f>
        <v>#REF!</v>
      </c>
      <c r="Q20" t="e">
        <f>#REF!+"$Cm=!]I"</f>
        <v>#REF!</v>
      </c>
      <c r="R20" t="e">
        <f>#REF!+"$Cm=!]J"</f>
        <v>#REF!</v>
      </c>
      <c r="S20" t="e">
        <f>#REF!+"$Cm=!]K"</f>
        <v>#REF!</v>
      </c>
      <c r="T20" t="e">
        <f>#REF!+"$Cm=!]L"</f>
        <v>#REF!</v>
      </c>
      <c r="U20" t="e">
        <f>#REF!+"$Cm=!]M"</f>
        <v>#REF!</v>
      </c>
      <c r="V20" t="e">
        <f>#REF!+"$Cm=!]N"</f>
        <v>#REF!</v>
      </c>
      <c r="W20" t="e">
        <f>#REF!+"$Cm=!]O"</f>
        <v>#REF!</v>
      </c>
      <c r="X20" t="e">
        <f>#REF!+"$Cm=!]P"</f>
        <v>#REF!</v>
      </c>
      <c r="Y20" t="e">
        <f>#REF!+"$Cm=!]Q"</f>
        <v>#REF!</v>
      </c>
      <c r="Z20" t="e">
        <f>#REF!+"$Cm=!]R"</f>
        <v>#REF!</v>
      </c>
      <c r="AA20" t="e">
        <f>#REF!+"$Cm=!]S"</f>
        <v>#REF!</v>
      </c>
      <c r="AB20" t="e">
        <f>#REF!+"$Cm=!]T"</f>
        <v>#REF!</v>
      </c>
      <c r="AC20" t="e">
        <f>#REF!+"$Cm=!]U"</f>
        <v>#REF!</v>
      </c>
      <c r="AD20" t="e">
        <f>#REF!+"$Cm=!]V"</f>
        <v>#REF!</v>
      </c>
      <c r="AE20" t="e">
        <f>#REF!+"$Cm=!]W"</f>
        <v>#REF!</v>
      </c>
      <c r="AF20" t="e">
        <f>#REF!+"$Cm=!]X"</f>
        <v>#REF!</v>
      </c>
      <c r="AG20" t="e">
        <f>#REF!+"$Cm=!]Y"</f>
        <v>#REF!</v>
      </c>
      <c r="AH20" t="e">
        <f>#REF!+"$Cm=!]Z"</f>
        <v>#REF!</v>
      </c>
      <c r="AI20" t="e">
        <f>#REF!+"$Cm=!]["</f>
        <v>#REF!</v>
      </c>
      <c r="AJ20" t="e">
        <f>#REF!+"$Cm=!]\"</f>
        <v>#REF!</v>
      </c>
      <c r="AK20" t="e">
        <f>#REF!+"$Cm=!]]"</f>
        <v>#REF!</v>
      </c>
      <c r="AL20" t="e">
        <f>#REF!+"$Cm=!]^"</f>
        <v>#REF!</v>
      </c>
      <c r="AM20" t="e">
        <f>#REF!+"$Cm=!]_"</f>
        <v>#REF!</v>
      </c>
      <c r="AN20" t="e">
        <f>#REF!+"$Cm=!]`"</f>
        <v>#REF!</v>
      </c>
      <c r="AO20" t="e">
        <f>#REF!+"$Cm=!]a"</f>
        <v>#REF!</v>
      </c>
      <c r="AP20" t="e">
        <f>#REF!+"$Cm=!]b"</f>
        <v>#REF!</v>
      </c>
      <c r="AQ20" t="e">
        <f>#REF!+"$Cm=!]c"</f>
        <v>#REF!</v>
      </c>
      <c r="AR20" t="e">
        <f>#REF!+"$Cm=!]d"</f>
        <v>#REF!</v>
      </c>
      <c r="AS20" t="e">
        <f>#REF!+"$Cm=!]e"</f>
        <v>#REF!</v>
      </c>
      <c r="AT20" t="e">
        <f>#REF!+"$Cm=!]f"</f>
        <v>#REF!</v>
      </c>
      <c r="AU20" t="e">
        <f>#REF!+"$Cm=!]g"</f>
        <v>#REF!</v>
      </c>
      <c r="AV20" t="e">
        <f>#REF!+"$Cm=!]h"</f>
        <v>#REF!</v>
      </c>
      <c r="AW20" t="e">
        <f>#REF!+"$Cm=!]i"</f>
        <v>#REF!</v>
      </c>
      <c r="AX20" t="e">
        <f>#REF!+"$Cm=!]j"</f>
        <v>#REF!</v>
      </c>
      <c r="AY20" t="e">
        <f>#REF!+"$Cm=!]k"</f>
        <v>#REF!</v>
      </c>
      <c r="AZ20" t="e">
        <f>#REF!+"$Cm=!]l"</f>
        <v>#REF!</v>
      </c>
      <c r="BA20" t="e">
        <f>#REF!+"$Cm=!]m"</f>
        <v>#REF!</v>
      </c>
      <c r="BB20" t="e">
        <f>#REF!+"$Cm=!]n"</f>
        <v>#REF!</v>
      </c>
      <c r="BC20" t="e">
        <f>#REF!+"$Cm=!]o"</f>
        <v>#REF!</v>
      </c>
      <c r="BD20" t="e">
        <f>#REF!+"$Cm=!]p"</f>
        <v>#REF!</v>
      </c>
      <c r="BE20" t="e">
        <f>#REF!+"$Cm=!]q"</f>
        <v>#REF!</v>
      </c>
      <c r="BF20" t="e">
        <f>#REF!+"$Cm=!]r"</f>
        <v>#REF!</v>
      </c>
      <c r="BG20" t="e">
        <f>#REF!+"$Cm=!]s"</f>
        <v>#REF!</v>
      </c>
      <c r="BH20" t="e">
        <f>#REF!+"$Cm=!]t"</f>
        <v>#REF!</v>
      </c>
      <c r="BI20" t="e">
        <f>#REF!+"$Cm=!]u"</f>
        <v>#REF!</v>
      </c>
      <c r="BJ20" t="e">
        <f>#REF!+"$Cm=!]v"</f>
        <v>#REF!</v>
      </c>
      <c r="BK20" t="e">
        <f>#REF!+"$Cm=!]w"</f>
        <v>#REF!</v>
      </c>
      <c r="BL20" t="e">
        <f>#REF!+"$Cm=!]x"</f>
        <v>#REF!</v>
      </c>
      <c r="BM20" t="e">
        <f>#REF!+"$Cm=!]y"</f>
        <v>#REF!</v>
      </c>
      <c r="BN20" t="e">
        <f>#REF!+"$Cm=!]z"</f>
        <v>#REF!</v>
      </c>
      <c r="BO20" t="e">
        <f>#REF!+"$Cm=!]{"</f>
        <v>#REF!</v>
      </c>
      <c r="BP20" t="e">
        <f>#REF!+"$Cm=!]|"</f>
        <v>#REF!</v>
      </c>
      <c r="BQ20" t="e">
        <f>#REF!+"$Cm=!]}"</f>
        <v>#REF!</v>
      </c>
      <c r="BR20" t="e">
        <f>#REF!+"$Cm=!]~"</f>
        <v>#REF!</v>
      </c>
      <c r="BS20" t="e">
        <f>#REF!+"$Cm=!^#"</f>
        <v>#REF!</v>
      </c>
      <c r="BT20" t="e">
        <f>#REF!+"$Cm=!^$"</f>
        <v>#REF!</v>
      </c>
      <c r="BU20" t="e">
        <f>#REF!+"$Cm=!^%"</f>
        <v>#REF!</v>
      </c>
      <c r="BV20" t="e">
        <f>#REF!+"$Cm=!^&amp;"</f>
        <v>#REF!</v>
      </c>
      <c r="BW20" t="e">
        <f>#REF!+"$Cm=!^'"</f>
        <v>#REF!</v>
      </c>
      <c r="BX20" t="e">
        <f>#REF!+"$Cm=!^("</f>
        <v>#REF!</v>
      </c>
      <c r="BY20" t="e">
        <f>#REF!+"$Cm=!^)"</f>
        <v>#REF!</v>
      </c>
      <c r="BZ20" t="e">
        <f>#REF!+"$Cm=!^."</f>
        <v>#REF!</v>
      </c>
      <c r="CA20" t="e">
        <f>#REF!+"$Cm=!^/"</f>
        <v>#REF!</v>
      </c>
      <c r="CB20" t="e">
        <f>#REF!+"$Cm=!^0"</f>
        <v>#REF!</v>
      </c>
      <c r="CC20" t="e">
        <f>#REF!+"$Cm=!^1"</f>
        <v>#REF!</v>
      </c>
      <c r="CD20" t="e">
        <f>#REF!+"$Cm=!^2"</f>
        <v>#REF!</v>
      </c>
      <c r="CE20" t="e">
        <f>#REF!+"$Cm=!^3"</f>
        <v>#REF!</v>
      </c>
      <c r="CF20" t="e">
        <f>#REF!+"$Cm=!^4"</f>
        <v>#REF!</v>
      </c>
      <c r="CG20" t="e">
        <f>#REF!+"$Cm=!^5"</f>
        <v>#REF!</v>
      </c>
      <c r="CH20" t="e">
        <f>#REF!+"$Cm=!^6"</f>
        <v>#REF!</v>
      </c>
      <c r="CI20" t="e">
        <f>#REF!+"$Cm=!^7"</f>
        <v>#REF!</v>
      </c>
      <c r="CJ20" t="e">
        <f>#REF!+"$Cm=!^8"</f>
        <v>#REF!</v>
      </c>
      <c r="CK20" t="e">
        <f>#REF!+"$Cm=!^9"</f>
        <v>#REF!</v>
      </c>
      <c r="CL20" t="e">
        <f>#REF!+"$Cm=!^:"</f>
        <v>#REF!</v>
      </c>
      <c r="CM20" t="e">
        <f>#REF!+"$Cm=!^;"</f>
        <v>#REF!</v>
      </c>
      <c r="CN20" t="e">
        <f>#REF!+"$Cm=!^&lt;"</f>
        <v>#REF!</v>
      </c>
      <c r="CO20" t="e">
        <f>#REF!+"$Cm=!^="</f>
        <v>#REF!</v>
      </c>
      <c r="CP20" t="e">
        <f>#REF!+"$Cm=!^&gt;"</f>
        <v>#REF!</v>
      </c>
      <c r="CQ20" t="e">
        <f>#REF!+"$Cm=!^?"</f>
        <v>#REF!</v>
      </c>
      <c r="CR20" t="e">
        <f>#REF!+"$Cm=!^@"</f>
        <v>#REF!</v>
      </c>
      <c r="CS20" t="e">
        <f>#REF!+"$Cm=!^A"</f>
        <v>#REF!</v>
      </c>
      <c r="CT20" t="e">
        <f>#REF!+"$Cm=!^B"</f>
        <v>#REF!</v>
      </c>
      <c r="CU20" t="e">
        <f>#REF!+"$Cm=!^C"</f>
        <v>#REF!</v>
      </c>
      <c r="CV20" t="e">
        <f>#REF!+"$Cm=!^D"</f>
        <v>#REF!</v>
      </c>
      <c r="CW20" t="e">
        <f>#REF!+"$Cm=!^E"</f>
        <v>#REF!</v>
      </c>
      <c r="CX20" t="e">
        <f>#REF!+"$Cm=!^F"</f>
        <v>#REF!</v>
      </c>
      <c r="CY20" t="e">
        <f>#REF!+"$Cm=!^G"</f>
        <v>#REF!</v>
      </c>
      <c r="CZ20" t="e">
        <f>#REF!+"$Cm=!^H"</f>
        <v>#REF!</v>
      </c>
      <c r="DA20" t="e">
        <f>#REF!+"$Cm=!^I"</f>
        <v>#REF!</v>
      </c>
      <c r="DB20" t="e">
        <f>#REF!+"$Cm=!^J"</f>
        <v>#REF!</v>
      </c>
      <c r="DC20" t="e">
        <f>#REF!+"$Cm=!^K"</f>
        <v>#REF!</v>
      </c>
      <c r="DD20" t="e">
        <f>#REF!+"$Cm=!^L"</f>
        <v>#REF!</v>
      </c>
      <c r="DE20" t="e">
        <f>#REF!+"$Cm=!^M"</f>
        <v>#REF!</v>
      </c>
      <c r="DF20" t="e">
        <f>#REF!+"$Cm=!^N"</f>
        <v>#REF!</v>
      </c>
      <c r="DG20" t="e">
        <f>#REF!+"$Cm=!^O"</f>
        <v>#REF!</v>
      </c>
      <c r="DH20" t="e">
        <f>#REF!+"$Cm=!^P"</f>
        <v>#REF!</v>
      </c>
      <c r="DI20" t="e">
        <f>#REF!+"$Cm=!^Q"</f>
        <v>#REF!</v>
      </c>
      <c r="DJ20" t="e">
        <f>#REF!+"$Cm=!^R"</f>
        <v>#REF!</v>
      </c>
      <c r="DK20" t="e">
        <f>#REF!+"$Cm=!^S"</f>
        <v>#REF!</v>
      </c>
      <c r="DL20" t="e">
        <f>#REF!+"$Cm=!^T"</f>
        <v>#REF!</v>
      </c>
      <c r="DM20" t="e">
        <f>#REF!+"$Cm=!^U"</f>
        <v>#REF!</v>
      </c>
      <c r="DN20" t="e">
        <f>#REF!+"$Cm=!^V"</f>
        <v>#REF!</v>
      </c>
      <c r="DO20" t="e">
        <f>#REF!+"$Cm=!^W"</f>
        <v>#REF!</v>
      </c>
      <c r="DP20" t="e">
        <f>#REF!+"$Cm=!^X"</f>
        <v>#REF!</v>
      </c>
      <c r="DQ20" t="e">
        <f>#REF!+"$Cm=!^Y"</f>
        <v>#REF!</v>
      </c>
      <c r="DR20" t="e">
        <f>#REF!+"$Cm=!^Z"</f>
        <v>#REF!</v>
      </c>
      <c r="DS20" t="e">
        <f>#REF!+"$Cm=!^["</f>
        <v>#REF!</v>
      </c>
      <c r="DT20" t="e">
        <f>#REF!+"$Cm=!^\"</f>
        <v>#REF!</v>
      </c>
      <c r="DU20" t="e">
        <f>#REF!+"$Cm=!^]"</f>
        <v>#REF!</v>
      </c>
      <c r="DV20" t="e">
        <f>#REF!+"$Cm=!^^"</f>
        <v>#REF!</v>
      </c>
      <c r="DW20" t="e">
        <f>#REF!+"$Cm=!^_"</f>
        <v>#REF!</v>
      </c>
      <c r="DX20" t="e">
        <f>#REF!+"$Cm=!^`"</f>
        <v>#REF!</v>
      </c>
      <c r="DY20" t="e">
        <f>#REF!+"$Cm=!^a"</f>
        <v>#REF!</v>
      </c>
      <c r="DZ20" t="e">
        <f>#REF!+"$Cm=!^b"</f>
        <v>#REF!</v>
      </c>
      <c r="EA20" t="e">
        <f>#REF!+"$Cm=!^c"</f>
        <v>#REF!</v>
      </c>
      <c r="EB20" t="e">
        <f>#REF!+"$Cm=!^d"</f>
        <v>#REF!</v>
      </c>
      <c r="EC20" t="e">
        <f>#REF!+"$Cm=!^e"</f>
        <v>#REF!</v>
      </c>
      <c r="ED20" t="e">
        <f>#REF!+"$Cm=!^f"</f>
        <v>#REF!</v>
      </c>
      <c r="EE20" t="e">
        <f>#REF!+"$Cm=!^g"</f>
        <v>#REF!</v>
      </c>
      <c r="EF20" t="e">
        <f>#REF!+"$Cm=!^h"</f>
        <v>#REF!</v>
      </c>
      <c r="EG20" t="e">
        <f>#REF!+"$Cm=!^i"</f>
        <v>#REF!</v>
      </c>
      <c r="EH20" t="e">
        <f>#REF!+"$Cm=!^j"</f>
        <v>#REF!</v>
      </c>
      <c r="EI20" t="e">
        <f>#REF!+"$Cm=!^k"</f>
        <v>#REF!</v>
      </c>
      <c r="EJ20" t="e">
        <f>#REF!+"$Cm=!^l"</f>
        <v>#REF!</v>
      </c>
      <c r="EK20" t="e">
        <f>#REF!+"$Cm=!^m"</f>
        <v>#REF!</v>
      </c>
      <c r="EL20" t="e">
        <f>#REF!+"$Cm=!^n"</f>
        <v>#REF!</v>
      </c>
      <c r="EM20" t="e">
        <f>#REF!+"$Cm=!^o"</f>
        <v>#REF!</v>
      </c>
      <c r="EN20" t="e">
        <f>#REF!+"$Cm=!^p"</f>
        <v>#REF!</v>
      </c>
      <c r="EO20" t="e">
        <f>#REF!+"$Cm=!^q"</f>
        <v>#REF!</v>
      </c>
      <c r="EP20" t="e">
        <f>#REF!+"$Cm=!^r"</f>
        <v>#REF!</v>
      </c>
      <c r="EQ20" t="e">
        <f>#REF!+"$Cm=!^s"</f>
        <v>#REF!</v>
      </c>
      <c r="ER20" t="e">
        <f>#REF!+"$Cm=!^t"</f>
        <v>#REF!</v>
      </c>
      <c r="ES20" t="e">
        <f>#REF!+"$Cm=!^u"</f>
        <v>#REF!</v>
      </c>
      <c r="ET20" t="e">
        <f>#REF!+"$Cm=!^v"</f>
        <v>#REF!</v>
      </c>
      <c r="EU20" t="e">
        <f>#REF!+"$Cm=!^w"</f>
        <v>#REF!</v>
      </c>
      <c r="EV20" t="e">
        <f>#REF!+"$Cm=!^x"</f>
        <v>#REF!</v>
      </c>
      <c r="EW20" t="e">
        <f>#REF!+"$Cm=!^y"</f>
        <v>#REF!</v>
      </c>
      <c r="EX20" t="e">
        <f>#REF!+"$Cm=!^z"</f>
        <v>#REF!</v>
      </c>
      <c r="EY20" t="e">
        <f>#REF!+"$Cm=!^{"</f>
        <v>#REF!</v>
      </c>
      <c r="EZ20" t="e">
        <f>#REF!+"$Cm=!^|"</f>
        <v>#REF!</v>
      </c>
      <c r="FA20" t="e">
        <f>#REF!+"$Cm=!^}"</f>
        <v>#REF!</v>
      </c>
      <c r="FB20" t="e">
        <f>#REF!+"$Cm=!^~"</f>
        <v>#REF!</v>
      </c>
      <c r="FC20" t="e">
        <f>#REF!+"$Cm=!_#"</f>
        <v>#REF!</v>
      </c>
      <c r="FD20" t="e">
        <f>#REF!+"$Cm=!_$"</f>
        <v>#REF!</v>
      </c>
      <c r="FE20" t="e">
        <f>#REF!+"$Cm=!_%"</f>
        <v>#REF!</v>
      </c>
      <c r="FF20" t="e">
        <f>#REF!+"$Cm=!_&amp;"</f>
        <v>#REF!</v>
      </c>
      <c r="FG20" t="e">
        <f>#REF!+"$Cm=!_'"</f>
        <v>#REF!</v>
      </c>
      <c r="FH20" t="e">
        <f>#REF!+"$Cm=!_("</f>
        <v>#REF!</v>
      </c>
      <c r="FI20" t="e">
        <f>#REF!+"$Cm=!_)"</f>
        <v>#REF!</v>
      </c>
      <c r="FJ20" t="e">
        <f>#REF!+"$Cm=!_."</f>
        <v>#REF!</v>
      </c>
      <c r="FK20" t="e">
        <f>#REF!+"$Cm=!_/"</f>
        <v>#REF!</v>
      </c>
      <c r="FL20" t="e">
        <f>#REF!+"$Cm=!_0"</f>
        <v>#REF!</v>
      </c>
      <c r="FM20" t="e">
        <f>#REF!+"$Cm=!_1"</f>
        <v>#REF!</v>
      </c>
      <c r="FN20" t="e">
        <f>#REF!+"$Cm=!_2"</f>
        <v>#REF!</v>
      </c>
      <c r="FO20" t="e">
        <f>#REF!+"$Cm=!_3"</f>
        <v>#REF!</v>
      </c>
      <c r="FP20" t="e">
        <f>#REF!+"$Cm=!_4"</f>
        <v>#REF!</v>
      </c>
      <c r="FQ20" t="e">
        <f>#REF!+"$Cm=!_5"</f>
        <v>#REF!</v>
      </c>
      <c r="FR20" t="e">
        <f>#REF!+"$Cm=!_6"</f>
        <v>#REF!</v>
      </c>
      <c r="FS20" t="e">
        <f>#REF!+"$Cm=!_7"</f>
        <v>#REF!</v>
      </c>
      <c r="FT20" t="e">
        <f>#REF!+"$Cm=!_8"</f>
        <v>#REF!</v>
      </c>
      <c r="FU20" t="e">
        <f>#REF!+"$Cm=!_9"</f>
        <v>#REF!</v>
      </c>
      <c r="FV20" t="e">
        <f>#REF!+"$Cm=!_:"</f>
        <v>#REF!</v>
      </c>
      <c r="FW20" t="e">
        <f>#REF!+"$Cm=!_;"</f>
        <v>#REF!</v>
      </c>
      <c r="FX20" t="e">
        <f>#REF!+"$Cm=!_&lt;"</f>
        <v>#REF!</v>
      </c>
      <c r="FY20" t="e">
        <f>#REF!+"$Cm=!_="</f>
        <v>#REF!</v>
      </c>
      <c r="FZ20" t="e">
        <f>#REF!+"$Cm=!_&gt;"</f>
        <v>#REF!</v>
      </c>
      <c r="GA20" t="e">
        <f>#REF!+"$Cm=!_?"</f>
        <v>#REF!</v>
      </c>
      <c r="GB20" t="e">
        <f>#REF!+"$Cm=!_@"</f>
        <v>#REF!</v>
      </c>
      <c r="GC20" t="e">
        <f>#REF!+"$Cm=!_A"</f>
        <v>#REF!</v>
      </c>
      <c r="GD20" t="e">
        <f>#REF!+"$Cm=!_B"</f>
        <v>#REF!</v>
      </c>
      <c r="GE20" t="e">
        <f>#REF!+"$Cm=!_C"</f>
        <v>#REF!</v>
      </c>
      <c r="GF20" t="e">
        <f>#REF!+"$Cm=!_D"</f>
        <v>#REF!</v>
      </c>
      <c r="GG20" t="e">
        <f>#REF!+"$Cm=!_E"</f>
        <v>#REF!</v>
      </c>
      <c r="GH20" t="e">
        <f>#REF!+"$Cm=!_F"</f>
        <v>#REF!</v>
      </c>
      <c r="GI20" t="e">
        <f>#REF!+"$Cm=!_G"</f>
        <v>#REF!</v>
      </c>
      <c r="GJ20" t="e">
        <f>#REF!+"$Cm=!_H"</f>
        <v>#REF!</v>
      </c>
      <c r="GK20" t="e">
        <f>#REF!+"$Cm=!_I"</f>
        <v>#REF!</v>
      </c>
      <c r="GL20" t="e">
        <f>#REF!+"$Cm=!_J"</f>
        <v>#REF!</v>
      </c>
      <c r="GM20" t="e">
        <f>#REF!+"$Cm=!_K"</f>
        <v>#REF!</v>
      </c>
      <c r="GN20" t="e">
        <f>#REF!+"$Cm=!_L"</f>
        <v>#REF!</v>
      </c>
      <c r="GO20" t="e">
        <f>#REF!+"$Cm=!_M"</f>
        <v>#REF!</v>
      </c>
      <c r="GP20" t="e">
        <f>#REF!+"$Cm=!_N"</f>
        <v>#REF!</v>
      </c>
      <c r="GQ20" t="e">
        <f>#REF!+"$Cm=!_O"</f>
        <v>#REF!</v>
      </c>
      <c r="GR20" t="e">
        <f>#REF!+"$Cm=!_P"</f>
        <v>#REF!</v>
      </c>
      <c r="GS20" t="e">
        <f>#REF!+"$Cm=!_Q"</f>
        <v>#REF!</v>
      </c>
      <c r="GT20" t="e">
        <f>#REF!+"$Cm=!_R"</f>
        <v>#REF!</v>
      </c>
      <c r="GU20" t="e">
        <f>#REF!+"$Cm=!_S"</f>
        <v>#REF!</v>
      </c>
      <c r="GV20" t="e">
        <f>#REF!+"$Cm=!_T"</f>
        <v>#REF!</v>
      </c>
      <c r="GW20" t="e">
        <f>#REF!+"$Cm=!_U"</f>
        <v>#REF!</v>
      </c>
      <c r="GX20" t="e">
        <f>#REF!+"$Cm=!_V"</f>
        <v>#REF!</v>
      </c>
      <c r="GY20" t="e">
        <f>#REF!+"$Cm=!_W"</f>
        <v>#REF!</v>
      </c>
      <c r="GZ20" t="e">
        <f>#REF!+"$Cm=!_X"</f>
        <v>#REF!</v>
      </c>
      <c r="HA20" t="e">
        <f>#REF!+"$Cm=!_Y"</f>
        <v>#REF!</v>
      </c>
      <c r="HB20" t="e">
        <f>#REF!+"$Cm=!_Z"</f>
        <v>#REF!</v>
      </c>
      <c r="HC20" t="e">
        <f>#REF!+"$Cm=!_["</f>
        <v>#REF!</v>
      </c>
      <c r="HD20" t="e">
        <f>#REF!+"$Cm=!_\"</f>
        <v>#REF!</v>
      </c>
      <c r="HE20" t="e">
        <f>#REF!+"$Cm=!_]"</f>
        <v>#REF!</v>
      </c>
      <c r="HF20" t="e">
        <f>#REF!+"$Cm=!_^"</f>
        <v>#REF!</v>
      </c>
      <c r="HG20" t="e">
        <f>#REF!+"$Cm=!__"</f>
        <v>#REF!</v>
      </c>
      <c r="HH20" t="e">
        <f>#REF!+"$Cm=!_`"</f>
        <v>#REF!</v>
      </c>
      <c r="HI20" t="e">
        <f>#REF!+"$Cm=!_a"</f>
        <v>#REF!</v>
      </c>
      <c r="HJ20" t="e">
        <f>#REF!+"$Cm=!_b"</f>
        <v>#REF!</v>
      </c>
      <c r="HK20" t="e">
        <f>#REF!+"$Cm=!_c"</f>
        <v>#REF!</v>
      </c>
      <c r="HL20" t="e">
        <f>#REF!+"$Cm=!_d"</f>
        <v>#REF!</v>
      </c>
      <c r="HM20" t="e">
        <f>#REF!+"$Cm=!_e"</f>
        <v>#REF!</v>
      </c>
      <c r="HN20" t="e">
        <f>#REF!+"$Cm=!_f"</f>
        <v>#REF!</v>
      </c>
      <c r="HO20" t="e">
        <f>#REF!+"$Cm=!_g"</f>
        <v>#REF!</v>
      </c>
      <c r="HP20" t="e">
        <f>#REF!+"$Cm=!_h"</f>
        <v>#REF!</v>
      </c>
      <c r="HQ20" t="e">
        <f>#REF!+"$Cm=!_i"</f>
        <v>#REF!</v>
      </c>
      <c r="HR20" t="e">
        <f>#REF!+"$Cm=!_j"</f>
        <v>#REF!</v>
      </c>
      <c r="HS20" t="e">
        <f>#REF!+"$Cm=!_k"</f>
        <v>#REF!</v>
      </c>
      <c r="HT20" t="e">
        <f>#REF!+"$Cm=!_l"</f>
        <v>#REF!</v>
      </c>
      <c r="HU20" t="e">
        <f>#REF!+"$Cm=!_m"</f>
        <v>#REF!</v>
      </c>
      <c r="HV20" t="e">
        <f>#REF!+"$Cm=!_n"</f>
        <v>#REF!</v>
      </c>
      <c r="HW20" t="e">
        <f>#REF!+"$Cm=!_o"</f>
        <v>#REF!</v>
      </c>
      <c r="HX20" t="e">
        <f>#REF!+"$Cm=!_p"</f>
        <v>#REF!</v>
      </c>
      <c r="HY20" t="e">
        <f>#REF!+"$Cm=!_q"</f>
        <v>#REF!</v>
      </c>
      <c r="HZ20" t="e">
        <f>#REF!+"$Cm=!_r"</f>
        <v>#REF!</v>
      </c>
      <c r="IA20" t="e">
        <f>#REF!+"$Cm=!_s"</f>
        <v>#REF!</v>
      </c>
      <c r="IB20" t="e">
        <f>#REF!+"$Cm=!_t"</f>
        <v>#REF!</v>
      </c>
      <c r="IC20" t="e">
        <f>#REF!+"$Cm=!_u"</f>
        <v>#REF!</v>
      </c>
      <c r="ID20" t="e">
        <f>#REF!+"$Cm=!_v"</f>
        <v>#REF!</v>
      </c>
      <c r="IE20" t="e">
        <f>#REF!+"$Cm=!_w"</f>
        <v>#REF!</v>
      </c>
      <c r="IF20" t="e">
        <f>#REF!+"$Cm=!_x"</f>
        <v>#REF!</v>
      </c>
      <c r="IG20" t="e">
        <f>#REF!+"$Cm=!_y"</f>
        <v>#REF!</v>
      </c>
      <c r="IH20" t="e">
        <f>#REF!+"$Cm=!_z"</f>
        <v>#REF!</v>
      </c>
      <c r="II20" t="e">
        <f>#REF!+"$Cm=!_{"</f>
        <v>#REF!</v>
      </c>
      <c r="IJ20" t="e">
        <f>#REF!+"$Cm=!_|"</f>
        <v>#REF!</v>
      </c>
      <c r="IK20" t="e">
        <f>#REF!+"$Cm=!_}"</f>
        <v>#REF!</v>
      </c>
      <c r="IL20" t="e">
        <f>#REF!+"$Cm=!_~"</f>
        <v>#REF!</v>
      </c>
      <c r="IM20" t="e">
        <f>#REF!+"$Cm=!`#"</f>
        <v>#REF!</v>
      </c>
      <c r="IN20" t="e">
        <f>#REF!+"$Cm=!`$"</f>
        <v>#REF!</v>
      </c>
      <c r="IO20" t="e">
        <f>#REF!+"$Cm=!`%"</f>
        <v>#REF!</v>
      </c>
      <c r="IP20" t="e">
        <f>#REF!+"$Cm=!`&amp;"</f>
        <v>#REF!</v>
      </c>
      <c r="IQ20" t="e">
        <f>#REF!+"$Cm=!`'"</f>
        <v>#REF!</v>
      </c>
      <c r="IR20" t="e">
        <f>#REF!+"$Cm=!`("</f>
        <v>#REF!</v>
      </c>
      <c r="IS20" t="e">
        <f>#REF!+"$Cm=!`)"</f>
        <v>#REF!</v>
      </c>
      <c r="IT20" t="e">
        <f>#REF!+"$Cm=!`."</f>
        <v>#REF!</v>
      </c>
      <c r="IU20" t="e">
        <f>#REF!+"$Cm=!`/"</f>
        <v>#REF!</v>
      </c>
      <c r="IV20" t="e">
        <f>#REF!+"$Cm=!`0"</f>
        <v>#REF!</v>
      </c>
    </row>
    <row r="21" spans="6:256">
      <c r="F21" t="e">
        <f>#REF!+"$Cm=!`1"</f>
        <v>#REF!</v>
      </c>
      <c r="G21" t="e">
        <f>#REF!+"$Cm=!`2"</f>
        <v>#REF!</v>
      </c>
      <c r="H21" t="e">
        <f>#REF!+"$Cm=!`3"</f>
        <v>#REF!</v>
      </c>
      <c r="I21" t="e">
        <f>#REF!+"$Cm=!`4"</f>
        <v>#REF!</v>
      </c>
      <c r="J21" t="e">
        <f>#REF!+"$Cm=!`5"</f>
        <v>#REF!</v>
      </c>
      <c r="K21" t="e">
        <f>#REF!+"$Cm=!`6"</f>
        <v>#REF!</v>
      </c>
      <c r="L21" t="e">
        <f>#REF!+"$Cm=!`7"</f>
        <v>#REF!</v>
      </c>
      <c r="M21" t="e">
        <f>#REF!+"$Cm=!`8"</f>
        <v>#REF!</v>
      </c>
      <c r="N21" t="e">
        <f>#REF!+"$Cm=!`9"</f>
        <v>#REF!</v>
      </c>
      <c r="O21" t="e">
        <f>#REF!+"$Cm=!`:"</f>
        <v>#REF!</v>
      </c>
      <c r="P21" t="e">
        <f>#REF!+"$Cm=!`;"</f>
        <v>#REF!</v>
      </c>
      <c r="Q21" t="e">
        <f>#REF!+"$Cm=!`&lt;"</f>
        <v>#REF!</v>
      </c>
      <c r="R21" t="e">
        <f>#REF!+"$Cm=!`="</f>
        <v>#REF!</v>
      </c>
      <c r="S21" t="e">
        <f>#REF!+"$Cm=!`&gt;"</f>
        <v>#REF!</v>
      </c>
      <c r="T21" t="e">
        <f>#REF!+"$Cm=!`?"</f>
        <v>#REF!</v>
      </c>
      <c r="U21" t="e">
        <f>#REF!+"$Cm=!`@"</f>
        <v>#REF!</v>
      </c>
      <c r="V21" t="e">
        <f>#REF!+"$Cm=!`A"</f>
        <v>#REF!</v>
      </c>
      <c r="W21" t="e">
        <f>#REF!+"$Cm=!`B"</f>
        <v>#REF!</v>
      </c>
      <c r="X21" t="e">
        <f>#REF!+"$Cm=!`C"</f>
        <v>#REF!</v>
      </c>
      <c r="Y21" t="e">
        <f>#REF!+"$Cm=!`D"</f>
        <v>#REF!</v>
      </c>
      <c r="Z21" t="e">
        <f>#REF!+"$Cm=!`E"</f>
        <v>#REF!</v>
      </c>
      <c r="AA21" t="e">
        <f>#REF!+"$Cm=!`F"</f>
        <v>#REF!</v>
      </c>
      <c r="AB21" t="e">
        <f>#REF!+"$Cm=!`G"</f>
        <v>#REF!</v>
      </c>
      <c r="AC21" t="e">
        <f>#REF!+"$Cm=!`H"</f>
        <v>#REF!</v>
      </c>
      <c r="AD21" t="e">
        <f>#REF!+"$Cm=!`I"</f>
        <v>#REF!</v>
      </c>
      <c r="AE21" t="e">
        <f>#REF!+"$Cm=!`J"</f>
        <v>#REF!</v>
      </c>
      <c r="AF21" t="e">
        <f>#REF!+"$Cm=!`K"</f>
        <v>#REF!</v>
      </c>
      <c r="AG21" t="e">
        <f>#REF!+"$Cm=!`L"</f>
        <v>#REF!</v>
      </c>
      <c r="AH21" t="e">
        <f>#REF!+"$Cm=!`M"</f>
        <v>#REF!</v>
      </c>
      <c r="AI21" t="e">
        <f>#REF!+"$Cm=!`N"</f>
        <v>#REF!</v>
      </c>
      <c r="AJ21" t="e">
        <f>#REF!+"$Cm=!`O"</f>
        <v>#REF!</v>
      </c>
      <c r="AK21" t="e">
        <f>#REF!+"$Cm=!`P"</f>
        <v>#REF!</v>
      </c>
      <c r="AL21" t="e">
        <f>#REF!+"$Cm=!`Q"</f>
        <v>#REF!</v>
      </c>
      <c r="AM21" t="e">
        <f>#REF!+"$Cm=!`R"</f>
        <v>#REF!</v>
      </c>
      <c r="AN21" t="e">
        <f>#REF!+"$Cm=!`S"</f>
        <v>#REF!</v>
      </c>
      <c r="AO21" t="e">
        <f>#REF!+"$Cm=!`T"</f>
        <v>#REF!</v>
      </c>
      <c r="AP21" t="e">
        <f>#REF!+"$Cm=!`U"</f>
        <v>#REF!</v>
      </c>
      <c r="AQ21" t="e">
        <f>#REF!+"$Cm=!`V"</f>
        <v>#REF!</v>
      </c>
      <c r="AR21" t="e">
        <f>#REF!+"$Cm=!`W"</f>
        <v>#REF!</v>
      </c>
      <c r="AS21" t="e">
        <f>#REF!+"$Cm=!`X"</f>
        <v>#REF!</v>
      </c>
      <c r="AT21" t="e">
        <f>#REF!+"$Cm=!`Y"</f>
        <v>#REF!</v>
      </c>
      <c r="AU21" t="e">
        <f>#REF!+"$Cm=!`Z"</f>
        <v>#REF!</v>
      </c>
      <c r="AV21" t="e">
        <f>#REF!+"$Cm=!`["</f>
        <v>#REF!</v>
      </c>
      <c r="AW21" t="e">
        <f>#REF!+"$Cm=!`\"</f>
        <v>#REF!</v>
      </c>
      <c r="AX21" t="e">
        <f>#REF!+"$Cm=!`]"</f>
        <v>#REF!</v>
      </c>
      <c r="AY21" t="e">
        <f>#REF!+"$Cm=!`^"</f>
        <v>#REF!</v>
      </c>
      <c r="AZ21" t="e">
        <f>#REF!+"$Cm=!`_"</f>
        <v>#REF!</v>
      </c>
      <c r="BA21" t="e">
        <f>#REF!+"$Cm=!``"</f>
        <v>#REF!</v>
      </c>
      <c r="BB21" t="e">
        <f>#REF!+"$Cm=!`a"</f>
        <v>#REF!</v>
      </c>
      <c r="BC21" t="e">
        <f>#REF!+"$Cm=!`b"</f>
        <v>#REF!</v>
      </c>
      <c r="BD21" t="e">
        <f>#REF!+"$Cm=!`c"</f>
        <v>#REF!</v>
      </c>
      <c r="BE21" t="e">
        <f>#REF!+"$Cm=!`d"</f>
        <v>#REF!</v>
      </c>
      <c r="BF21" t="e">
        <f>#REF!+"$Cm=!`e"</f>
        <v>#REF!</v>
      </c>
      <c r="BG21" t="e">
        <f>#REF!+"$Cm=!`f"</f>
        <v>#REF!</v>
      </c>
      <c r="BH21" t="e">
        <f>#REF!+"$Cm=!`g"</f>
        <v>#REF!</v>
      </c>
      <c r="BI21" t="e">
        <f>#REF!+"$Cm=!`h"</f>
        <v>#REF!</v>
      </c>
      <c r="BJ21" t="e">
        <f>#REF!+"$Cm=!`i"</f>
        <v>#REF!</v>
      </c>
      <c r="BK21" t="e">
        <f>#REF!+"$Cm=!`j"</f>
        <v>#REF!</v>
      </c>
      <c r="BL21" t="e">
        <f>#REF!+"$Cm=!`k"</f>
        <v>#REF!</v>
      </c>
      <c r="BM21" t="e">
        <f>#REF!+"$Cm=!`l"</f>
        <v>#REF!</v>
      </c>
      <c r="BN21" t="e">
        <f>#REF!+"$Cm=!`m"</f>
        <v>#REF!</v>
      </c>
      <c r="BO21" t="e">
        <f>#REF!+"$Cm=!`n"</f>
        <v>#REF!</v>
      </c>
      <c r="BP21" t="e">
        <f>#REF!+"$Cm=!`o"</f>
        <v>#REF!</v>
      </c>
      <c r="BQ21" t="e">
        <f>#REF!+"$Cm=!`p"</f>
        <v>#REF!</v>
      </c>
      <c r="BR21" t="e">
        <f>#REF!+"$Cm=!`q"</f>
        <v>#REF!</v>
      </c>
      <c r="BS21" t="e">
        <f>#REF!+"$Cm=!`r"</f>
        <v>#REF!</v>
      </c>
      <c r="BT21" t="e">
        <f>#REF!+"$Cm=!`s"</f>
        <v>#REF!</v>
      </c>
      <c r="BU21" t="e">
        <f>#REF!+"$Cm=!`t"</f>
        <v>#REF!</v>
      </c>
      <c r="BV21" t="e">
        <f>#REF!+"$Cm=!`u"</f>
        <v>#REF!</v>
      </c>
      <c r="BW21" t="e">
        <f>#REF!+"$Cm=!`v"</f>
        <v>#REF!</v>
      </c>
      <c r="BX21" t="e">
        <f>#REF!+"$Cm=!`w"</f>
        <v>#REF!</v>
      </c>
      <c r="BY21" t="e">
        <f>#REF!+"$Cm=!`x"</f>
        <v>#REF!</v>
      </c>
      <c r="BZ21" t="e">
        <f>#REF!+"$Cm=!`y"</f>
        <v>#REF!</v>
      </c>
      <c r="CA21" t="e">
        <f>#REF!+"$Cm=!`z"</f>
        <v>#REF!</v>
      </c>
      <c r="CB21" t="e">
        <f>#REF!+"$Cm=!`{"</f>
        <v>#REF!</v>
      </c>
      <c r="CC21" t="e">
        <f>#REF!+"$Cm=!`|"</f>
        <v>#REF!</v>
      </c>
      <c r="CD21" t="e">
        <f>#REF!+"$Cm=!`}"</f>
        <v>#REF!</v>
      </c>
      <c r="CE21" t="e">
        <f>#REF!+"$Cm=!`~"</f>
        <v>#REF!</v>
      </c>
      <c r="CF21" t="e">
        <f>#REF!+"$Cm=!a#"</f>
        <v>#REF!</v>
      </c>
      <c r="CG21" t="e">
        <f>#REF!+"$Cm=!a$"</f>
        <v>#REF!</v>
      </c>
      <c r="CH21" t="e">
        <f>#REF!+"$Cm=!a%"</f>
        <v>#REF!</v>
      </c>
      <c r="CI21" t="e">
        <f>#REF!+"$Cm=!a&amp;"</f>
        <v>#REF!</v>
      </c>
      <c r="CJ21" t="e">
        <f>#REF!+"$Cm=!a'"</f>
        <v>#REF!</v>
      </c>
      <c r="CK21" t="e">
        <f>#REF!+"$Cm=!a("</f>
        <v>#REF!</v>
      </c>
      <c r="CL21" t="e">
        <f>#REF!+"$Cm=!a)"</f>
        <v>#REF!</v>
      </c>
      <c r="CM21" t="e">
        <f>#REF!+"$Cm=!a."</f>
        <v>#REF!</v>
      </c>
      <c r="CN21" t="e">
        <f>#REF!+"$Cm=!a/"</f>
        <v>#REF!</v>
      </c>
      <c r="CO21" t="e">
        <f>#REF!+"$Cm=!a0"</f>
        <v>#REF!</v>
      </c>
      <c r="CP21" t="e">
        <f>#REF!+"$Cm=!a1"</f>
        <v>#REF!</v>
      </c>
      <c r="CQ21" t="e">
        <f>#REF!+"$Cm=!a2"</f>
        <v>#REF!</v>
      </c>
      <c r="CR21" t="e">
        <f>#REF!+"$Cm=!a3"</f>
        <v>#REF!</v>
      </c>
      <c r="CS21" t="e">
        <f>#REF!+"$Cm=!a4"</f>
        <v>#REF!</v>
      </c>
      <c r="CT21" t="e">
        <f>#REF!+"$Cm=!a5"</f>
        <v>#REF!</v>
      </c>
      <c r="CU21" t="e">
        <f>#REF!+"$Cm=!a6"</f>
        <v>#REF!</v>
      </c>
      <c r="CV21" t="e">
        <f>#REF!+"$Cm=!a7"</f>
        <v>#REF!</v>
      </c>
      <c r="CW21" t="e">
        <f>#REF!+"$Cm=!a8"</f>
        <v>#REF!</v>
      </c>
      <c r="CX21" t="e">
        <f>#REF!+"$Cm=!a9"</f>
        <v>#REF!</v>
      </c>
      <c r="CY21" t="e">
        <f>#REF!+"$Cm=!a:"</f>
        <v>#REF!</v>
      </c>
      <c r="CZ21" t="e">
        <f>#REF!+"$Cm=!a;"</f>
        <v>#REF!</v>
      </c>
      <c r="DA21" t="e">
        <f>#REF!+"$Cm=!a&lt;"</f>
        <v>#REF!</v>
      </c>
      <c r="DB21" t="e">
        <f>#REF!+"$Cm=!a="</f>
        <v>#REF!</v>
      </c>
      <c r="DC21" t="e">
        <f>#REF!+"$Cm=!a&gt;"</f>
        <v>#REF!</v>
      </c>
      <c r="DD21" t="e">
        <f>#REF!+"$Cm=!a?"</f>
        <v>#REF!</v>
      </c>
      <c r="DE21" t="e">
        <f>#REF!+"$Cm=!a@"</f>
        <v>#REF!</v>
      </c>
      <c r="DF21" t="e">
        <f>#REF!+"$Cm=!aA"</f>
        <v>#REF!</v>
      </c>
      <c r="DG21" t="e">
        <f>#REF!+"$Cm=!aB"</f>
        <v>#REF!</v>
      </c>
      <c r="DH21" t="e">
        <f>#REF!+"$Cm=!aC"</f>
        <v>#REF!</v>
      </c>
      <c r="DI21" t="e">
        <f>#REF!+"$Cm=!aD"</f>
        <v>#REF!</v>
      </c>
      <c r="DJ21" t="e">
        <f>#REF!+"$Cm=!aE"</f>
        <v>#REF!</v>
      </c>
      <c r="DK21" t="e">
        <f>#REF!+"$Cm=!aF"</f>
        <v>#REF!</v>
      </c>
      <c r="DL21" t="e">
        <f>#REF!+"$Cm=!aG"</f>
        <v>#REF!</v>
      </c>
      <c r="DM21" t="e">
        <f>#REF!+"$Cm=!aH"</f>
        <v>#REF!</v>
      </c>
      <c r="DN21" t="e">
        <f>#REF!+"$Cm=!aI"</f>
        <v>#REF!</v>
      </c>
      <c r="DO21" t="e">
        <f>#REF!+"$Cm=!aJ"</f>
        <v>#REF!</v>
      </c>
      <c r="DP21" t="e">
        <f>#REF!+"$Cm=!aK"</f>
        <v>#REF!</v>
      </c>
      <c r="DQ21" t="e">
        <f>#REF!+"$Cm=!aL"</f>
        <v>#REF!</v>
      </c>
      <c r="DR21" t="e">
        <f>#REF!+"$Cm=!aM"</f>
        <v>#REF!</v>
      </c>
      <c r="DS21" t="e">
        <f>#REF!+"$Cm=!aN"</f>
        <v>#REF!</v>
      </c>
      <c r="DT21" t="e">
        <f>#REF!+"$Cm=!aO"</f>
        <v>#REF!</v>
      </c>
      <c r="DU21" t="e">
        <f>#REF!+"$Cm=!aP"</f>
        <v>#REF!</v>
      </c>
      <c r="DV21" t="e">
        <f>#REF!+"$Cm=!aQ"</f>
        <v>#REF!</v>
      </c>
      <c r="DW21" t="e">
        <f>#REF!+"$Cm=!aR"</f>
        <v>#REF!</v>
      </c>
      <c r="DX21" t="e">
        <f>#REF!+"$Cm=!aS"</f>
        <v>#REF!</v>
      </c>
      <c r="DY21" t="e">
        <f>#REF!+"$Cm=!aT"</f>
        <v>#REF!</v>
      </c>
      <c r="DZ21" t="e">
        <f>#REF!+"$Cm=!aU"</f>
        <v>#REF!</v>
      </c>
      <c r="EA21" t="e">
        <f>#REF!+"$Cm=!aV"</f>
        <v>#REF!</v>
      </c>
      <c r="EB21" t="e">
        <f>#REF!+"$Cm=!aW"</f>
        <v>#REF!</v>
      </c>
      <c r="EC21" t="e">
        <f>#REF!+"$Cm=!aX"</f>
        <v>#REF!</v>
      </c>
      <c r="ED21" t="e">
        <f>#REF!+"$Cm=!aY"</f>
        <v>#REF!</v>
      </c>
      <c r="EE21" t="e">
        <f>#REF!+"$Cm=!aZ"</f>
        <v>#REF!</v>
      </c>
      <c r="EF21" t="e">
        <f>#REF!+"$Cm=!a["</f>
        <v>#REF!</v>
      </c>
      <c r="EG21" t="e">
        <f>#REF!+"$Cm=!a\"</f>
        <v>#REF!</v>
      </c>
      <c r="EH21" t="e">
        <f>#REF!+"$Cm=!a]"</f>
        <v>#REF!</v>
      </c>
      <c r="EI21" t="e">
        <f>#REF!+"$Cm=!a^"</f>
        <v>#REF!</v>
      </c>
      <c r="EJ21" t="e">
        <f>#REF!+"$Cm=!a_"</f>
        <v>#REF!</v>
      </c>
      <c r="EK21" t="e">
        <f>#REF!+"$Cm=!a`"</f>
        <v>#REF!</v>
      </c>
      <c r="EL21" t="e">
        <f>#REF!+"$Cm=!aa"</f>
        <v>#REF!</v>
      </c>
      <c r="EM21" t="e">
        <f>#REF!+"$Cm=!ab"</f>
        <v>#REF!</v>
      </c>
      <c r="EN21" t="e">
        <f>#REF!+"$Cm=!ac"</f>
        <v>#REF!</v>
      </c>
      <c r="EO21" t="e">
        <f>#REF!+"$Cm=!ad"</f>
        <v>#REF!</v>
      </c>
      <c r="EP21" t="e">
        <f>#REF!+"$Cm=!ae"</f>
        <v>#REF!</v>
      </c>
      <c r="EQ21" t="e">
        <f>#REF!+"$Cm=!af"</f>
        <v>#REF!</v>
      </c>
      <c r="ER21" t="e">
        <f>#REF!+"$Cm=!ag"</f>
        <v>#REF!</v>
      </c>
      <c r="ES21" t="e">
        <f>#REF!+"$Cm=!ah"</f>
        <v>#REF!</v>
      </c>
      <c r="ET21" t="e">
        <f>#REF!+"$Cm=!ai"</f>
        <v>#REF!</v>
      </c>
      <c r="EU21" t="e">
        <f>#REF!+"$Cm=!aj"</f>
        <v>#REF!</v>
      </c>
      <c r="EV21" t="e">
        <f>#REF!+"$Cm=!ak"</f>
        <v>#REF!</v>
      </c>
      <c r="EW21" t="e">
        <f>#REF!+"$Cm=!al"</f>
        <v>#REF!</v>
      </c>
      <c r="EX21" t="e">
        <f>#REF!+"$Cm=!am"</f>
        <v>#REF!</v>
      </c>
      <c r="EY21" t="e">
        <f>#REF!+"$Cm=!an"</f>
        <v>#REF!</v>
      </c>
      <c r="EZ21" t="e">
        <f>#REF!+"$Cm=!ao"</f>
        <v>#REF!</v>
      </c>
      <c r="FA21" t="e">
        <f>#REF!+"$Cm=!ap"</f>
        <v>#REF!</v>
      </c>
      <c r="FB21" t="e">
        <f>#REF!+"$Cm=!aq"</f>
        <v>#REF!</v>
      </c>
      <c r="FC21" t="e">
        <f>#REF!+"$Cm=!ar"</f>
        <v>#REF!</v>
      </c>
      <c r="FD21" t="e">
        <f>#REF!+"$Cm=!as"</f>
        <v>#REF!</v>
      </c>
      <c r="FE21" t="e">
        <f>#REF!+"$Cm=!at"</f>
        <v>#REF!</v>
      </c>
      <c r="FF21" t="e">
        <f>#REF!+"$Cm=!au"</f>
        <v>#REF!</v>
      </c>
      <c r="FG21" t="e">
        <f>#REF!+"$Cm=!av"</f>
        <v>#REF!</v>
      </c>
      <c r="FH21" t="e">
        <f>#REF!+"$Cm=!aw"</f>
        <v>#REF!</v>
      </c>
      <c r="FI21" t="e">
        <f>#REF!+"$Cm=!ax"</f>
        <v>#REF!</v>
      </c>
      <c r="FJ21" t="e">
        <f>#REF!+"$Cm=!ay"</f>
        <v>#REF!</v>
      </c>
      <c r="FK21" t="e">
        <f>#REF!+"$Cm=!az"</f>
        <v>#REF!</v>
      </c>
      <c r="FL21" t="e">
        <f>#REF!+"$Cm=!a{"</f>
        <v>#REF!</v>
      </c>
      <c r="FM21" t="e">
        <f>#REF!+"$Cm=!a|"</f>
        <v>#REF!</v>
      </c>
      <c r="FN21" t="e">
        <f>#REF!+"$Cm=!a}"</f>
        <v>#REF!</v>
      </c>
      <c r="FO21" t="e">
        <f>#REF!+"$Cm=!a~"</f>
        <v>#REF!</v>
      </c>
      <c r="FP21" t="e">
        <f>#REF!+"$Cm=!b#"</f>
        <v>#REF!</v>
      </c>
      <c r="FQ21" t="e">
        <f>#REF!+"$Cm=!b$"</f>
        <v>#REF!</v>
      </c>
      <c r="FR21" t="e">
        <f>#REF!+"$Cm=!b%"</f>
        <v>#REF!</v>
      </c>
      <c r="FS21" t="e">
        <f>#REF!+"$Cm=!b&amp;"</f>
        <v>#REF!</v>
      </c>
      <c r="FT21" t="e">
        <f>#REF!+"$Cm=!b'"</f>
        <v>#REF!</v>
      </c>
      <c r="FU21" t="e">
        <f>#REF!+"$Cm=!b("</f>
        <v>#REF!</v>
      </c>
      <c r="FV21" t="e">
        <f>#REF!+"$Cm=!b)"</f>
        <v>#REF!</v>
      </c>
      <c r="FW21" t="e">
        <f>#REF!+"$Cm=!b."</f>
        <v>#REF!</v>
      </c>
      <c r="FX21" t="e">
        <f>#REF!+"$Cm=!b/"</f>
        <v>#REF!</v>
      </c>
      <c r="FY21" t="e">
        <f>#REF!+"$Cm=!b0"</f>
        <v>#REF!</v>
      </c>
      <c r="FZ21" t="e">
        <f>#REF!+"$Cm=!b1"</f>
        <v>#REF!</v>
      </c>
      <c r="GA21" t="e">
        <f>#REF!+"$Cm=!b2"</f>
        <v>#REF!</v>
      </c>
      <c r="GB21" t="e">
        <f>#REF!+"$Cm=!b3"</f>
        <v>#REF!</v>
      </c>
      <c r="GC21" t="e">
        <f>#REF!+"$Cm=!b4"</f>
        <v>#REF!</v>
      </c>
      <c r="GD21" t="e">
        <f>#REF!+"$Cm=!b5"</f>
        <v>#REF!</v>
      </c>
      <c r="GE21" t="e">
        <f>#REF!+"$Cm=!b6"</f>
        <v>#REF!</v>
      </c>
      <c r="GF21" t="e">
        <f>#REF!+"$Cm=!b7"</f>
        <v>#REF!</v>
      </c>
      <c r="GG21" t="e">
        <f>#REF!+"$Cm=!b8"</f>
        <v>#REF!</v>
      </c>
      <c r="GH21" t="e">
        <f>#REF!+"$Cm=!b9"</f>
        <v>#REF!</v>
      </c>
      <c r="GI21" t="e">
        <f>#REF!+"$Cm=!b:"</f>
        <v>#REF!</v>
      </c>
      <c r="GJ21" t="e">
        <f>#REF!+"$Cm=!b;"</f>
        <v>#REF!</v>
      </c>
      <c r="GK21" t="e">
        <f>#REF!+"$Cm=!b&lt;"</f>
        <v>#REF!</v>
      </c>
      <c r="GL21" t="e">
        <f>#REF!+"$Cm=!b="</f>
        <v>#REF!</v>
      </c>
      <c r="GM21" t="e">
        <f>#REF!+"$Cm=!b&gt;"</f>
        <v>#REF!</v>
      </c>
      <c r="GN21" t="e">
        <f>#REF!+"$Cm=!b?"</f>
        <v>#REF!</v>
      </c>
      <c r="GO21" t="e">
        <f>#REF!+"$Cm=!b@"</f>
        <v>#REF!</v>
      </c>
      <c r="GP21" t="e">
        <f>#REF!+"$Cm=!bA"</f>
        <v>#REF!</v>
      </c>
      <c r="GQ21" t="e">
        <f>#REF!+"$Cm=!bB"</f>
        <v>#REF!</v>
      </c>
      <c r="GR21" t="e">
        <f>#REF!+"$Cm=!bC"</f>
        <v>#REF!</v>
      </c>
      <c r="GS21" t="e">
        <f>#REF!+"$Cm=!bD"</f>
        <v>#REF!</v>
      </c>
      <c r="GT21" t="e">
        <f>#REF!+"$Cm=!bE"</f>
        <v>#REF!</v>
      </c>
      <c r="GU21" t="e">
        <f>#REF!+"$Cm=!bF"</f>
        <v>#REF!</v>
      </c>
      <c r="GV21" t="e">
        <f>#REF!+"$Cm=!bG"</f>
        <v>#REF!</v>
      </c>
      <c r="GW21" t="e">
        <f>#REF!+"$Cm=!bH"</f>
        <v>#REF!</v>
      </c>
      <c r="GX21" t="e">
        <f>#REF!+"$Cm=!bI"</f>
        <v>#REF!</v>
      </c>
      <c r="GY21" t="e">
        <f>#REF!+"$Cm=!bJ"</f>
        <v>#REF!</v>
      </c>
      <c r="GZ21" t="e">
        <f>#REF!+"$Cm=!bK"</f>
        <v>#REF!</v>
      </c>
      <c r="HA21" t="e">
        <f>#REF!+"$Cm=!bL"</f>
        <v>#REF!</v>
      </c>
      <c r="HB21" t="e">
        <f>#REF!+"$Cm=!bM"</f>
        <v>#REF!</v>
      </c>
      <c r="HC21" t="e">
        <f>#REF!+"$Cm=!bN"</f>
        <v>#REF!</v>
      </c>
      <c r="HD21" t="e">
        <f>#REF!+"$Cm=!bO"</f>
        <v>#REF!</v>
      </c>
      <c r="HE21" t="e">
        <f>#REF!+"$Cm=!bP"</f>
        <v>#REF!</v>
      </c>
      <c r="HF21" t="e">
        <f>#REF!+"$Cm=!bQ"</f>
        <v>#REF!</v>
      </c>
      <c r="HG21" t="e">
        <f>#REF!+"$Cm=!bR"</f>
        <v>#REF!</v>
      </c>
      <c r="HH21" t="e">
        <f>#REF!+"$Cm=!bS"</f>
        <v>#REF!</v>
      </c>
      <c r="HI21" t="e">
        <f>#REF!+"$Cm=!bT"</f>
        <v>#REF!</v>
      </c>
      <c r="HJ21" t="e">
        <f>#REF!+"$Cm=!bU"</f>
        <v>#REF!</v>
      </c>
      <c r="HK21" t="e">
        <f>#REF!+"$Cm=!bV"</f>
        <v>#REF!</v>
      </c>
      <c r="HL21" t="e">
        <f>#REF!+"$Cm=!bW"</f>
        <v>#REF!</v>
      </c>
      <c r="HM21" t="e">
        <f>#REF!+"$Cm=!bX"</f>
        <v>#REF!</v>
      </c>
      <c r="HN21" t="e">
        <f>#REF!+"$Cm=!bY"</f>
        <v>#REF!</v>
      </c>
      <c r="HO21" t="e">
        <f>#REF!+"$Cm=!bZ"</f>
        <v>#REF!</v>
      </c>
      <c r="HP21" t="e">
        <f>#REF!+"$Cm=!b["</f>
        <v>#REF!</v>
      </c>
      <c r="HQ21" t="e">
        <f>#REF!+"$Cm=!b\"</f>
        <v>#REF!</v>
      </c>
      <c r="HR21" t="e">
        <f>#REF!+"$Cm=!b]"</f>
        <v>#REF!</v>
      </c>
      <c r="HS21" t="e">
        <f>#REF!+"$Cm=!b^"</f>
        <v>#REF!</v>
      </c>
      <c r="HT21" t="e">
        <f>#REF!+"$Cm=!b_"</f>
        <v>#REF!</v>
      </c>
      <c r="HU21" t="e">
        <f>#REF!+"$Cm=!b`"</f>
        <v>#REF!</v>
      </c>
      <c r="HV21" t="e">
        <f>#REF!+"$Cm=!ba"</f>
        <v>#REF!</v>
      </c>
      <c r="HW21" t="e">
        <f>#REF!+"$Cm=!bb"</f>
        <v>#REF!</v>
      </c>
      <c r="HX21" t="e">
        <f>#REF!+"$Cm=!bc"</f>
        <v>#REF!</v>
      </c>
      <c r="HY21" t="e">
        <f>#REF!+"$Cm=!bd"</f>
        <v>#REF!</v>
      </c>
      <c r="HZ21" t="e">
        <f>#REF!+"$Cm=!be"</f>
        <v>#REF!</v>
      </c>
      <c r="IA21" t="e">
        <f>#REF!+"$Cm=!bf"</f>
        <v>#REF!</v>
      </c>
      <c r="IB21" t="e">
        <f>#REF!+"$Cm=!bg"</f>
        <v>#REF!</v>
      </c>
      <c r="IC21" t="e">
        <f>#REF!+"$Cm=!bh"</f>
        <v>#REF!</v>
      </c>
      <c r="ID21" t="e">
        <f>#REF!+"$Cm=!bi"</f>
        <v>#REF!</v>
      </c>
      <c r="IE21" t="e">
        <f>#REF!+"$Cm=!bj"</f>
        <v>#REF!</v>
      </c>
      <c r="IF21" t="e">
        <f>#REF!+"$Cm=!bk"</f>
        <v>#REF!</v>
      </c>
      <c r="IG21" t="e">
        <f>#REF!+"$Cm=!bl"</f>
        <v>#REF!</v>
      </c>
      <c r="IH21" t="e">
        <f>#REF!+"$Cm=!bm"</f>
        <v>#REF!</v>
      </c>
      <c r="II21" t="e">
        <f>#REF!+"$Cm=!bn"</f>
        <v>#REF!</v>
      </c>
      <c r="IJ21" t="e">
        <f>#REF!+"$Cm=!bo"</f>
        <v>#REF!</v>
      </c>
      <c r="IK21" t="e">
        <f>#REF!+"$Cm=!bp"</f>
        <v>#REF!</v>
      </c>
      <c r="IL21" t="e">
        <f>#REF!+"$Cm=!bq"</f>
        <v>#REF!</v>
      </c>
      <c r="IM21" t="e">
        <f>#REF!+"$Cm=!br"</f>
        <v>#REF!</v>
      </c>
      <c r="IN21" t="e">
        <f>#REF!+"$Cm=!bs"</f>
        <v>#REF!</v>
      </c>
      <c r="IO21" t="e">
        <f>#REF!+"$Cm=!bt"</f>
        <v>#REF!</v>
      </c>
      <c r="IP21" t="e">
        <f>#REF!+"$Cm=!bu"</f>
        <v>#REF!</v>
      </c>
      <c r="IQ21" t="e">
        <f>#REF!+"$Cm=!bv"</f>
        <v>#REF!</v>
      </c>
      <c r="IR21" t="e">
        <f>#REF!+"$Cm=!bw"</f>
        <v>#REF!</v>
      </c>
      <c r="IS21" t="e">
        <f>#REF!+"$Cm=!bx"</f>
        <v>#REF!</v>
      </c>
      <c r="IT21" t="e">
        <f>#REF!+"$Cm=!by"</f>
        <v>#REF!</v>
      </c>
      <c r="IU21" t="e">
        <f>#REF!+"$Cm=!bz"</f>
        <v>#REF!</v>
      </c>
      <c r="IV21" t="e">
        <f>#REF!+"$Cm=!b{"</f>
        <v>#REF!</v>
      </c>
    </row>
    <row r="22" spans="6:256">
      <c r="F22" t="e">
        <f>#REF!+"$Cm=!b|"</f>
        <v>#REF!</v>
      </c>
      <c r="G22" t="e">
        <f>#REF!+"$Cm=!b}"</f>
        <v>#REF!</v>
      </c>
      <c r="H22" t="e">
        <f>#REF!+"$Cm=!b~"</f>
        <v>#REF!</v>
      </c>
      <c r="I22" t="e">
        <f>#REF!+"$Cm=!c#"</f>
        <v>#REF!</v>
      </c>
      <c r="J22" t="e">
        <f>#REF!+"$Cm=!c$"</f>
        <v>#REF!</v>
      </c>
      <c r="K22" t="e">
        <f>#REF!+"$Cm=!c%"</f>
        <v>#REF!</v>
      </c>
      <c r="L22" t="e">
        <f>#REF!+"$Cm=!c&amp;"</f>
        <v>#REF!</v>
      </c>
      <c r="M22" t="e">
        <f>#REF!+"$Cm=!c'"</f>
        <v>#REF!</v>
      </c>
      <c r="N22" t="e">
        <f>#REF!+"$Cm=!c("</f>
        <v>#REF!</v>
      </c>
      <c r="O22" t="e">
        <f>#REF!+"$Cm=!c)"</f>
        <v>#REF!</v>
      </c>
      <c r="P22" t="e">
        <f>#REF!+"$Cm=!c."</f>
        <v>#REF!</v>
      </c>
      <c r="Q22" t="e">
        <f>#REF!+"$Cm=!c/"</f>
        <v>#REF!</v>
      </c>
      <c r="R22" t="e">
        <f>#REF!+"$Cm=!c0"</f>
        <v>#REF!</v>
      </c>
      <c r="S22" t="e">
        <f>#REF!+"$Cm=!c1"</f>
        <v>#REF!</v>
      </c>
      <c r="T22" t="e">
        <f>#REF!+"$Cm=!c2"</f>
        <v>#REF!</v>
      </c>
      <c r="U22" t="e">
        <f>#REF!+"$Cm=!c3"</f>
        <v>#REF!</v>
      </c>
      <c r="V22" t="e">
        <f>#REF!+"$Cm=!c4"</f>
        <v>#REF!</v>
      </c>
      <c r="W22" t="e">
        <f>#REF!+"$Cm=!c5"</f>
        <v>#REF!</v>
      </c>
      <c r="X22" t="e">
        <f>#REF!+"$Cm=!c6"</f>
        <v>#REF!</v>
      </c>
      <c r="Y22" t="e">
        <f>#REF!+"$Cm=!c7"</f>
        <v>#REF!</v>
      </c>
      <c r="Z22" t="e">
        <f>#REF!+"$Cm=!c8"</f>
        <v>#REF!</v>
      </c>
      <c r="AA22" t="e">
        <f>#REF!+"$Cm=!c9"</f>
        <v>#REF!</v>
      </c>
      <c r="AB22" t="e">
        <f>#REF!+"$Cm=!c:"</f>
        <v>#REF!</v>
      </c>
      <c r="AC22" t="e">
        <f>#REF!+"$Cm=!c;"</f>
        <v>#REF!</v>
      </c>
      <c r="AD22" t="e">
        <f>#REF!+"$Cm=!c&lt;"</f>
        <v>#REF!</v>
      </c>
      <c r="AE22" t="e">
        <f>#REF!+"$Cm=!c="</f>
        <v>#REF!</v>
      </c>
      <c r="AF22" t="e">
        <f>#REF!+"$Cm=!c&gt;"</f>
        <v>#REF!</v>
      </c>
      <c r="AG22" t="e">
        <f>#REF!+"$Cm=!c?"</f>
        <v>#REF!</v>
      </c>
      <c r="AH22" t="e">
        <f>#REF!+"$Cm=!c@"</f>
        <v>#REF!</v>
      </c>
      <c r="AI22" t="e">
        <f>#REF!+"$Cm=!cA"</f>
        <v>#REF!</v>
      </c>
      <c r="AJ22" t="e">
        <f>#REF!+"$Cm=!cB"</f>
        <v>#REF!</v>
      </c>
      <c r="AK22" t="e">
        <f>#REF!+"$Cm=!cC"</f>
        <v>#REF!</v>
      </c>
      <c r="AL22" t="e">
        <f>#REF!+"$Cm=!cD"</f>
        <v>#REF!</v>
      </c>
      <c r="AM22" t="e">
        <f>#REF!+"$Cm=!cE"</f>
        <v>#REF!</v>
      </c>
      <c r="AN22" t="e">
        <f>#REF!+"$Cm=!cF"</f>
        <v>#REF!</v>
      </c>
      <c r="AO22" t="e">
        <f>#REF!+"$Cm=!cG"</f>
        <v>#REF!</v>
      </c>
      <c r="AP22" t="e">
        <f>#REF!+"$Cm=!cH"</f>
        <v>#REF!</v>
      </c>
      <c r="AQ22" t="e">
        <f>#REF!+"$Cm=!cI"</f>
        <v>#REF!</v>
      </c>
      <c r="AR22" t="e">
        <f>#REF!+"$Cm=!cJ"</f>
        <v>#REF!</v>
      </c>
      <c r="AS22" t="e">
        <f>#REF!+"$Cm=!cK"</f>
        <v>#REF!</v>
      </c>
      <c r="AT22" t="e">
        <f>#REF!+"$Cm=!cL"</f>
        <v>#REF!</v>
      </c>
      <c r="AU22" t="e">
        <f>#REF!+"$Cm=!cM"</f>
        <v>#REF!</v>
      </c>
      <c r="AV22" t="e">
        <f>#REF!+"$Cm=!cN"</f>
        <v>#REF!</v>
      </c>
      <c r="AW22" t="e">
        <f>#REF!+"$Cm=!cO"</f>
        <v>#REF!</v>
      </c>
      <c r="AX22" t="e">
        <f>#REF!+"$Cm=!cP"</f>
        <v>#REF!</v>
      </c>
      <c r="AY22" t="e">
        <f>#REF!+"$Cm=!cQ"</f>
        <v>#REF!</v>
      </c>
      <c r="AZ22" t="e">
        <f>#REF!+"$Cm=!cR"</f>
        <v>#REF!</v>
      </c>
      <c r="BA22" t="e">
        <f>#REF!+"$Cm=!cS"</f>
        <v>#REF!</v>
      </c>
      <c r="BB22" t="e">
        <f>#REF!+"$Cm=!cT"</f>
        <v>#REF!</v>
      </c>
      <c r="BC22" t="e">
        <f>#REF!+"$Cm=!cU"</f>
        <v>#REF!</v>
      </c>
      <c r="BD22" t="e">
        <f>#REF!+"$Cm=!cV"</f>
        <v>#REF!</v>
      </c>
      <c r="BE22" t="e">
        <f>#REF!+"$Cm=!cW"</f>
        <v>#REF!</v>
      </c>
      <c r="BF22" t="e">
        <f>#REF!+"$Cm=!cX"</f>
        <v>#REF!</v>
      </c>
      <c r="BG22" t="e">
        <f>#REF!+"$Cm=!cY"</f>
        <v>#REF!</v>
      </c>
      <c r="BH22" t="e">
        <f>#REF!+"$Cm=!cZ"</f>
        <v>#REF!</v>
      </c>
      <c r="BI22" t="e">
        <f>#REF!+"$Cm=!c["</f>
        <v>#REF!</v>
      </c>
      <c r="BJ22" t="e">
        <f>#REF!+"$Cm=!c\"</f>
        <v>#REF!</v>
      </c>
      <c r="BK22" t="e">
        <f>#REF!+"$Cm=!c]"</f>
        <v>#REF!</v>
      </c>
      <c r="BL22" t="e">
        <f>#REF!+"$Cm=!c^"</f>
        <v>#REF!</v>
      </c>
      <c r="BM22" t="e">
        <f>#REF!+"$Cm=!c_"</f>
        <v>#REF!</v>
      </c>
      <c r="BN22" t="e">
        <f>#REF!+"$Cm=!c`"</f>
        <v>#REF!</v>
      </c>
      <c r="BO22" t="e">
        <f>#REF!+"$Cm=!ca"</f>
        <v>#REF!</v>
      </c>
      <c r="BP22" t="e">
        <f>#REF!+"$Cm=!cb"</f>
        <v>#REF!</v>
      </c>
      <c r="BQ22" t="e">
        <f>#REF!+"$Cm=!cc"</f>
        <v>#REF!</v>
      </c>
      <c r="BR22" t="e">
        <f>#REF!+"$Cm=!cd"</f>
        <v>#REF!</v>
      </c>
      <c r="BS22" t="e">
        <f>#REF!+"$Cm=!ce"</f>
        <v>#REF!</v>
      </c>
      <c r="BT22" t="e">
        <f>#REF!+"$Cm=!cf"</f>
        <v>#REF!</v>
      </c>
      <c r="BU22" t="e">
        <f>#REF!+"$Cm=!cg"</f>
        <v>#REF!</v>
      </c>
      <c r="BV22" t="e">
        <f>#REF!+"$Cm=!ch"</f>
        <v>#REF!</v>
      </c>
      <c r="BW22" t="e">
        <f>#REF!+"$Cm=!ci"</f>
        <v>#REF!</v>
      </c>
      <c r="BX22" t="e">
        <f>#REF!+"$Cm=!cj"</f>
        <v>#REF!</v>
      </c>
      <c r="BY22" t="e">
        <f>#REF!+"$Cm=!ck"</f>
        <v>#REF!</v>
      </c>
      <c r="BZ22" t="e">
        <f>#REF!+"$Cm=!cl"</f>
        <v>#REF!</v>
      </c>
      <c r="CA22" t="e">
        <f>#REF!+"$Cm=!cm"</f>
        <v>#REF!</v>
      </c>
      <c r="CB22" t="e">
        <f>#REF!+"$Cm=!cn"</f>
        <v>#REF!</v>
      </c>
      <c r="CC22" t="e">
        <f>#REF!+"$Cm=!co"</f>
        <v>#REF!</v>
      </c>
      <c r="CD22" t="e">
        <f>#REF!+"$Cm=!cp"</f>
        <v>#REF!</v>
      </c>
      <c r="CE22" t="e">
        <f>#REF!+"$Cm=!cq"</f>
        <v>#REF!</v>
      </c>
      <c r="CF22" t="e">
        <f>#REF!+"$Cm=!cr"</f>
        <v>#REF!</v>
      </c>
      <c r="CG22" t="e">
        <f>#REF!+"$Cm=!cs"</f>
        <v>#REF!</v>
      </c>
      <c r="CH22" t="e">
        <f>#REF!+"$Cm=!ct"</f>
        <v>#REF!</v>
      </c>
      <c r="CI22" t="e">
        <f>#REF!+"$Cm=!cu"</f>
        <v>#REF!</v>
      </c>
      <c r="CJ22" t="e">
        <f>#REF!+"$Cm=!cv"</f>
        <v>#REF!</v>
      </c>
      <c r="CK22" t="e">
        <f>#REF!+"$Cm=!cw"</f>
        <v>#REF!</v>
      </c>
      <c r="CL22" t="e">
        <f>#REF!+"$Cm=!cx"</f>
        <v>#REF!</v>
      </c>
      <c r="CM22" t="e">
        <f>#REF!+"$Cm=!cy"</f>
        <v>#REF!</v>
      </c>
      <c r="CN22" t="e">
        <f>#REF!+"$Cm=!cz"</f>
        <v>#REF!</v>
      </c>
      <c r="CO22" t="e">
        <f>#REF!+"$Cm=!c{"</f>
        <v>#REF!</v>
      </c>
      <c r="CP22" t="e">
        <f>#REF!+"$Cm=!c|"</f>
        <v>#REF!</v>
      </c>
      <c r="CQ22" t="e">
        <f>#REF!+"$Cm=!c}"</f>
        <v>#REF!</v>
      </c>
      <c r="CR22" t="e">
        <f>#REF!+"$Cm=!c~"</f>
        <v>#REF!</v>
      </c>
      <c r="CS22" t="e">
        <f>#REF!+"$Cm=!d#"</f>
        <v>#REF!</v>
      </c>
      <c r="CT22" t="e">
        <f>#REF!+"$Cm=!d$"</f>
        <v>#REF!</v>
      </c>
      <c r="CU22" t="e">
        <f>#REF!+"$Cm=!d%"</f>
        <v>#REF!</v>
      </c>
      <c r="CV22" t="e">
        <f>#REF!+"$Cm=!d&amp;"</f>
        <v>#REF!</v>
      </c>
      <c r="CW22" t="e">
        <f>#REF!+"$Cm=!d'"</f>
        <v>#REF!</v>
      </c>
      <c r="CX22" t="e">
        <f>#REF!+"$Cm=!d("</f>
        <v>#REF!</v>
      </c>
      <c r="CY22" t="e">
        <f>#REF!+"$Cm=!d)"</f>
        <v>#REF!</v>
      </c>
      <c r="CZ22" t="e">
        <f>#REF!+"$Cm=!d."</f>
        <v>#REF!</v>
      </c>
      <c r="DA22" t="e">
        <f>#REF!+"$Cm=!d/"</f>
        <v>#REF!</v>
      </c>
      <c r="DB22" t="e">
        <f>#REF!+"$Cm=!d0"</f>
        <v>#REF!</v>
      </c>
      <c r="DC22" t="e">
        <f>#REF!+"$Cm=!d1"</f>
        <v>#REF!</v>
      </c>
      <c r="DD22" t="e">
        <f>#REF!+"$Cm=!d2"</f>
        <v>#REF!</v>
      </c>
      <c r="DE22" t="e">
        <f>#REF!+"$Cm=!d3"</f>
        <v>#REF!</v>
      </c>
      <c r="DF22" t="e">
        <f>#REF!+"$Cm=!d4"</f>
        <v>#REF!</v>
      </c>
      <c r="DG22" t="e">
        <f>#REF!+"$Cm=!d5"</f>
        <v>#REF!</v>
      </c>
      <c r="DH22" t="e">
        <f>#REF!+"$Cm=!d6"</f>
        <v>#REF!</v>
      </c>
      <c r="DI22" t="e">
        <f>#REF!+"$Cm=!d7"</f>
        <v>#REF!</v>
      </c>
      <c r="DJ22" t="e">
        <f>#REF!+"$Cm=!d8"</f>
        <v>#REF!</v>
      </c>
      <c r="DK22" t="e">
        <f>#REF!+"$Cm=!d9"</f>
        <v>#REF!</v>
      </c>
      <c r="DL22" t="e">
        <f>#REF!+"$Cm=!d:"</f>
        <v>#REF!</v>
      </c>
      <c r="DM22" t="e">
        <f>#REF!+"$Cm=!d;"</f>
        <v>#REF!</v>
      </c>
      <c r="DN22" t="e">
        <f>#REF!+"$Cm=!d&lt;"</f>
        <v>#REF!</v>
      </c>
      <c r="DO22" t="e">
        <f>#REF!+"$Cm=!d="</f>
        <v>#REF!</v>
      </c>
      <c r="DP22" t="e">
        <f>#REF!+"$Cm=!d&gt;"</f>
        <v>#REF!</v>
      </c>
      <c r="DQ22" t="e">
        <f>#REF!+"$Cm=!d?"</f>
        <v>#REF!</v>
      </c>
      <c r="DR22" t="e">
        <f>#REF!+"$Cm=!d@"</f>
        <v>#REF!</v>
      </c>
      <c r="DS22" t="e">
        <f>#REF!+"$Cm=!dA"</f>
        <v>#REF!</v>
      </c>
      <c r="DT22" t="e">
        <f>#REF!+"$Cm=!dB"</f>
        <v>#REF!</v>
      </c>
      <c r="DU22" t="e">
        <f>#REF!+"$Cm=!dC"</f>
        <v>#REF!</v>
      </c>
      <c r="DV22" t="e">
        <f>#REF!+"$Cm=!dD"</f>
        <v>#REF!</v>
      </c>
      <c r="DW22" t="e">
        <f>#REF!+"$Cm=!dE"</f>
        <v>#REF!</v>
      </c>
      <c r="DX22" t="e">
        <f>#REF!+"$Cm=!dF"</f>
        <v>#REF!</v>
      </c>
      <c r="DY22" t="e">
        <f>#REF!+"$Cm=!dG"</f>
        <v>#REF!</v>
      </c>
      <c r="DZ22" t="e">
        <f>#REF!+"$Cm=!dH"</f>
        <v>#REF!</v>
      </c>
      <c r="EA22" t="e">
        <f>#REF!+"$Cm=!dI"</f>
        <v>#REF!</v>
      </c>
      <c r="EB22" t="e">
        <f>#REF!+"$Cm=!dJ"</f>
        <v>#REF!</v>
      </c>
      <c r="EC22" t="e">
        <f>#REF!+"$Cm=!dK"</f>
        <v>#REF!</v>
      </c>
      <c r="ED22" t="e">
        <f>#REF!+"$Cm=!dL"</f>
        <v>#REF!</v>
      </c>
      <c r="EE22" t="e">
        <f>#REF!+"$Cm=!dM"</f>
        <v>#REF!</v>
      </c>
      <c r="EF22" t="e">
        <f>#REF!+"$Cm=!dN"</f>
        <v>#REF!</v>
      </c>
      <c r="EG22" t="e">
        <f>#REF!+"$Cm=!dO"</f>
        <v>#REF!</v>
      </c>
      <c r="EH22" t="e">
        <f>#REF!+"$Cm=!dP"</f>
        <v>#REF!</v>
      </c>
      <c r="EI22" t="e">
        <f>#REF!+"$Cm=!dQ"</f>
        <v>#REF!</v>
      </c>
      <c r="EJ22" t="e">
        <f>#REF!+"$Cm=!dR"</f>
        <v>#REF!</v>
      </c>
      <c r="EK22" t="e">
        <f>#REF!+"$Cm=!dS"</f>
        <v>#REF!</v>
      </c>
      <c r="EL22" t="e">
        <f>#REF!+"$Cm=!dT"</f>
        <v>#REF!</v>
      </c>
      <c r="EM22" t="e">
        <f>#REF!+"$Cm=!dU"</f>
        <v>#REF!</v>
      </c>
      <c r="EN22" t="e">
        <f>#REF!+"$Cm=!dV"</f>
        <v>#REF!</v>
      </c>
      <c r="EO22" t="e">
        <f>#REF!+"$Cm=!dW"</f>
        <v>#REF!</v>
      </c>
      <c r="EP22" t="e">
        <f>#REF!+"$Cm=!dX"</f>
        <v>#REF!</v>
      </c>
      <c r="EQ22" t="e">
        <f>#REF!+"$Cm=!dY"</f>
        <v>#REF!</v>
      </c>
      <c r="ER22" t="e">
        <f>#REF!+"$Cm=!dZ"</f>
        <v>#REF!</v>
      </c>
      <c r="ES22" t="e">
        <f>#REF!+"$Cm=!d["</f>
        <v>#REF!</v>
      </c>
      <c r="ET22" t="e">
        <f>#REF!+"$Cm=!d\"</f>
        <v>#REF!</v>
      </c>
      <c r="EU22" t="e">
        <f>#REF!+"$Cm=!d]"</f>
        <v>#REF!</v>
      </c>
      <c r="EV22" t="e">
        <f>#REF!+"$Cm=!d^"</f>
        <v>#REF!</v>
      </c>
      <c r="EW22" t="e">
        <f>#REF!+"$Cm=!d_"</f>
        <v>#REF!</v>
      </c>
      <c r="EX22" t="e">
        <f>#REF!+"$Cm=!d`"</f>
        <v>#REF!</v>
      </c>
      <c r="EY22" t="e">
        <f>#REF!+"$Cm=!da"</f>
        <v>#REF!</v>
      </c>
      <c r="EZ22" t="e">
        <f>#REF!+"$Cm=!db"</f>
        <v>#REF!</v>
      </c>
      <c r="FA22" t="e">
        <f>#REF!+"$Cm=!dc"</f>
        <v>#REF!</v>
      </c>
      <c r="FB22" t="e">
        <f>#REF!+"$Cm=!dd"</f>
        <v>#REF!</v>
      </c>
      <c r="FC22" t="e">
        <f>#REF!+"$Cm=!de"</f>
        <v>#REF!</v>
      </c>
      <c r="FD22" t="e">
        <f>#REF!+"$Cm=!df"</f>
        <v>#REF!</v>
      </c>
      <c r="FE22" t="e">
        <f>#REF!+"$Cm=!dg"</f>
        <v>#REF!</v>
      </c>
      <c r="FF22" t="e">
        <f>#REF!+"$Cm=!dh"</f>
        <v>#REF!</v>
      </c>
      <c r="FG22" t="e">
        <f>#REF!+"$Cm=!di"</f>
        <v>#REF!</v>
      </c>
      <c r="FH22" t="e">
        <f>#REF!+"$Cm=!dj"</f>
        <v>#REF!</v>
      </c>
      <c r="FI22" t="e">
        <f>#REF!+"$Cm=!dk"</f>
        <v>#REF!</v>
      </c>
      <c r="FJ22" t="e">
        <f>#REF!+"$Cm=!dl"</f>
        <v>#REF!</v>
      </c>
      <c r="FK22" t="e">
        <f>#REF!+"$Cm=!dm"</f>
        <v>#REF!</v>
      </c>
      <c r="FL22" t="e">
        <f>#REF!+"$Cm=!dn"</f>
        <v>#REF!</v>
      </c>
      <c r="FM22" t="e">
        <f>#REF!+"$Cm=!do"</f>
        <v>#REF!</v>
      </c>
      <c r="FN22" t="e">
        <f>#REF!+"$Cm=!dp"</f>
        <v>#REF!</v>
      </c>
      <c r="FO22" t="e">
        <f>#REF!+"$Cm=!dq"</f>
        <v>#REF!</v>
      </c>
      <c r="FP22" t="e">
        <f>#REF!+"$Cm=!dr"</f>
        <v>#REF!</v>
      </c>
      <c r="FQ22" t="e">
        <f>#REF!+"$Cm=!ds"</f>
        <v>#REF!</v>
      </c>
      <c r="FR22" t="e">
        <f>#REF!+"$Cm=!dt"</f>
        <v>#REF!</v>
      </c>
      <c r="FS22" t="e">
        <f>#REF!+"$Cm=!du"</f>
        <v>#REF!</v>
      </c>
      <c r="FT22" t="e">
        <f>#REF!+"$Cm=!dv"</f>
        <v>#REF!</v>
      </c>
      <c r="FU22" t="e">
        <f>#REF!+"$Cm=!dw"</f>
        <v>#REF!</v>
      </c>
      <c r="FV22" t="e">
        <f>#REF!+"$Cm=!dx"</f>
        <v>#REF!</v>
      </c>
      <c r="FW22" t="e">
        <f>#REF!+"$Cm=!dy"</f>
        <v>#REF!</v>
      </c>
      <c r="FX22" t="e">
        <f>#REF!+"$Cm=!dz"</f>
        <v>#REF!</v>
      </c>
      <c r="FY22" t="e">
        <f>#REF!+"$Cm=!d{"</f>
        <v>#REF!</v>
      </c>
      <c r="FZ22" t="e">
        <f>#REF!+"$Cm=!d|"</f>
        <v>#REF!</v>
      </c>
      <c r="GA22" t="e">
        <f>#REF!+"$Cm=!d}"</f>
        <v>#REF!</v>
      </c>
      <c r="GB22" t="e">
        <f>#REF!+"$Cm=!d~"</f>
        <v>#REF!</v>
      </c>
      <c r="GC22" t="e">
        <f>#REF!+"$Cm=!e#"</f>
        <v>#REF!</v>
      </c>
      <c r="GD22" t="e">
        <f>#REF!+"$Cm=!e$"</f>
        <v>#REF!</v>
      </c>
      <c r="GE22" t="e">
        <f>#REF!+"$Cm=!e%"</f>
        <v>#REF!</v>
      </c>
      <c r="GF22" t="e">
        <f>#REF!+"$Cm=!e&amp;"</f>
        <v>#REF!</v>
      </c>
      <c r="GG22" t="e">
        <f>#REF!+"$Cm=!e'"</f>
        <v>#REF!</v>
      </c>
      <c r="GH22" t="e">
        <f>#REF!+"$Cm=!e("</f>
        <v>#REF!</v>
      </c>
      <c r="GI22" t="e">
        <f>#REF!+"$Cm=!e)"</f>
        <v>#REF!</v>
      </c>
      <c r="GJ22" t="e">
        <f>#REF!+"$Cm=!e."</f>
        <v>#REF!</v>
      </c>
      <c r="GK22" t="e">
        <f>#REF!+"$Cm=!e/"</f>
        <v>#REF!</v>
      </c>
      <c r="GL22" t="e">
        <f>#REF!+"$Cm=!e0"</f>
        <v>#REF!</v>
      </c>
      <c r="GM22" t="e">
        <f>#REF!+"$Cm=!e1"</f>
        <v>#REF!</v>
      </c>
      <c r="GN22" t="e">
        <f>#REF!+"$Cm=!e2"</f>
        <v>#REF!</v>
      </c>
      <c r="GO22" t="e">
        <f>#REF!+"$Cm=!e3"</f>
        <v>#REF!</v>
      </c>
      <c r="GP22" t="e">
        <f>#REF!+"$Cm=!e4"</f>
        <v>#REF!</v>
      </c>
      <c r="GQ22" t="e">
        <f>#REF!+"$Cm=!e5"</f>
        <v>#REF!</v>
      </c>
      <c r="GR22" t="e">
        <f>#REF!+"$Cm=!e6"</f>
        <v>#REF!</v>
      </c>
      <c r="GS22" t="e">
        <f>#REF!+"$Cm=!e7"</f>
        <v>#REF!</v>
      </c>
      <c r="GT22" t="e">
        <f>#REF!+"$Cm=!e8"</f>
        <v>#REF!</v>
      </c>
      <c r="GU22" t="e">
        <f>#REF!+"$Cm=!e9"</f>
        <v>#REF!</v>
      </c>
      <c r="GV22" t="e">
        <f>#REF!+"$Cm=!e:"</f>
        <v>#REF!</v>
      </c>
      <c r="GW22" t="e">
        <f>#REF!+"$Cm=!e;"</f>
        <v>#REF!</v>
      </c>
      <c r="GX22" t="e">
        <f>#REF!+"$Cm=!e&lt;"</f>
        <v>#REF!</v>
      </c>
      <c r="GY22" t="e">
        <f>#REF!+"$Cm=!e="</f>
        <v>#REF!</v>
      </c>
      <c r="GZ22" t="e">
        <f>#REF!+"$Cm=!e&gt;"</f>
        <v>#REF!</v>
      </c>
      <c r="HA22" t="e">
        <f>#REF!+"$Cm=!e?"</f>
        <v>#REF!</v>
      </c>
      <c r="HB22" t="e">
        <f>#REF!+"$Cm=!e@"</f>
        <v>#REF!</v>
      </c>
      <c r="HC22" t="e">
        <f>#REF!+"$Cm=!eA"</f>
        <v>#REF!</v>
      </c>
      <c r="HD22" t="e">
        <f>#REF!+"$Cm=!eB"</f>
        <v>#REF!</v>
      </c>
      <c r="HE22" t="e">
        <f>#REF!+"$Cm=!eC"</f>
        <v>#REF!</v>
      </c>
      <c r="HF22" t="e">
        <f>#REF!+"$Cm=!eD"</f>
        <v>#REF!</v>
      </c>
      <c r="HG22" t="e">
        <f>#REF!+"$Cm=!eE"</f>
        <v>#REF!</v>
      </c>
      <c r="HH22" t="e">
        <f>#REF!+"$Cm=!eF"</f>
        <v>#REF!</v>
      </c>
      <c r="HI22" t="e">
        <f>#REF!+"$Cm=!eG"</f>
        <v>#REF!</v>
      </c>
      <c r="HJ22" t="e">
        <f>#REF!+"$Cm=!eH"</f>
        <v>#REF!</v>
      </c>
      <c r="HK22" t="e">
        <f>#REF!+"$Cm=!eI"</f>
        <v>#REF!</v>
      </c>
      <c r="HL22" t="e">
        <f>#REF!+"$Cm=!eJ"</f>
        <v>#REF!</v>
      </c>
      <c r="HM22" t="e">
        <f>#REF!+"$Cm=!eK"</f>
        <v>#REF!</v>
      </c>
      <c r="HN22" t="e">
        <f>#REF!+"$Cm=!eL"</f>
        <v>#REF!</v>
      </c>
      <c r="HO22" t="e">
        <f>#REF!+"$Cm=!eM"</f>
        <v>#REF!</v>
      </c>
      <c r="HP22" t="e">
        <f>#REF!+"$Cm=!eN"</f>
        <v>#REF!</v>
      </c>
      <c r="HQ22" t="e">
        <f>#REF!+"$Cm=!eO"</f>
        <v>#REF!</v>
      </c>
      <c r="HR22" t="e">
        <f>#REF!+"$Cm=!eP"</f>
        <v>#REF!</v>
      </c>
      <c r="HS22" t="e">
        <f>#REF!+"$Cm=!eQ"</f>
        <v>#REF!</v>
      </c>
      <c r="HT22" t="e">
        <f>#REF!+"$Cm=!eR"</f>
        <v>#REF!</v>
      </c>
      <c r="HU22" t="e">
        <f>#REF!+"$Cm=!eS"</f>
        <v>#REF!</v>
      </c>
      <c r="HV22" t="e">
        <f>#REF!+"$Cm=!eT"</f>
        <v>#REF!</v>
      </c>
      <c r="HW22" t="e">
        <f>#REF!+"$Cm=!eU"</f>
        <v>#REF!</v>
      </c>
      <c r="HX22" t="e">
        <f>#REF!+"$Cm=!eV"</f>
        <v>#REF!</v>
      </c>
      <c r="HY22" t="e">
        <f>#REF!+"$Cm=!eW"</f>
        <v>#REF!</v>
      </c>
      <c r="HZ22" t="e">
        <f>#REF!+"$Cm=!eX"</f>
        <v>#REF!</v>
      </c>
      <c r="IA22" t="e">
        <f>#REF!+"$Cm=!eY"</f>
        <v>#REF!</v>
      </c>
      <c r="IB22" t="e">
        <f>#REF!+"$Cm=!eZ"</f>
        <v>#REF!</v>
      </c>
      <c r="IC22" t="e">
        <f>#REF!+"$Cm=!e["</f>
        <v>#REF!</v>
      </c>
      <c r="ID22" t="e">
        <f>#REF!+"$Cm=!e\"</f>
        <v>#REF!</v>
      </c>
      <c r="IE22" t="e">
        <f>#REF!+"$Cm=!e]"</f>
        <v>#REF!</v>
      </c>
      <c r="IF22" t="e">
        <f>#REF!+"$Cm=!e^"</f>
        <v>#REF!</v>
      </c>
      <c r="IG22" t="e">
        <f>#REF!+"$Cm=!e_"</f>
        <v>#REF!</v>
      </c>
      <c r="IH22" t="e">
        <f>#REF!+"$Cm=!e`"</f>
        <v>#REF!</v>
      </c>
      <c r="II22" t="e">
        <f>#REF!+"$Cm=!ea"</f>
        <v>#REF!</v>
      </c>
      <c r="IJ22" t="e">
        <f>#REF!+"$Cm=!eb"</f>
        <v>#REF!</v>
      </c>
      <c r="IK22" t="e">
        <f>#REF!+"$Cm=!ec"</f>
        <v>#REF!</v>
      </c>
      <c r="IL22" t="e">
        <f>#REF!+"$Cm=!ed"</f>
        <v>#REF!</v>
      </c>
      <c r="IM22" t="e">
        <f>#REF!+"$Cm=!ee"</f>
        <v>#REF!</v>
      </c>
      <c r="IN22" t="e">
        <f>#REF!+"$Cm=!ef"</f>
        <v>#REF!</v>
      </c>
      <c r="IO22" t="e">
        <f>#REF!+"$Cm=!eg"</f>
        <v>#REF!</v>
      </c>
      <c r="IP22" t="e">
        <f>#REF!+"$Cm=!eh"</f>
        <v>#REF!</v>
      </c>
      <c r="IQ22" t="e">
        <f>#REF!+"$Cm=!ei"</f>
        <v>#REF!</v>
      </c>
      <c r="IR22" t="e">
        <f>#REF!+"$Cm=!ej"</f>
        <v>#REF!</v>
      </c>
      <c r="IS22" t="e">
        <f>#REF!+"$Cm=!ek"</f>
        <v>#REF!</v>
      </c>
      <c r="IT22" t="e">
        <f>#REF!+"$Cm=!el"</f>
        <v>#REF!</v>
      </c>
      <c r="IU22" t="e">
        <f>#REF!+"$Cm=!em"</f>
        <v>#REF!</v>
      </c>
      <c r="IV22" t="e">
        <f>#REF!+"$Cm=!en"</f>
        <v>#REF!</v>
      </c>
    </row>
    <row r="23" spans="6:256">
      <c r="F23" t="e">
        <f>#REF!+"$Cm=!eo"</f>
        <v>#REF!</v>
      </c>
      <c r="G23" t="e">
        <f>#REF!+"$Cm=!ep"</f>
        <v>#REF!</v>
      </c>
      <c r="H23" t="e">
        <f>#REF!+"$Cm=!eq"</f>
        <v>#REF!</v>
      </c>
      <c r="I23" t="e">
        <f>#REF!+"$Cm=!er"</f>
        <v>#REF!</v>
      </c>
      <c r="J23" t="e">
        <f>#REF!+"$Cm=!es"</f>
        <v>#REF!</v>
      </c>
      <c r="K23" t="e">
        <f>#REF!+"$Cm=!et"</f>
        <v>#REF!</v>
      </c>
      <c r="L23" t="e">
        <f>#REF!+"$Cm=!eu"</f>
        <v>#REF!</v>
      </c>
      <c r="M23" t="e">
        <f>#REF!+"$Cm=!ev"</f>
        <v>#REF!</v>
      </c>
      <c r="N23" t="e">
        <f>#REF!+"$Cm=!ew"</f>
        <v>#REF!</v>
      </c>
      <c r="O23" t="e">
        <f>#REF!+"$Cm=!ex"</f>
        <v>#REF!</v>
      </c>
      <c r="P23" t="e">
        <f>#REF!+"$Cm=!ey"</f>
        <v>#REF!</v>
      </c>
      <c r="Q23" t="e">
        <f>#REF!+"$Cm=!ez"</f>
        <v>#REF!</v>
      </c>
      <c r="R23" t="e">
        <f>#REF!+"$Cm=!e{"</f>
        <v>#REF!</v>
      </c>
      <c r="S23" t="e">
        <f>#REF!+"$Cm=!e|"</f>
        <v>#REF!</v>
      </c>
      <c r="T23" t="e">
        <f>#REF!+"$Cm=!e}"</f>
        <v>#REF!</v>
      </c>
      <c r="U23" t="e">
        <f>#REF!+"$Cm=!e~"</f>
        <v>#REF!</v>
      </c>
      <c r="V23" t="e">
        <f>#REF!+"$Cm=!f#"</f>
        <v>#REF!</v>
      </c>
      <c r="W23" t="e">
        <f>#REF!+"$Cm=!f$"</f>
        <v>#REF!</v>
      </c>
      <c r="X23" t="e">
        <f>#REF!+"$Cm=!f%"</f>
        <v>#REF!</v>
      </c>
      <c r="Y23" t="e">
        <f>#REF!+"$Cm=!f&amp;"</f>
        <v>#REF!</v>
      </c>
      <c r="Z23" t="e">
        <f>#REF!+"$Cm=!f'"</f>
        <v>#REF!</v>
      </c>
      <c r="AA23" t="e">
        <f>#REF!+"$Cm=!f("</f>
        <v>#REF!</v>
      </c>
      <c r="AB23" t="e">
        <f>#REF!+"$Cm=!f)"</f>
        <v>#REF!</v>
      </c>
      <c r="AC23" t="e">
        <f>#REF!+"$Cm=!f."</f>
        <v>#REF!</v>
      </c>
      <c r="AD23" t="e">
        <f>#REF!+"$Cm=!f/"</f>
        <v>#REF!</v>
      </c>
      <c r="AE23" t="e">
        <f>#REF!+"$Cm=!f0"</f>
        <v>#REF!</v>
      </c>
      <c r="AF23" t="e">
        <f>#REF!+"$Cm=!f1"</f>
        <v>#REF!</v>
      </c>
      <c r="AG23" t="e">
        <f>#REF!+"$Cm=!f2"</f>
        <v>#REF!</v>
      </c>
      <c r="AH23" t="e">
        <f>#REF!+"$Cm=!f3"</f>
        <v>#REF!</v>
      </c>
      <c r="AI23" t="e">
        <f>#REF!+"$Cm=!f4"</f>
        <v>#REF!</v>
      </c>
      <c r="AJ23" t="e">
        <f>#REF!+"$Cm=!f5"</f>
        <v>#REF!</v>
      </c>
      <c r="AK23" t="e">
        <f>#REF!+"$Cm=!f6"</f>
        <v>#REF!</v>
      </c>
      <c r="AL23" t="e">
        <f>#REF!+"$Cm=!f7"</f>
        <v>#REF!</v>
      </c>
      <c r="AM23" t="e">
        <f>#REF!+"$Cm=!f8"</f>
        <v>#REF!</v>
      </c>
      <c r="AN23" t="e">
        <f>#REF!+"$Cm=!f9"</f>
        <v>#REF!</v>
      </c>
      <c r="AO23" t="e">
        <f>#REF!+"$Cm=!f:"</f>
        <v>#REF!</v>
      </c>
      <c r="AP23" t="e">
        <f>#REF!+"$Cm=!f;"</f>
        <v>#REF!</v>
      </c>
      <c r="AQ23" t="e">
        <f>#REF!+"$Cm=!f&lt;"</f>
        <v>#REF!</v>
      </c>
      <c r="AR23" t="e">
        <f>#REF!+"$Cm=!f="</f>
        <v>#REF!</v>
      </c>
      <c r="AS23" t="e">
        <f>#REF!+"$Cm=!f&gt;"</f>
        <v>#REF!</v>
      </c>
      <c r="AT23" t="e">
        <f>#REF!+"$Cm=!f?"</f>
        <v>#REF!</v>
      </c>
      <c r="AU23" t="e">
        <f>#REF!+"$Cm=!f@"</f>
        <v>#REF!</v>
      </c>
      <c r="AV23" t="e">
        <f>#REF!+"$Cm=!fA"</f>
        <v>#REF!</v>
      </c>
      <c r="AW23" t="e">
        <f>#REF!+"$Cm=!fB"</f>
        <v>#REF!</v>
      </c>
      <c r="AX23" t="e">
        <f>#REF!+"$Cm=!fC"</f>
        <v>#REF!</v>
      </c>
      <c r="AY23" t="e">
        <f>#REF!+"$Cm=!fD"</f>
        <v>#REF!</v>
      </c>
      <c r="AZ23" t="e">
        <f>#REF!+"$Cm=!fE"</f>
        <v>#REF!</v>
      </c>
      <c r="BA23" t="e">
        <f>#REF!+"$Cm=!fF"</f>
        <v>#REF!</v>
      </c>
      <c r="BB23" t="e">
        <f>#REF!+"$Cm=!fG"</f>
        <v>#REF!</v>
      </c>
      <c r="BC23" t="e">
        <f>#REF!+"$Cm=!fH"</f>
        <v>#REF!</v>
      </c>
      <c r="BD23" t="e">
        <f>#REF!+"$Cm=!fI"</f>
        <v>#REF!</v>
      </c>
      <c r="BE23" t="e">
        <f>#REF!+"$Cm=!fJ"</f>
        <v>#REF!</v>
      </c>
      <c r="BF23" t="e">
        <f>#REF!+"$Cm=!fK"</f>
        <v>#REF!</v>
      </c>
      <c r="BG23" t="e">
        <f>#REF!+"$Cm=!fL"</f>
        <v>#REF!</v>
      </c>
      <c r="BH23" t="e">
        <f>#REF!+"$Cm=!fM"</f>
        <v>#REF!</v>
      </c>
      <c r="BI23" t="e">
        <f>#REF!+"$Cm=!fN"</f>
        <v>#REF!</v>
      </c>
      <c r="BJ23" t="e">
        <f>#REF!+"$Cm=!fO"</f>
        <v>#REF!</v>
      </c>
      <c r="BK23" t="e">
        <f>#REF!+"$Cm=!fP"</f>
        <v>#REF!</v>
      </c>
      <c r="BL23" t="e">
        <f>#REF!+"$Cm=!fQ"</f>
        <v>#REF!</v>
      </c>
      <c r="BM23" t="e">
        <f>#REF!+"$Cm=!fR"</f>
        <v>#REF!</v>
      </c>
      <c r="BN23" t="e">
        <f>#REF!+"$Cm=!fS"</f>
        <v>#REF!</v>
      </c>
      <c r="BO23" t="e">
        <f>#REF!+"$Cm=!fT"</f>
        <v>#REF!</v>
      </c>
      <c r="BP23" t="e">
        <f>#REF!+"$Cm=!fU"</f>
        <v>#REF!</v>
      </c>
      <c r="BQ23" t="e">
        <f>#REF!+"$Cm=!fV"</f>
        <v>#REF!</v>
      </c>
      <c r="BR23" t="e">
        <f>#REF!+"$Cm=!fW"</f>
        <v>#REF!</v>
      </c>
      <c r="BS23" t="e">
        <f>#REF!+"$Cm=!fX"</f>
        <v>#REF!</v>
      </c>
      <c r="BT23" t="e">
        <f>#REF!+"$Cm=!fY"</f>
        <v>#REF!</v>
      </c>
      <c r="BU23" t="e">
        <f>#REF!+"$Cm=!fZ"</f>
        <v>#REF!</v>
      </c>
      <c r="BV23" t="e">
        <f>#REF!+"$Cm=!f["</f>
        <v>#REF!</v>
      </c>
      <c r="BW23" t="e">
        <f>#REF!+"$Cm=!f\"</f>
        <v>#REF!</v>
      </c>
      <c r="BX23" t="e">
        <f>#REF!+"$Cm=!f]"</f>
        <v>#REF!</v>
      </c>
      <c r="BY23" t="e">
        <f>#REF!+"$Cm=!f^"</f>
        <v>#REF!</v>
      </c>
      <c r="BZ23" t="e">
        <f>#REF!+"$Cm=!f_"</f>
        <v>#REF!</v>
      </c>
      <c r="CA23" t="e">
        <f>#REF!+"$Cm=!f`"</f>
        <v>#REF!</v>
      </c>
      <c r="CB23" t="e">
        <f>#REF!+"$Cm=!fa"</f>
        <v>#REF!</v>
      </c>
      <c r="CC23" t="e">
        <f>#REF!+"$Cm=!fb"</f>
        <v>#REF!</v>
      </c>
      <c r="CD23" t="e">
        <f>#REF!+"$Cm=!fc"</f>
        <v>#REF!</v>
      </c>
      <c r="CE23" t="e">
        <f>#REF!+"$Cm=!fd"</f>
        <v>#REF!</v>
      </c>
      <c r="CF23" t="e">
        <f>#REF!+"$Cm=!fe"</f>
        <v>#REF!</v>
      </c>
      <c r="CG23" t="e">
        <f>#REF!+"$Cm=!ff"</f>
        <v>#REF!</v>
      </c>
      <c r="CH23" t="e">
        <f>#REF!+"$Cm=!fg"</f>
        <v>#REF!</v>
      </c>
      <c r="CI23" t="e">
        <f>#REF!+"$Cm=!fh"</f>
        <v>#REF!</v>
      </c>
      <c r="CJ23" t="e">
        <f>#REF!+"$Cm=!fi"</f>
        <v>#REF!</v>
      </c>
      <c r="CK23" t="e">
        <f>#REF!+"$Cm=!fj"</f>
        <v>#REF!</v>
      </c>
      <c r="CL23" t="e">
        <f>#REF!+"$Cm=!fk"</f>
        <v>#REF!</v>
      </c>
      <c r="CM23" t="e">
        <f>#REF!+"$Cm=!fl"</f>
        <v>#REF!</v>
      </c>
      <c r="CN23" t="e">
        <f>#REF!+"$Cm=!fm"</f>
        <v>#REF!</v>
      </c>
      <c r="CO23" t="e">
        <f>#REF!+"$Cm=!fn"</f>
        <v>#REF!</v>
      </c>
      <c r="CP23" t="e">
        <f>#REF!+"$Cm=!fo"</f>
        <v>#REF!</v>
      </c>
      <c r="CQ23" t="e">
        <f>#REF!+"$Cm=!fp"</f>
        <v>#REF!</v>
      </c>
      <c r="CR23" t="e">
        <f>#REF!+"$Cm=!fq"</f>
        <v>#REF!</v>
      </c>
      <c r="CS23" t="e">
        <f>#REF!+"$Cm=!fr"</f>
        <v>#REF!</v>
      </c>
      <c r="CT23" t="e">
        <f>#REF!+"$Cm=!fs"</f>
        <v>#REF!</v>
      </c>
      <c r="CU23" t="e">
        <f>#REF!+"$Cm=!ft"</f>
        <v>#REF!</v>
      </c>
      <c r="CV23" t="e">
        <f>#REF!+"$Cm=!fu"</f>
        <v>#REF!</v>
      </c>
      <c r="CW23" t="e">
        <f>#REF!+"$Cm=!fv"</f>
        <v>#REF!</v>
      </c>
      <c r="CX23" t="e">
        <f>#REF!+"$Cm=!fw"</f>
        <v>#REF!</v>
      </c>
      <c r="CY23" t="e">
        <f>#REF!+"$Cm=!fx"</f>
        <v>#REF!</v>
      </c>
      <c r="CZ23" t="e">
        <f>#REF!+"$Cm=!fy"</f>
        <v>#REF!</v>
      </c>
      <c r="DA23" t="e">
        <f>#REF!+"$Cm=!fz"</f>
        <v>#REF!</v>
      </c>
      <c r="DB23" t="e">
        <f>#REF!+"$Cm=!f{"</f>
        <v>#REF!</v>
      </c>
      <c r="DC23" t="e">
        <f>#REF!+"$Cm=!f|"</f>
        <v>#REF!</v>
      </c>
      <c r="DD23" t="e">
        <f>#REF!+"$Cm=!f}"</f>
        <v>#REF!</v>
      </c>
      <c r="DE23" t="e">
        <f>#REF!+"$Cm=!f~"</f>
        <v>#REF!</v>
      </c>
      <c r="DF23" t="e">
        <f>#REF!+"$Cm=!g#"</f>
        <v>#REF!</v>
      </c>
      <c r="DG23" t="e">
        <f>#REF!+"$Cm=!g$"</f>
        <v>#REF!</v>
      </c>
      <c r="DH23" t="e">
        <f>#REF!+"$Cm=!g%"</f>
        <v>#REF!</v>
      </c>
      <c r="DI23" t="e">
        <f>#REF!+"$Cm=!g&amp;"</f>
        <v>#REF!</v>
      </c>
      <c r="DJ23" t="e">
        <f>#REF!+"$Cm=!g'"</f>
        <v>#REF!</v>
      </c>
      <c r="DK23" t="e">
        <f>#REF!+"$Cm=!g("</f>
        <v>#REF!</v>
      </c>
      <c r="DL23" t="e">
        <f>#REF!+"$Cm=!g)"</f>
        <v>#REF!</v>
      </c>
      <c r="DM23" t="e">
        <f>#REF!+"$Cm=!g."</f>
        <v>#REF!</v>
      </c>
      <c r="DN23" t="e">
        <f>#REF!+"$Cm=!g/"</f>
        <v>#REF!</v>
      </c>
      <c r="DO23" t="e">
        <f>#REF!+"$Cm=!g0"</f>
        <v>#REF!</v>
      </c>
      <c r="DP23" t="e">
        <f>#REF!+"$Cm=!g1"</f>
        <v>#REF!</v>
      </c>
      <c r="DQ23" t="e">
        <f>#REF!+"$Cm=!g2"</f>
        <v>#REF!</v>
      </c>
      <c r="DR23" t="e">
        <f>#REF!+"$Cm=!g3"</f>
        <v>#REF!</v>
      </c>
      <c r="DS23" t="e">
        <f>#REF!+"$Cm=!g4"</f>
        <v>#REF!</v>
      </c>
      <c r="DT23" t="e">
        <f>#REF!+"$Cm=!g5"</f>
        <v>#REF!</v>
      </c>
      <c r="DU23" t="e">
        <f>#REF!+"$Cm=!g6"</f>
        <v>#REF!</v>
      </c>
      <c r="DV23" t="e">
        <f>#REF!+"$Cm=!g7"</f>
        <v>#REF!</v>
      </c>
      <c r="DW23" t="e">
        <f>#REF!+"$Cm=!g8"</f>
        <v>#REF!</v>
      </c>
      <c r="DX23" t="e">
        <f>#REF!+"$Cm=!g9"</f>
        <v>#REF!</v>
      </c>
      <c r="DY23" t="e">
        <f>#REF!+"$Cm=!g:"</f>
        <v>#REF!</v>
      </c>
      <c r="DZ23" t="e">
        <f>#REF!+"$Cm=!g;"</f>
        <v>#REF!</v>
      </c>
      <c r="EA23" t="e">
        <f>#REF!+"$Cm=!g&lt;"</f>
        <v>#REF!</v>
      </c>
      <c r="EB23" t="e">
        <f>#REF!+"$Cm=!g="</f>
        <v>#REF!</v>
      </c>
      <c r="EC23" t="e">
        <f>#REF!+"$Cm=!g&gt;"</f>
        <v>#REF!</v>
      </c>
      <c r="ED23" t="e">
        <f>#REF!+"$Cm=!g?"</f>
        <v>#REF!</v>
      </c>
      <c r="EE23" t="e">
        <f>#REF!+"$Cm=!g@"</f>
        <v>#REF!</v>
      </c>
      <c r="EF23" t="e">
        <f>#REF!+"$Cm=!gA"</f>
        <v>#REF!</v>
      </c>
      <c r="EG23" t="e">
        <f>#REF!+"$Cm=!gB"</f>
        <v>#REF!</v>
      </c>
      <c r="EH23" t="e">
        <f>#REF!+"$Cm=!gC"</f>
        <v>#REF!</v>
      </c>
      <c r="EI23" t="e">
        <f>#REF!+"$Cm=!gD"</f>
        <v>#REF!</v>
      </c>
      <c r="EJ23" t="e">
        <f>#REF!+"$Cm=!gE"</f>
        <v>#REF!</v>
      </c>
      <c r="EK23" t="e">
        <f>#REF!+"$Cm=!gF"</f>
        <v>#REF!</v>
      </c>
      <c r="EL23" t="e">
        <f>#REF!+"$Cm=!gG"</f>
        <v>#REF!</v>
      </c>
      <c r="EM23" t="e">
        <f>#REF!+"$Cm=!gH"</f>
        <v>#REF!</v>
      </c>
      <c r="EN23" t="e">
        <f>#REF!+"$Cm=!gI"</f>
        <v>#REF!</v>
      </c>
      <c r="EO23" t="e">
        <f>#REF!+"$Cm=!gJ"</f>
        <v>#REF!</v>
      </c>
      <c r="EP23" t="e">
        <f>#REF!+"$Cm=!gK"</f>
        <v>#REF!</v>
      </c>
      <c r="EQ23" t="e">
        <f>#REF!+"$Cm=!gL"</f>
        <v>#REF!</v>
      </c>
      <c r="ER23" t="e">
        <f>#REF!+"$Cm=!gM"</f>
        <v>#REF!</v>
      </c>
      <c r="ES23" t="e">
        <f>#REF!+"$Cm=!gN"</f>
        <v>#REF!</v>
      </c>
      <c r="ET23" t="e">
        <f>#REF!+"$Cm=!gO"</f>
        <v>#REF!</v>
      </c>
      <c r="EU23" t="e">
        <f>#REF!+"$Cm=!gP"</f>
        <v>#REF!</v>
      </c>
      <c r="EV23" t="e">
        <f>#REF!+"$Cm=!gQ"</f>
        <v>#REF!</v>
      </c>
      <c r="EW23" t="e">
        <f>#REF!+"$Cm=!gR"</f>
        <v>#REF!</v>
      </c>
      <c r="EX23" t="e">
        <f>#REF!+"$Cm=!gS"</f>
        <v>#REF!</v>
      </c>
      <c r="EY23" t="e">
        <f>#REF!+"$Cm=!gT"</f>
        <v>#REF!</v>
      </c>
      <c r="EZ23" t="e">
        <f>#REF!+"$Cm=!gU"</f>
        <v>#REF!</v>
      </c>
      <c r="FA23" t="e">
        <f>#REF!+"$Cm=!gV"</f>
        <v>#REF!</v>
      </c>
      <c r="FB23" t="e">
        <f>#REF!+"$Cm=!gW"</f>
        <v>#REF!</v>
      </c>
      <c r="FC23" t="e">
        <f>#REF!+"$Cm=!gX"</f>
        <v>#REF!</v>
      </c>
      <c r="FD23" t="e">
        <f>#REF!+"$Cm=!gY"</f>
        <v>#REF!</v>
      </c>
      <c r="FE23" t="e">
        <f>#REF!+"$Cm=!gZ"</f>
        <v>#REF!</v>
      </c>
      <c r="FF23" t="e">
        <f>#REF!+"$Cm=!g["</f>
        <v>#REF!</v>
      </c>
      <c r="FG23" t="e">
        <f>#REF!+"$Cm=!g\"</f>
        <v>#REF!</v>
      </c>
      <c r="FH23" t="e">
        <f>#REF!+"$Cm=!g]"</f>
        <v>#REF!</v>
      </c>
      <c r="FI23" t="e">
        <f>#REF!+"$Cm=!g^"</f>
        <v>#REF!</v>
      </c>
      <c r="FJ23" t="e">
        <f>#REF!+"$Cm=!g_"</f>
        <v>#REF!</v>
      </c>
      <c r="FK23" t="e">
        <f>#REF!+"$Cm=!g`"</f>
        <v>#REF!</v>
      </c>
      <c r="FL23" t="e">
        <f>#REF!+"$Cm=!ga"</f>
        <v>#REF!</v>
      </c>
      <c r="FM23" t="e">
        <f>#REF!+"$Cm=!gb"</f>
        <v>#REF!</v>
      </c>
      <c r="FN23" t="e">
        <f>#REF!+"$Cm=!gc"</f>
        <v>#REF!</v>
      </c>
      <c r="FO23" t="e">
        <f>#REF!+"$Cm=!gd"</f>
        <v>#REF!</v>
      </c>
      <c r="FP23" t="e">
        <f>#REF!+"$Cm=!ge"</f>
        <v>#REF!</v>
      </c>
      <c r="FQ23" t="e">
        <f>#REF!+"$Cm=!gf"</f>
        <v>#REF!</v>
      </c>
      <c r="FR23" t="e">
        <f>#REF!+"$Cm=!gg"</f>
        <v>#REF!</v>
      </c>
      <c r="FS23" t="e">
        <f>#REF!+"$Cm=!gh"</f>
        <v>#REF!</v>
      </c>
      <c r="FT23" t="e">
        <f>#REF!+"$Cm=!gi"</f>
        <v>#REF!</v>
      </c>
      <c r="FU23" t="e">
        <f>#REF!+"$Cm=!gj"</f>
        <v>#REF!</v>
      </c>
      <c r="FV23" t="e">
        <f>#REF!+"$Cm=!gk"</f>
        <v>#REF!</v>
      </c>
      <c r="FW23" t="e">
        <f>#REF!+"$Cm=!gl"</f>
        <v>#REF!</v>
      </c>
      <c r="FX23" t="e">
        <f>#REF!+"$Cm=!gm"</f>
        <v>#REF!</v>
      </c>
      <c r="FY23" t="e">
        <f>#REF!+"$Cm=!gn"</f>
        <v>#REF!</v>
      </c>
      <c r="FZ23" t="e">
        <f>#REF!+"$Cm=!go"</f>
        <v>#REF!</v>
      </c>
      <c r="GA23" t="e">
        <f>#REF!+"$Cm=!gp"</f>
        <v>#REF!</v>
      </c>
      <c r="GB23" t="e">
        <f>#REF!+"$Cm=!gq"</f>
        <v>#REF!</v>
      </c>
      <c r="GC23" t="e">
        <f>#REF!+"$Cm=!gr"</f>
        <v>#REF!</v>
      </c>
      <c r="GD23" t="e">
        <f>#REF!+"$Cm=!gs"</f>
        <v>#REF!</v>
      </c>
      <c r="GE23" t="e">
        <f>#REF!+"$Cm=!gt"</f>
        <v>#REF!</v>
      </c>
      <c r="GF23" t="e">
        <f>#REF!+"$Cm=!gu"</f>
        <v>#REF!</v>
      </c>
      <c r="GG23" t="e">
        <f>#REF!+"$Cm=!gv"</f>
        <v>#REF!</v>
      </c>
      <c r="GH23" t="e">
        <f>#REF!+"$Cm=!gw"</f>
        <v>#REF!</v>
      </c>
      <c r="GI23" t="e">
        <f>#REF!+"$Cm=!gx"</f>
        <v>#REF!</v>
      </c>
      <c r="GJ23" t="e">
        <f>#REF!+"$Cm=!gy"</f>
        <v>#REF!</v>
      </c>
      <c r="GK23" t="e">
        <f>#REF!+"$Cm=!gz"</f>
        <v>#REF!</v>
      </c>
      <c r="GL23" t="e">
        <f>#REF!+"$Cm=!g{"</f>
        <v>#REF!</v>
      </c>
      <c r="GM23" t="e">
        <f>#REF!+"$Cm=!g|"</f>
        <v>#REF!</v>
      </c>
      <c r="GN23" t="e">
        <f>#REF!+"$Cm=!g}"</f>
        <v>#REF!</v>
      </c>
      <c r="GO23" t="e">
        <f>#REF!+"$Cm=!g~"</f>
        <v>#REF!</v>
      </c>
      <c r="GP23" t="e">
        <f>#REF!+"$Cm=!h#"</f>
        <v>#REF!</v>
      </c>
      <c r="GQ23" t="e">
        <f>#REF!+"$Cm=!h$"</f>
        <v>#REF!</v>
      </c>
      <c r="GR23" t="e">
        <f>#REF!+"$Cm=!h%"</f>
        <v>#REF!</v>
      </c>
      <c r="GS23" t="e">
        <f>#REF!+"$Cm=!h&amp;"</f>
        <v>#REF!</v>
      </c>
      <c r="GT23" t="e">
        <f>#REF!+"$Cm=!h'"</f>
        <v>#REF!</v>
      </c>
      <c r="GU23" t="e">
        <f>#REF!+"$Cm=!h("</f>
        <v>#REF!</v>
      </c>
      <c r="GV23" t="e">
        <f>#REF!+"$Cm=!h)"</f>
        <v>#REF!</v>
      </c>
      <c r="GW23" t="e">
        <f>#REF!+"$Cm=!h."</f>
        <v>#REF!</v>
      </c>
      <c r="GX23" t="e">
        <f>#REF!+"$Cm=!h/"</f>
        <v>#REF!</v>
      </c>
      <c r="GY23" t="e">
        <f>#REF!+"$Cm=!h0"</f>
        <v>#REF!</v>
      </c>
      <c r="GZ23" t="e">
        <f>#REF!+"$Cm=!h1"</f>
        <v>#REF!</v>
      </c>
      <c r="HA23" t="e">
        <f>#REF!+"$Cm=!h2"</f>
        <v>#REF!</v>
      </c>
      <c r="HB23" t="e">
        <f>#REF!+"$Cm=!h3"</f>
        <v>#REF!</v>
      </c>
      <c r="HC23" t="e">
        <f>#REF!+"$Cm=!h4"</f>
        <v>#REF!</v>
      </c>
      <c r="HD23" t="e">
        <f>#REF!+"$Cm=!h5"</f>
        <v>#REF!</v>
      </c>
      <c r="HE23" t="e">
        <f>#REF!+"$Cm=!h6"</f>
        <v>#REF!</v>
      </c>
      <c r="HF23" t="e">
        <f>#REF!+"$Cm=!h7"</f>
        <v>#REF!</v>
      </c>
      <c r="HG23" t="e">
        <f>#REF!+"$Cm=!h8"</f>
        <v>#REF!</v>
      </c>
      <c r="HH23" t="e">
        <f>#REF!+"$Cm=!h9"</f>
        <v>#REF!</v>
      </c>
      <c r="HI23" t="e">
        <f>#REF!+"$Cm=!h:"</f>
        <v>#REF!</v>
      </c>
      <c r="HJ23" t="e">
        <f>#REF!+"$Cm=!h;"</f>
        <v>#REF!</v>
      </c>
      <c r="HK23" t="e">
        <f>#REF!+"$Cm=!h&lt;"</f>
        <v>#REF!</v>
      </c>
      <c r="HL23" t="e">
        <f>#REF!+"$Cm=!h="</f>
        <v>#REF!</v>
      </c>
      <c r="HM23" t="e">
        <f>#REF!+"$Cm=!h&gt;"</f>
        <v>#REF!</v>
      </c>
      <c r="HN23" t="e">
        <f>#REF!+"$Cm=!h?"</f>
        <v>#REF!</v>
      </c>
      <c r="HO23" t="e">
        <f>#REF!+"$Cm=!h@"</f>
        <v>#REF!</v>
      </c>
      <c r="HP23" t="e">
        <f>#REF!+"$Cm=!hA"</f>
        <v>#REF!</v>
      </c>
      <c r="HQ23" t="e">
        <f>#REF!+"$Cm=!hB"</f>
        <v>#REF!</v>
      </c>
      <c r="HR23" t="e">
        <f>#REF!+"$Cm=!hC"</f>
        <v>#REF!</v>
      </c>
      <c r="HS23" t="e">
        <f>#REF!+"$Cm=!hD"</f>
        <v>#REF!</v>
      </c>
      <c r="HT23" t="e">
        <f>#REF!+"$Cm=!hE"</f>
        <v>#REF!</v>
      </c>
      <c r="HU23" t="e">
        <f>#REF!+"$Cm=!hF"</f>
        <v>#REF!</v>
      </c>
      <c r="HV23" t="e">
        <f>#REF!+"$Cm=!hG"</f>
        <v>#REF!</v>
      </c>
      <c r="HW23" t="e">
        <f>#REF!+"$Cm=!hH"</f>
        <v>#REF!</v>
      </c>
      <c r="HX23" t="e">
        <f>#REF!+"$Cm=!hI"</f>
        <v>#REF!</v>
      </c>
      <c r="HY23" t="e">
        <f>#REF!+"$Cm=!hJ"</f>
        <v>#REF!</v>
      </c>
      <c r="HZ23" t="e">
        <f>#REF!+"$Cm=!hK"</f>
        <v>#REF!</v>
      </c>
      <c r="IA23" t="e">
        <f>#REF!+"$Cm=!hL"</f>
        <v>#REF!</v>
      </c>
      <c r="IB23" t="e">
        <f>#REF!+"$Cm=!hM"</f>
        <v>#REF!</v>
      </c>
      <c r="IC23" t="e">
        <f>#REF!+"$Cm=!hN"</f>
        <v>#REF!</v>
      </c>
      <c r="ID23" t="e">
        <f>#REF!+"$Cm=!hO"</f>
        <v>#REF!</v>
      </c>
      <c r="IE23" t="e">
        <f>#REF!+"$Cm=!hP"</f>
        <v>#REF!</v>
      </c>
      <c r="IF23" t="e">
        <f>#REF!+"$Cm=!hQ"</f>
        <v>#REF!</v>
      </c>
      <c r="IG23" t="e">
        <f>#REF!+"$Cm=!hR"</f>
        <v>#REF!</v>
      </c>
      <c r="IH23" t="e">
        <f>#REF!+"$Cm=!hS"</f>
        <v>#REF!</v>
      </c>
      <c r="II23" t="e">
        <f>#REF!+"$Cm=!hT"</f>
        <v>#REF!</v>
      </c>
      <c r="IJ23" t="e">
        <f>#REF!+"$Cm=!hU"</f>
        <v>#REF!</v>
      </c>
      <c r="IK23" t="e">
        <f>#REF!+"$Cm=!hV"</f>
        <v>#REF!</v>
      </c>
      <c r="IL23" t="e">
        <f>#REF!+"$Cm=!hW"</f>
        <v>#REF!</v>
      </c>
      <c r="IM23" t="e">
        <f>#REF!+"$Cm=!hX"</f>
        <v>#REF!</v>
      </c>
      <c r="IN23" t="e">
        <f>#REF!+"$Cm=!hY"</f>
        <v>#REF!</v>
      </c>
      <c r="IO23" t="e">
        <f>#REF!+"$Cm=!hZ"</f>
        <v>#REF!</v>
      </c>
      <c r="IP23" t="e">
        <f>#REF!+"$Cm=!h["</f>
        <v>#REF!</v>
      </c>
      <c r="IQ23" t="e">
        <f>#REF!+"$Cm=!h\"</f>
        <v>#REF!</v>
      </c>
      <c r="IR23" t="e">
        <f>#REF!+"$Cm=!h]"</f>
        <v>#REF!</v>
      </c>
      <c r="IS23" t="e">
        <f>#REF!+"$Cm=!h^"</f>
        <v>#REF!</v>
      </c>
      <c r="IT23" t="e">
        <f>#REF!+"$Cm=!h_"</f>
        <v>#REF!</v>
      </c>
      <c r="IU23" t="e">
        <f>#REF!+"$Cm=!h`"</f>
        <v>#REF!</v>
      </c>
      <c r="IV23" t="e">
        <f>#REF!+"$Cm=!ha"</f>
        <v>#REF!</v>
      </c>
    </row>
    <row r="24" spans="6:256">
      <c r="F24" t="e">
        <f>#REF!+"$Cm=!hb"</f>
        <v>#REF!</v>
      </c>
      <c r="G24" t="e">
        <f>#REF!+"$Cm=!hc"</f>
        <v>#REF!</v>
      </c>
      <c r="H24" t="e">
        <f>#REF!+"$Cm=!hd"</f>
        <v>#REF!</v>
      </c>
      <c r="I24" t="e">
        <f>#REF!+"$Cm=!he"</f>
        <v>#REF!</v>
      </c>
      <c r="J24" t="e">
        <f>#REF!+"$Cm=!hf"</f>
        <v>#REF!</v>
      </c>
      <c r="K24" t="e">
        <f>#REF!+"$Cm=!hg"</f>
        <v>#REF!</v>
      </c>
      <c r="L24" t="e">
        <f>#REF!+"$Cm=!hh"</f>
        <v>#REF!</v>
      </c>
      <c r="M24" t="e">
        <f>#REF!+"$Cm=!hi"</f>
        <v>#REF!</v>
      </c>
      <c r="N24" t="e">
        <f>#REF!+"$Cm=!hj"</f>
        <v>#REF!</v>
      </c>
      <c r="O24" t="e">
        <f>#REF!+"$Cm=!hk"</f>
        <v>#REF!</v>
      </c>
      <c r="P24" t="e">
        <f>#REF!+"$Cm=!hl"</f>
        <v>#REF!</v>
      </c>
      <c r="Q24" t="e">
        <f>#REF!+"$Cm=!hm"</f>
        <v>#REF!</v>
      </c>
      <c r="R24" t="e">
        <f>#REF!+"$Cm=!hn"</f>
        <v>#REF!</v>
      </c>
      <c r="S24" t="e">
        <f>#REF!+"$Cm=!ho"</f>
        <v>#REF!</v>
      </c>
      <c r="T24" t="e">
        <f>#REF!+"$Cm=!hp"</f>
        <v>#REF!</v>
      </c>
      <c r="U24" t="e">
        <f>#REF!+"$Cm=!hq"</f>
        <v>#REF!</v>
      </c>
      <c r="V24" t="e">
        <f>#REF!+"$Cm=!hr"</f>
        <v>#REF!</v>
      </c>
      <c r="W24" t="e">
        <f>#REF!+"$Cm=!hs"</f>
        <v>#REF!</v>
      </c>
      <c r="X24" t="e">
        <f>#REF!+"$Cm=!ht"</f>
        <v>#REF!</v>
      </c>
      <c r="Y24" t="e">
        <f>#REF!+"$Cm=!hu"</f>
        <v>#REF!</v>
      </c>
      <c r="Z24" t="e">
        <f>#REF!+"$Cm=!hv"</f>
        <v>#REF!</v>
      </c>
      <c r="AA24" t="e">
        <f>#REF!+"$Cm=!hw"</f>
        <v>#REF!</v>
      </c>
      <c r="AB24" t="e">
        <f>#REF!+"$Cm=!hx"</f>
        <v>#REF!</v>
      </c>
      <c r="AC24" t="e">
        <f>#REF!+"$Cm=!hy"</f>
        <v>#REF!</v>
      </c>
      <c r="AD24" t="e">
        <f>#REF!+"$Cm=!hz"</f>
        <v>#REF!</v>
      </c>
      <c r="AE24" t="e">
        <f>#REF!+"$Cm=!h{"</f>
        <v>#REF!</v>
      </c>
      <c r="AF24" t="e">
        <f>#REF!+"$Cm=!h|"</f>
        <v>#REF!</v>
      </c>
      <c r="AG24" t="e">
        <f>#REF!+"$Cm=!h}"</f>
        <v>#REF!</v>
      </c>
      <c r="AH24" t="e">
        <f>#REF!+"$Cm=!h~"</f>
        <v>#REF!</v>
      </c>
      <c r="AI24" t="e">
        <f>#REF!+"$Cm=!i#"</f>
        <v>#REF!</v>
      </c>
      <c r="AJ24" t="e">
        <f>#REF!+"$Cm=!i$"</f>
        <v>#REF!</v>
      </c>
      <c r="AK24" t="e">
        <f>#REF!+"$Cm=!i%"</f>
        <v>#REF!</v>
      </c>
      <c r="AL24" t="e">
        <f>#REF!+"$Cm=!i&amp;"</f>
        <v>#REF!</v>
      </c>
      <c r="AM24" t="e">
        <f>#REF!+"$Cm=!i'"</f>
        <v>#REF!</v>
      </c>
      <c r="AN24" t="e">
        <f>#REF!+"$Cm=!i("</f>
        <v>#REF!</v>
      </c>
      <c r="AO24" t="e">
        <f>#REF!+"$Cm=!i)"</f>
        <v>#REF!</v>
      </c>
      <c r="AP24" t="e">
        <f>#REF!+"$Cm=!i."</f>
        <v>#REF!</v>
      </c>
      <c r="AQ24" t="e">
        <f>#REF!+"$Cm=!i/"</f>
        <v>#REF!</v>
      </c>
      <c r="AR24" t="e">
        <f>#REF!+"$Cm=!i0"</f>
        <v>#REF!</v>
      </c>
      <c r="AS24" t="e">
        <f>#REF!+"$Cm=!i1"</f>
        <v>#REF!</v>
      </c>
      <c r="AT24" t="e">
        <f>#REF!+"$Cm=!i2"</f>
        <v>#REF!</v>
      </c>
      <c r="AU24" t="e">
        <f>#REF!+"$Cm=!i3"</f>
        <v>#REF!</v>
      </c>
      <c r="AV24" t="e">
        <f>#REF!+"$Cm=!i4"</f>
        <v>#REF!</v>
      </c>
      <c r="AW24" t="e">
        <f>#REF!+"$Cm=!i5"</f>
        <v>#REF!</v>
      </c>
      <c r="AX24" t="e">
        <f>#REF!+"$Cm=!i6"</f>
        <v>#REF!</v>
      </c>
      <c r="AY24" t="e">
        <f>#REF!+"$Cm=!i7"</f>
        <v>#REF!</v>
      </c>
      <c r="AZ24" t="e">
        <f>#REF!+"$Cm=!i8"</f>
        <v>#REF!</v>
      </c>
      <c r="BA24" t="e">
        <f>#REF!+"$Cm=!i9"</f>
        <v>#REF!</v>
      </c>
      <c r="BB24" t="e">
        <f>#REF!+"$Cm=!i:"</f>
        <v>#REF!</v>
      </c>
      <c r="BC24" t="e">
        <f>#REF!+"$Cm=!i;"</f>
        <v>#REF!</v>
      </c>
      <c r="BD24" t="e">
        <f>#REF!+"$Cm=!i&lt;"</f>
        <v>#REF!</v>
      </c>
      <c r="BE24" t="e">
        <f>#REF!+"$Cm=!i="</f>
        <v>#REF!</v>
      </c>
      <c r="BF24" t="e">
        <f>#REF!+"$Cm=!i&gt;"</f>
        <v>#REF!</v>
      </c>
      <c r="BG24" t="e">
        <f>#REF!+"$Cm=!i?"</f>
        <v>#REF!</v>
      </c>
      <c r="BH24" t="e">
        <f>#REF!+"$Cm=!i@"</f>
        <v>#REF!</v>
      </c>
      <c r="BI24" t="e">
        <f>#REF!+"$Cm=!iA"</f>
        <v>#REF!</v>
      </c>
      <c r="BJ24" t="e">
        <f>#REF!+"$Cm=!iB"</f>
        <v>#REF!</v>
      </c>
      <c r="BK24" t="e">
        <f>#REF!+"$Cm=!iC"</f>
        <v>#REF!</v>
      </c>
      <c r="BL24" t="e">
        <f>#REF!+"$Cm=!iD"</f>
        <v>#REF!</v>
      </c>
      <c r="BM24" t="e">
        <f>#REF!+"$Cm=!iE"</f>
        <v>#REF!</v>
      </c>
      <c r="BN24" t="e">
        <f>#REF!+"$Cm=!iF"</f>
        <v>#REF!</v>
      </c>
      <c r="BO24" t="e">
        <f>#REF!+"$Cm=!iG"</f>
        <v>#REF!</v>
      </c>
      <c r="BP24" t="e">
        <f>#REF!+"$Cm=!iH"</f>
        <v>#REF!</v>
      </c>
      <c r="BQ24" t="e">
        <f>#REF!+"$Cm=!iI"</f>
        <v>#REF!</v>
      </c>
      <c r="BR24" t="e">
        <f>#REF!+"$Cm=!iJ"</f>
        <v>#REF!</v>
      </c>
      <c r="BS24" t="e">
        <f>#REF!+"$Cm=!iK"</f>
        <v>#REF!</v>
      </c>
      <c r="BT24" t="e">
        <f>#REF!+"$Cm=!iL"</f>
        <v>#REF!</v>
      </c>
      <c r="BU24" t="e">
        <f>#REF!+"$Cm=!iM"</f>
        <v>#REF!</v>
      </c>
      <c r="BV24" t="e">
        <f>#REF!+"$Cm=!iN"</f>
        <v>#REF!</v>
      </c>
      <c r="BW24" t="e">
        <f>#REF!+"$Cm=!iO"</f>
        <v>#REF!</v>
      </c>
      <c r="BX24" t="e">
        <f>#REF!+"$Cm=!iP"</f>
        <v>#REF!</v>
      </c>
      <c r="BY24" t="e">
        <f>#REF!+"$Cm=!iQ"</f>
        <v>#REF!</v>
      </c>
      <c r="BZ24" t="e">
        <f>#REF!+"$Cm=!iR"</f>
        <v>#REF!</v>
      </c>
      <c r="CA24" t="e">
        <f>#REF!+"$Cm=!iS"</f>
        <v>#REF!</v>
      </c>
      <c r="CB24" t="e">
        <f>#REF!+"$Cm=!iT"</f>
        <v>#REF!</v>
      </c>
      <c r="CC24" t="e">
        <f>#REF!+"$Cm=!iU"</f>
        <v>#REF!</v>
      </c>
      <c r="CD24" t="e">
        <f>#REF!+"$Cm=!iV"</f>
        <v>#REF!</v>
      </c>
      <c r="CE24" t="e">
        <f>#REF!+"$Cm=!iW"</f>
        <v>#REF!</v>
      </c>
      <c r="CF24" t="e">
        <f>#REF!+"$Cm=!iX"</f>
        <v>#REF!</v>
      </c>
      <c r="CG24" t="e">
        <f>#REF!+"$Cm=!iY"</f>
        <v>#REF!</v>
      </c>
      <c r="CH24" t="e">
        <f>#REF!+"$Cm=!iZ"</f>
        <v>#REF!</v>
      </c>
      <c r="CI24" t="e">
        <f>#REF!+"$Cm=!i["</f>
        <v>#REF!</v>
      </c>
      <c r="CJ24" t="e">
        <f>#REF!+"$Cm=!i\"</f>
        <v>#REF!</v>
      </c>
      <c r="CK24" t="e">
        <f>#REF!+"$Cm=!i]"</f>
        <v>#REF!</v>
      </c>
      <c r="CL24" t="e">
        <f>#REF!+"$Cm=!i^"</f>
        <v>#REF!</v>
      </c>
      <c r="CM24" t="e">
        <f>#REF!+"$Cm=!i_"</f>
        <v>#REF!</v>
      </c>
      <c r="CN24" t="e">
        <f>#REF!+"$Cm=!i`"</f>
        <v>#REF!</v>
      </c>
      <c r="CO24" t="e">
        <f>#REF!+"$Cm=!ia"</f>
        <v>#REF!</v>
      </c>
      <c r="CP24" t="e">
        <f>#REF!+"$Cm=!ib"</f>
        <v>#REF!</v>
      </c>
      <c r="CQ24" t="e">
        <f>#REF!+"$Cm=!ic"</f>
        <v>#REF!</v>
      </c>
      <c r="CR24" t="e">
        <f>#REF!+"$Cm=!id"</f>
        <v>#REF!</v>
      </c>
      <c r="CS24" t="e">
        <f>#REF!+"$Cm=!ie"</f>
        <v>#REF!</v>
      </c>
      <c r="CT24" t="e">
        <f>#REF!+"$Cm=!if"</f>
        <v>#REF!</v>
      </c>
      <c r="CU24" t="e">
        <f>#REF!+"$Cm=!ig"</f>
        <v>#REF!</v>
      </c>
      <c r="CV24" t="e">
        <f>#REF!+"$Cm=!ih"</f>
        <v>#REF!</v>
      </c>
      <c r="CW24" t="e">
        <f>#REF!+"$Cm=!ii"</f>
        <v>#REF!</v>
      </c>
      <c r="CX24" t="e">
        <f>#REF!+"$Cm=!ij"</f>
        <v>#REF!</v>
      </c>
      <c r="CY24" t="e">
        <f>#REF!+"$Cm=!ik"</f>
        <v>#REF!</v>
      </c>
      <c r="CZ24" t="e">
        <f>#REF!+"$Cm=!il"</f>
        <v>#REF!</v>
      </c>
      <c r="DA24" t="e">
        <f>#REF!+"$Cm=!im"</f>
        <v>#REF!</v>
      </c>
      <c r="DB24" t="e">
        <f>#REF!+"$Cm=!in"</f>
        <v>#REF!</v>
      </c>
      <c r="DC24" t="e">
        <f>#REF!+"$Cm=!io"</f>
        <v>#REF!</v>
      </c>
      <c r="DD24" t="e">
        <f>#REF!+"$Cm=!ip"</f>
        <v>#REF!</v>
      </c>
      <c r="DE24" t="e">
        <f>#REF!+"$Cm=!iq"</f>
        <v>#REF!</v>
      </c>
      <c r="DF24" t="e">
        <f>#REF!+"$Cm=!ir"</f>
        <v>#REF!</v>
      </c>
      <c r="DG24" t="e">
        <f>#REF!+"$Cm=!is"</f>
        <v>#REF!</v>
      </c>
      <c r="DH24" t="e">
        <f>#REF!+"$Cm=!it"</f>
        <v>#REF!</v>
      </c>
      <c r="DI24" t="e">
        <f>#REF!+"$Cm=!iu"</f>
        <v>#REF!</v>
      </c>
      <c r="DJ24" t="e">
        <f>#REF!+"$Cm=!iv"</f>
        <v>#REF!</v>
      </c>
      <c r="DK24" t="e">
        <f>#REF!+"$Cm=!iw"</f>
        <v>#REF!</v>
      </c>
      <c r="DL24" t="e">
        <f>#REF!+"$Cm=!ix"</f>
        <v>#REF!</v>
      </c>
      <c r="DM24" t="e">
        <f>#REF!+"$Cm=!iy"</f>
        <v>#REF!</v>
      </c>
      <c r="DN24" t="e">
        <f>#REF!+"$Cm=!iz"</f>
        <v>#REF!</v>
      </c>
      <c r="DO24" t="e">
        <f>#REF!+"$Cm=!i{"</f>
        <v>#REF!</v>
      </c>
      <c r="DP24" t="e">
        <f>#REF!+"$Cm=!i|"</f>
        <v>#REF!</v>
      </c>
      <c r="DQ24" t="e">
        <f>#REF!+"$Cm=!i}"</f>
        <v>#REF!</v>
      </c>
      <c r="DR24" t="e">
        <f>#REF!+"$Cm=!i~"</f>
        <v>#REF!</v>
      </c>
      <c r="DS24" t="e">
        <f>#REF!+"$Cm=!j#"</f>
        <v>#REF!</v>
      </c>
      <c r="DT24" t="e">
        <f>#REF!+"$Cm=!j$"</f>
        <v>#REF!</v>
      </c>
      <c r="DU24" t="e">
        <f>#REF!+"$Cm=!j%"</f>
        <v>#REF!</v>
      </c>
      <c r="DV24" t="e">
        <f>#REF!+"$Cm=!j&amp;"</f>
        <v>#REF!</v>
      </c>
      <c r="DW24" t="e">
        <f>#REF!+"$Cm=!j'"</f>
        <v>#REF!</v>
      </c>
      <c r="DX24" t="e">
        <f>#REF!+"$Cm=!j("</f>
        <v>#REF!</v>
      </c>
      <c r="DY24" t="e">
        <f>#REF!+"$Cm=!j)"</f>
        <v>#REF!</v>
      </c>
      <c r="DZ24" t="e">
        <f>#REF!+"$Cm=!j."</f>
        <v>#REF!</v>
      </c>
      <c r="EA24" t="e">
        <f>#REF!+"$Cm=!j/"</f>
        <v>#REF!</v>
      </c>
      <c r="EB24" t="e">
        <f>#REF!+"$Cm=!j0"</f>
        <v>#REF!</v>
      </c>
      <c r="EC24" t="e">
        <f>#REF!+"$Cm=!j1"</f>
        <v>#REF!</v>
      </c>
      <c r="ED24" t="e">
        <f>#REF!+"$Cm=!j2"</f>
        <v>#REF!</v>
      </c>
      <c r="EE24" t="e">
        <f>#REF!+"$Cm=!j3"</f>
        <v>#REF!</v>
      </c>
      <c r="EF24" t="e">
        <f>#REF!+"$Cm=!j4"</f>
        <v>#REF!</v>
      </c>
      <c r="EG24" t="e">
        <f>#REF!+"$Cm=!j5"</f>
        <v>#REF!</v>
      </c>
      <c r="EH24" t="e">
        <f>#REF!+"$Cm=!j6"</f>
        <v>#REF!</v>
      </c>
      <c r="EI24" t="e">
        <f>#REF!+"$Cm=!j7"</f>
        <v>#REF!</v>
      </c>
      <c r="EJ24" t="e">
        <f>#REF!+"$Cm=!j8"</f>
        <v>#REF!</v>
      </c>
      <c r="EK24" t="e">
        <f>#REF!+"$Cm=!j9"</f>
        <v>#REF!</v>
      </c>
      <c r="EL24" t="e">
        <f>#REF!+"$Cm=!j:"</f>
        <v>#REF!</v>
      </c>
      <c r="EM24" t="e">
        <f>#REF!+"$Cm=!j;"</f>
        <v>#REF!</v>
      </c>
      <c r="EN24" t="e">
        <f>#REF!+"$Cm=!j&lt;"</f>
        <v>#REF!</v>
      </c>
      <c r="EO24" t="e">
        <f>#REF!+"$Cm=!j="</f>
        <v>#REF!</v>
      </c>
      <c r="EP24" t="e">
        <f>#REF!+"$Cm=!j&gt;"</f>
        <v>#REF!</v>
      </c>
      <c r="EQ24" t="e">
        <f>#REF!+"$Cm=!j?"</f>
        <v>#REF!</v>
      </c>
      <c r="ER24" t="e">
        <f>#REF!+"$Cm=!j@"</f>
        <v>#REF!</v>
      </c>
      <c r="ES24" t="e">
        <f>#REF!+"$Cm=!jA"</f>
        <v>#REF!</v>
      </c>
      <c r="ET24" t="e">
        <f>#REF!+"$Cm=!jB"</f>
        <v>#REF!</v>
      </c>
      <c r="EU24" t="e">
        <f>#REF!+"$Cm=!jC"</f>
        <v>#REF!</v>
      </c>
      <c r="EV24" t="e">
        <f>#REF!+"$Cm=!jD"</f>
        <v>#REF!</v>
      </c>
      <c r="EW24" t="e">
        <f>#REF!+"$Cm=!jE"</f>
        <v>#REF!</v>
      </c>
      <c r="EX24" t="e">
        <f>#REF!+"$Cm=!jF"</f>
        <v>#REF!</v>
      </c>
      <c r="EY24" t="e">
        <f>#REF!+"$Cm=!jG"</f>
        <v>#REF!</v>
      </c>
      <c r="EZ24" t="e">
        <f>#REF!+"$Cm=!jH"</f>
        <v>#REF!</v>
      </c>
      <c r="FA24" t="e">
        <f>#REF!+"$Cm=!jI"</f>
        <v>#REF!</v>
      </c>
      <c r="FB24" t="e">
        <f>#REF!+"$Cm=!jJ"</f>
        <v>#REF!</v>
      </c>
      <c r="FC24" t="e">
        <f>#REF!+"$Cm=!jK"</f>
        <v>#REF!</v>
      </c>
      <c r="FD24" t="e">
        <f>#REF!+"$Cm=!jL"</f>
        <v>#REF!</v>
      </c>
      <c r="FE24" t="e">
        <f>#REF!+"$Cm=!jM"</f>
        <v>#REF!</v>
      </c>
      <c r="FF24" t="e">
        <f>#REF!+"$Cm=!jN"</f>
        <v>#REF!</v>
      </c>
      <c r="FG24" t="e">
        <f>#REF!+"$Cm=!jO"</f>
        <v>#REF!</v>
      </c>
      <c r="FH24" t="e">
        <f>#REF!+"$Cm=!jP"</f>
        <v>#REF!</v>
      </c>
      <c r="FI24" t="e">
        <f>#REF!+"$Cm=!jQ"</f>
        <v>#REF!</v>
      </c>
      <c r="FJ24" t="e">
        <f>#REF!+"$Cm=!jR"</f>
        <v>#REF!</v>
      </c>
      <c r="FK24" t="e">
        <f>#REF!+"$Cm=!jS"</f>
        <v>#REF!</v>
      </c>
      <c r="FL24" t="e">
        <f>#REF!+"$Cm=!jT"</f>
        <v>#REF!</v>
      </c>
      <c r="FM24" t="e">
        <f>#REF!+"$Cm=!jU"</f>
        <v>#REF!</v>
      </c>
      <c r="FN24" t="e">
        <f>#REF!+"$Cm=!jV"</f>
        <v>#REF!</v>
      </c>
      <c r="FO24" t="e">
        <f>#REF!+"$Cm=!jW"</f>
        <v>#REF!</v>
      </c>
      <c r="FP24" t="e">
        <f>#REF!+"$Cm=!jX"</f>
        <v>#REF!</v>
      </c>
      <c r="FQ24" t="e">
        <f>#REF!+"$Cm=!jY"</f>
        <v>#REF!</v>
      </c>
      <c r="FR24" t="e">
        <f>#REF!+"$Cm=!jZ"</f>
        <v>#REF!</v>
      </c>
      <c r="FS24" t="e">
        <f>#REF!+"$Cm=!j["</f>
        <v>#REF!</v>
      </c>
      <c r="FT24" t="e">
        <f>#REF!+"$Cm=!j\"</f>
        <v>#REF!</v>
      </c>
      <c r="FU24" t="e">
        <f>#REF!+"$Cm=!j]"</f>
        <v>#REF!</v>
      </c>
      <c r="FV24" t="e">
        <f>#REF!+"$Cm=!j^"</f>
        <v>#REF!</v>
      </c>
      <c r="FW24" t="e">
        <f>#REF!+"$Cm=!j_"</f>
        <v>#REF!</v>
      </c>
      <c r="FX24" t="e">
        <f>#REF!+"$Cm=!j`"</f>
        <v>#REF!</v>
      </c>
      <c r="FY24" t="e">
        <f>#REF!+"$Cm=!ja"</f>
        <v>#REF!</v>
      </c>
      <c r="FZ24" t="e">
        <f>#REF!+"$Cm=!jb"</f>
        <v>#REF!</v>
      </c>
      <c r="GA24" t="e">
        <f>#REF!+"$Cm=!jc"</f>
        <v>#REF!</v>
      </c>
      <c r="GB24" t="e">
        <f>#REF!+"$Cm=!jd"</f>
        <v>#REF!</v>
      </c>
      <c r="GC24" t="e">
        <f>#REF!+"$Cm=!je"</f>
        <v>#REF!</v>
      </c>
      <c r="GD24" t="e">
        <f>#REF!+"$Cm=!jf"</f>
        <v>#REF!</v>
      </c>
      <c r="GE24" t="e">
        <f>#REF!+"$Cm=!jg"</f>
        <v>#REF!</v>
      </c>
      <c r="GF24" t="e">
        <f>#REF!+"$Cm=!jh"</f>
        <v>#REF!</v>
      </c>
      <c r="GG24" t="e">
        <f>#REF!+"$Cm=!ji"</f>
        <v>#REF!</v>
      </c>
      <c r="GH24" t="e">
        <f>#REF!+"$Cm=!jj"</f>
        <v>#REF!</v>
      </c>
      <c r="GI24" t="e">
        <f>#REF!+"$Cm=!jk"</f>
        <v>#REF!</v>
      </c>
      <c r="GJ24" t="e">
        <f>#REF!+"$Cm=!jl"</f>
        <v>#REF!</v>
      </c>
      <c r="GK24" t="e">
        <f>#REF!+"$Cm=!jm"</f>
        <v>#REF!</v>
      </c>
      <c r="GL24" t="e">
        <f>#REF!+"$Cm=!jn"</f>
        <v>#REF!</v>
      </c>
      <c r="GM24" t="e">
        <f>#REF!+"$Cm=!jo"</f>
        <v>#REF!</v>
      </c>
      <c r="GN24" t="e">
        <f>#REF!+"$Cm=!jp"</f>
        <v>#REF!</v>
      </c>
      <c r="GO24" t="e">
        <f>#REF!+"$Cm=!jq"</f>
        <v>#REF!</v>
      </c>
      <c r="GP24" t="e">
        <f>#REF!+"$Cm=!jr"</f>
        <v>#REF!</v>
      </c>
      <c r="GQ24" t="e">
        <f>#REF!+"$Cm=!js"</f>
        <v>#REF!</v>
      </c>
      <c r="GR24" t="e">
        <f>#REF!+"$Cm=!jt"</f>
        <v>#REF!</v>
      </c>
      <c r="GS24" t="e">
        <f>#REF!+"$Cm=!ju"</f>
        <v>#REF!</v>
      </c>
      <c r="GT24" t="e">
        <f>#REF!+"$Cm=!jv"</f>
        <v>#REF!</v>
      </c>
      <c r="GU24" t="e">
        <f>#REF!+"$Cm=!jw"</f>
        <v>#REF!</v>
      </c>
      <c r="GV24" t="e">
        <f>#REF!+"$Cm=!jx"</f>
        <v>#REF!</v>
      </c>
      <c r="GW24" t="e">
        <f>#REF!+"$Cm=!jy"</f>
        <v>#REF!</v>
      </c>
      <c r="GX24" t="e">
        <f>#REF!+"$Cm=!jz"</f>
        <v>#REF!</v>
      </c>
      <c r="GY24" t="e">
        <f>#REF!+"$Cm=!j{"</f>
        <v>#REF!</v>
      </c>
      <c r="GZ24" t="e">
        <f>#REF!+"$Cm=!j|"</f>
        <v>#REF!</v>
      </c>
      <c r="HA24" t="e">
        <f>#REF!+"$Cm=!j}"</f>
        <v>#REF!</v>
      </c>
      <c r="HB24" t="e">
        <f>#REF!+"$Cm=!j~"</f>
        <v>#REF!</v>
      </c>
      <c r="HC24" t="e">
        <f>#REF!+"$Cm=!k#"</f>
        <v>#REF!</v>
      </c>
      <c r="HD24" t="e">
        <f>#REF!+"$Cm=!k$"</f>
        <v>#REF!</v>
      </c>
      <c r="HE24" t="e">
        <f>#REF!+"$Cm=!k%"</f>
        <v>#REF!</v>
      </c>
      <c r="HF24" t="e">
        <f>#REF!+"$Cm=!k&amp;"</f>
        <v>#REF!</v>
      </c>
      <c r="HG24" t="e">
        <f>#REF!+"$Cm=!k'"</f>
        <v>#REF!</v>
      </c>
      <c r="HH24" t="e">
        <f>#REF!+"$Cm=!k("</f>
        <v>#REF!</v>
      </c>
      <c r="HI24" t="e">
        <f>#REF!+"$Cm=!k)"</f>
        <v>#REF!</v>
      </c>
      <c r="HJ24" t="e">
        <f>#REF!+"$Cm=!k."</f>
        <v>#REF!</v>
      </c>
      <c r="HK24" t="e">
        <f>#REF!+"$Cm=!k/"</f>
        <v>#REF!</v>
      </c>
      <c r="HL24" t="e">
        <f>#REF!+"$Cm=!k0"</f>
        <v>#REF!</v>
      </c>
      <c r="HM24" t="e">
        <f>#REF!+"$Cm=!k1"</f>
        <v>#REF!</v>
      </c>
      <c r="HN24" t="e">
        <f>#REF!+"$Cm=!k2"</f>
        <v>#REF!</v>
      </c>
      <c r="HO24" t="e">
        <f>#REF!+"$Cm=!k3"</f>
        <v>#REF!</v>
      </c>
      <c r="HP24" t="e">
        <f>#REF!+"$Cm=!k4"</f>
        <v>#REF!</v>
      </c>
      <c r="HQ24" t="e">
        <f>#REF!+"$Cm=!k5"</f>
        <v>#REF!</v>
      </c>
      <c r="HR24" t="e">
        <f>#REF!+"$Cm=!k6"</f>
        <v>#REF!</v>
      </c>
      <c r="HS24" t="e">
        <f>#REF!+"$Cm=!k7"</f>
        <v>#REF!</v>
      </c>
      <c r="HT24" t="e">
        <f>#REF!+"$Cm=!k8"</f>
        <v>#REF!</v>
      </c>
      <c r="HU24" t="e">
        <f>#REF!+"$Cm=!k9"</f>
        <v>#REF!</v>
      </c>
      <c r="HV24" t="e">
        <f>#REF!+"$Cm=!k:"</f>
        <v>#REF!</v>
      </c>
      <c r="HW24" t="e">
        <f>#REF!+"$Cm=!k;"</f>
        <v>#REF!</v>
      </c>
      <c r="HX24" t="e">
        <f>#REF!+"$Cm=!k&lt;"</f>
        <v>#REF!</v>
      </c>
      <c r="HY24" t="e">
        <f>#REF!+"$Cm=!k="</f>
        <v>#REF!</v>
      </c>
      <c r="HZ24" t="e">
        <f>#REF!+"$Cm=!k&gt;"</f>
        <v>#REF!</v>
      </c>
      <c r="IA24" t="e">
        <f>#REF!+"$Cm=!k?"</f>
        <v>#REF!</v>
      </c>
      <c r="IB24" t="e">
        <f>#REF!+"$Cm=!k@"</f>
        <v>#REF!</v>
      </c>
      <c r="IC24" t="e">
        <f>#REF!+"$Cm=!kA"</f>
        <v>#REF!</v>
      </c>
      <c r="ID24" t="e">
        <f>#REF!+"$Cm=!kB"</f>
        <v>#REF!</v>
      </c>
      <c r="IE24" t="e">
        <f>#REF!+"$Cm=!kC"</f>
        <v>#REF!</v>
      </c>
      <c r="IF24" t="e">
        <f>#REF!+"$Cm=!kD"</f>
        <v>#REF!</v>
      </c>
      <c r="IG24" t="e">
        <f>#REF!+"$Cm=!kE"</f>
        <v>#REF!</v>
      </c>
      <c r="IH24" t="e">
        <f>#REF!+"$Cm=!kF"</f>
        <v>#REF!</v>
      </c>
      <c r="II24" t="e">
        <f>#REF!+"$Cm=!kG"</f>
        <v>#REF!</v>
      </c>
      <c r="IJ24" t="e">
        <f>#REF!+"$Cm=!kH"</f>
        <v>#REF!</v>
      </c>
      <c r="IK24" t="e">
        <f>#REF!+"$Cm=!kI"</f>
        <v>#REF!</v>
      </c>
      <c r="IL24" t="e">
        <f>#REF!+"$Cm=!kJ"</f>
        <v>#REF!</v>
      </c>
      <c r="IM24" t="e">
        <f>#REF!+"$Cm=!kK"</f>
        <v>#REF!</v>
      </c>
      <c r="IN24" t="e">
        <f>#REF!+"$Cm=!kL"</f>
        <v>#REF!</v>
      </c>
      <c r="IO24" t="e">
        <f>#REF!+"$Cm=!kM"</f>
        <v>#REF!</v>
      </c>
      <c r="IP24" t="e">
        <f>#REF!+"$Cm=!kN"</f>
        <v>#REF!</v>
      </c>
      <c r="IQ24" t="e">
        <f>#REF!+"$Cm=!kO"</f>
        <v>#REF!</v>
      </c>
      <c r="IR24" t="e">
        <f>#REF!+"$Cm=!kP"</f>
        <v>#REF!</v>
      </c>
      <c r="IS24" t="e">
        <f>#REF!+"$Cm=!kQ"</f>
        <v>#REF!</v>
      </c>
      <c r="IT24" t="e">
        <f>#REF!+"$Cm=!kR"</f>
        <v>#REF!</v>
      </c>
      <c r="IU24" t="e">
        <f>#REF!+"$Cm=!kS"</f>
        <v>#REF!</v>
      </c>
      <c r="IV24" t="e">
        <f>#REF!+"$Cm=!kT"</f>
        <v>#REF!</v>
      </c>
    </row>
    <row r="25" spans="6:256">
      <c r="F25" t="e">
        <f>#REF!+"$Cm=!kU"</f>
        <v>#REF!</v>
      </c>
      <c r="G25" t="e">
        <f>#REF!+"$Cm=!kV"</f>
        <v>#REF!</v>
      </c>
      <c r="H25" t="e">
        <f>#REF!+"$Cm=!kW"</f>
        <v>#REF!</v>
      </c>
      <c r="I25" t="e">
        <f>#REF!+"$Cm=!kX"</f>
        <v>#REF!</v>
      </c>
      <c r="J25" t="e">
        <f>#REF!+"$Cm=!kY"</f>
        <v>#REF!</v>
      </c>
      <c r="K25" t="e">
        <f>#REF!+"$Cm=!kZ"</f>
        <v>#REF!</v>
      </c>
      <c r="L25" t="e">
        <f>#REF!+"$Cm=!k["</f>
        <v>#REF!</v>
      </c>
      <c r="M25" t="e">
        <f>#REF!+"$Cm=!k\"</f>
        <v>#REF!</v>
      </c>
      <c r="N25" t="e">
        <f>#REF!+"$Cm=!k]"</f>
        <v>#REF!</v>
      </c>
      <c r="O25" t="e">
        <f>#REF!+"$Cm=!k^"</f>
        <v>#REF!</v>
      </c>
      <c r="P25" t="e">
        <f>#REF!+"$Cm=!k_"</f>
        <v>#REF!</v>
      </c>
      <c r="Q25" t="e">
        <f>#REF!+"$Cm=!k`"</f>
        <v>#REF!</v>
      </c>
      <c r="R25" t="e">
        <f>#REF!+"$Cm=!ka"</f>
        <v>#REF!</v>
      </c>
      <c r="S25" t="e">
        <f>#REF!+"$Cm=!kb"</f>
        <v>#REF!</v>
      </c>
      <c r="T25" t="e">
        <f>#REF!+"$Cm=!kc"</f>
        <v>#REF!</v>
      </c>
      <c r="U25" t="e">
        <f>#REF!+"$Cm=!kd"</f>
        <v>#REF!</v>
      </c>
      <c r="V25" t="e">
        <f>#REF!+"$Cm=!ke"</f>
        <v>#REF!</v>
      </c>
      <c r="W25" t="e">
        <f>#REF!+"$Cm=!kf"</f>
        <v>#REF!</v>
      </c>
      <c r="X25" t="e">
        <f>#REF!+"$Cm=!kg"</f>
        <v>#REF!</v>
      </c>
      <c r="Y25" t="e">
        <f>#REF!+"$Cm=!kh"</f>
        <v>#REF!</v>
      </c>
      <c r="Z25" t="e">
        <f>#REF!+"$Cm=!ki"</f>
        <v>#REF!</v>
      </c>
      <c r="AA25" t="e">
        <f>#REF!+"$Cm=!kj"</f>
        <v>#REF!</v>
      </c>
      <c r="AB25" t="e">
        <f>#REF!+"$Cm=!kk"</f>
        <v>#REF!</v>
      </c>
      <c r="AC25" t="e">
        <f>#REF!+"$Cm=!kl"</f>
        <v>#REF!</v>
      </c>
      <c r="AD25" t="e">
        <f>#REF!+"$Cm=!km"</f>
        <v>#REF!</v>
      </c>
      <c r="AE25" t="e">
        <f>#REF!+"$Cm=!kn"</f>
        <v>#REF!</v>
      </c>
      <c r="AF25" t="e">
        <f>#REF!+"$Cm=!ko"</f>
        <v>#REF!</v>
      </c>
      <c r="AG25" t="e">
        <f>#REF!+"$Cm=!kp"</f>
        <v>#REF!</v>
      </c>
      <c r="AH25" t="e">
        <f>#REF!+"$Cm=!kq"</f>
        <v>#REF!</v>
      </c>
      <c r="AI25" t="e">
        <f>#REF!+"$Cm=!kr"</f>
        <v>#REF!</v>
      </c>
      <c r="AJ25" t="e">
        <f>#REF!+"$Cm=!ks"</f>
        <v>#REF!</v>
      </c>
      <c r="AK25" t="e">
        <f>#REF!+"$Cm=!kt"</f>
        <v>#REF!</v>
      </c>
      <c r="AL25" t="e">
        <f>#REF!+"$Cm=!ku"</f>
        <v>#REF!</v>
      </c>
      <c r="AM25" t="e">
        <f>#REF!+"$Cm=!kv"</f>
        <v>#REF!</v>
      </c>
      <c r="AN25" t="e">
        <f>#REF!+"$Cm=!kw"</f>
        <v>#REF!</v>
      </c>
      <c r="AO25" t="e">
        <f>#REF!+"$Cm=!kx"</f>
        <v>#REF!</v>
      </c>
      <c r="AP25" t="e">
        <f>#REF!+"$Cm=!ky"</f>
        <v>#REF!</v>
      </c>
      <c r="AQ25" t="e">
        <f>#REF!+"$Cm=!kz"</f>
        <v>#REF!</v>
      </c>
      <c r="AR25" t="e">
        <f>#REF!+"$Cm=!k{"</f>
        <v>#REF!</v>
      </c>
      <c r="AS25" t="e">
        <f>#REF!+"$Cm=!k|"</f>
        <v>#REF!</v>
      </c>
      <c r="AT25" t="e">
        <f>#REF!+"$Cm=!k}"</f>
        <v>#REF!</v>
      </c>
      <c r="AU25" t="e">
        <f>#REF!+"$Cm=!k~"</f>
        <v>#REF!</v>
      </c>
      <c r="AV25" t="e">
        <f>#REF!+"$Cm=!l#"</f>
        <v>#REF!</v>
      </c>
      <c r="AW25" t="e">
        <f>#REF!+"$Cm=!l$"</f>
        <v>#REF!</v>
      </c>
      <c r="AX25" t="e">
        <f>#REF!+"$Cm=!l%"</f>
        <v>#REF!</v>
      </c>
      <c r="AY25" t="e">
        <f>#REF!+"$Cm=!l&amp;"</f>
        <v>#REF!</v>
      </c>
      <c r="AZ25" t="e">
        <f>#REF!+"$Cm=!l'"</f>
        <v>#REF!</v>
      </c>
      <c r="BA25" t="e">
        <f>#REF!+"$Cm=!l("</f>
        <v>#REF!</v>
      </c>
      <c r="BB25" t="e">
        <f>#REF!+"$Cm=!l)"</f>
        <v>#REF!</v>
      </c>
      <c r="BC25" t="e">
        <f>#REF!+"$Cm=!l."</f>
        <v>#REF!</v>
      </c>
      <c r="BD25" t="e">
        <f>#REF!+"$Cm=!l/"</f>
        <v>#REF!</v>
      </c>
      <c r="BE25" t="e">
        <f>#REF!+"$Cm=!l0"</f>
        <v>#REF!</v>
      </c>
      <c r="BF25" t="e">
        <f>#REF!+"$Cm=!l1"</f>
        <v>#REF!</v>
      </c>
      <c r="BG25" t="e">
        <f>#REF!+"$Cm=!l2"</f>
        <v>#REF!</v>
      </c>
      <c r="BH25" t="e">
        <f>#REF!+"$Cm=!l3"</f>
        <v>#REF!</v>
      </c>
      <c r="BI25" t="e">
        <f>#REF!+"$Cm=!l4"</f>
        <v>#REF!</v>
      </c>
      <c r="BJ25" t="e">
        <f>#REF!+"$Cm=!l5"</f>
        <v>#REF!</v>
      </c>
      <c r="BK25" t="e">
        <f>#REF!+"$Cm=!l6"</f>
        <v>#REF!</v>
      </c>
      <c r="BL25" t="e">
        <f>#REF!+"$Cm=!l7"</f>
        <v>#REF!</v>
      </c>
      <c r="BM25" t="e">
        <f>#REF!+"$Cm=!l8"</f>
        <v>#REF!</v>
      </c>
      <c r="BN25" t="e">
        <f>#REF!+"$Cm=!l9"</f>
        <v>#REF!</v>
      </c>
      <c r="BO25" t="e">
        <f>#REF!+"$Cm=!l:"</f>
        <v>#REF!</v>
      </c>
      <c r="BP25" t="e">
        <f>#REF!+"$Cm=!l;"</f>
        <v>#REF!</v>
      </c>
      <c r="BQ25" t="e">
        <f>#REF!+"$Cm=!l&lt;"</f>
        <v>#REF!</v>
      </c>
      <c r="BR25" t="e">
        <f>#REF!+"$Cm=!l="</f>
        <v>#REF!</v>
      </c>
      <c r="BS25" t="e">
        <f>#REF!+"$Cm=!l&gt;"</f>
        <v>#REF!</v>
      </c>
      <c r="BT25" t="e">
        <f>#REF!+"$Cm=!l?"</f>
        <v>#REF!</v>
      </c>
      <c r="BU25" t="e">
        <f>#REF!+"$Cm=!l@"</f>
        <v>#REF!</v>
      </c>
      <c r="BV25" t="e">
        <f>#REF!+"$Cm=!lA"</f>
        <v>#REF!</v>
      </c>
      <c r="BW25" t="e">
        <f>#REF!+"$Cm=!lB"</f>
        <v>#REF!</v>
      </c>
      <c r="BX25" t="e">
        <f>#REF!+"$Cm=!lC"</f>
        <v>#REF!</v>
      </c>
      <c r="BY25" t="e">
        <f>#REF!+"$Cm=!lD"</f>
        <v>#REF!</v>
      </c>
      <c r="BZ25" t="e">
        <f>#REF!+"$Cm=!lE"</f>
        <v>#REF!</v>
      </c>
      <c r="CA25" t="e">
        <f>#REF!+"$Cm=!lF"</f>
        <v>#REF!</v>
      </c>
      <c r="CB25" t="e">
        <f>#REF!+"$Cm=!lG"</f>
        <v>#REF!</v>
      </c>
      <c r="CC25" t="e">
        <f>#REF!+"$Cm=!lH"</f>
        <v>#REF!</v>
      </c>
      <c r="CD25" t="e">
        <f>#REF!+"$Cm=!lI"</f>
        <v>#REF!</v>
      </c>
      <c r="CE25" t="e">
        <f>#REF!+"$Cm=!lJ"</f>
        <v>#REF!</v>
      </c>
      <c r="CF25" t="e">
        <f>#REF!+"$Cm=!lK"</f>
        <v>#REF!</v>
      </c>
      <c r="CG25" t="e">
        <f>#REF!+"$Cm=!lL"</f>
        <v>#REF!</v>
      </c>
      <c r="CH25" t="e">
        <f>#REF!+"$Cm=!lM"</f>
        <v>#REF!</v>
      </c>
      <c r="CI25" t="e">
        <f>#REF!+"$Cm=!lN"</f>
        <v>#REF!</v>
      </c>
      <c r="CJ25" t="e">
        <f>#REF!+"$Cm=!lO"</f>
        <v>#REF!</v>
      </c>
      <c r="CK25" t="e">
        <f>#REF!+"$Cm=!lP"</f>
        <v>#REF!</v>
      </c>
      <c r="CL25" t="e">
        <f>#REF!+"$Cm=!lQ"</f>
        <v>#REF!</v>
      </c>
      <c r="CM25" t="e">
        <f>#REF!+"$Cm=!lR"</f>
        <v>#REF!</v>
      </c>
      <c r="CN25" t="e">
        <f>#REF!+"$Cm=!lS"</f>
        <v>#REF!</v>
      </c>
      <c r="CO25" t="e">
        <f>#REF!+"$Cm=!lT"</f>
        <v>#REF!</v>
      </c>
      <c r="CP25" t="e">
        <f>#REF!+"$Cm=!lU"</f>
        <v>#REF!</v>
      </c>
      <c r="CQ25" t="e">
        <f>#REF!+"$Cm=!lV"</f>
        <v>#REF!</v>
      </c>
      <c r="CR25" t="e">
        <f>#REF!+"$Cm=!lW"</f>
        <v>#REF!</v>
      </c>
      <c r="CS25" t="e">
        <f>#REF!+"$Cm=!lX"</f>
        <v>#REF!</v>
      </c>
      <c r="CT25" t="e">
        <f>#REF!+"$Cm=!lY"</f>
        <v>#REF!</v>
      </c>
      <c r="CU25" t="e">
        <f>#REF!+"$Cm=!lZ"</f>
        <v>#REF!</v>
      </c>
      <c r="CV25" t="e">
        <f>#REF!+"$Cm=!l["</f>
        <v>#REF!</v>
      </c>
      <c r="CW25" t="e">
        <f>#REF!+"$Cm=!l\"</f>
        <v>#REF!</v>
      </c>
      <c r="CX25" t="e">
        <f>#REF!+"$Cm=!l]"</f>
        <v>#REF!</v>
      </c>
      <c r="CY25" t="e">
        <f>#REF!+"$Cm=!l^"</f>
        <v>#REF!</v>
      </c>
      <c r="CZ25" t="e">
        <f>#REF!+"$Cm=!l_"</f>
        <v>#REF!</v>
      </c>
      <c r="DA25" t="e">
        <f>#REF!+"$Cm=!l`"</f>
        <v>#REF!</v>
      </c>
      <c r="DB25" t="e">
        <f>#REF!+"$Cm=!la"</f>
        <v>#REF!</v>
      </c>
      <c r="DC25" t="e">
        <f>#REF!+"$Cm=!lb"</f>
        <v>#REF!</v>
      </c>
      <c r="DD25" t="e">
        <f>#REF!+"$Cm=!lc"</f>
        <v>#REF!</v>
      </c>
      <c r="DE25" t="e">
        <f>#REF!+"$Cm=!ld"</f>
        <v>#REF!</v>
      </c>
      <c r="DF25" t="e">
        <f>#REF!+"$Cm=!le"</f>
        <v>#REF!</v>
      </c>
      <c r="DG25" t="e">
        <f>#REF!+"$Cm=!lf"</f>
        <v>#REF!</v>
      </c>
      <c r="DH25" t="e">
        <f>#REF!+"$Cm=!lg"</f>
        <v>#REF!</v>
      </c>
      <c r="DI25" t="e">
        <f>#REF!+"$Cm=!lh"</f>
        <v>#REF!</v>
      </c>
      <c r="DJ25" t="e">
        <f>#REF!+"$Cm=!li"</f>
        <v>#REF!</v>
      </c>
      <c r="DK25" t="e">
        <f>#REF!+"$Cm=!lj"</f>
        <v>#REF!</v>
      </c>
      <c r="DL25" t="e">
        <f>#REF!+"$Cm=!lk"</f>
        <v>#REF!</v>
      </c>
      <c r="DM25" t="e">
        <f>#REF!+"$Cm=!ll"</f>
        <v>#REF!</v>
      </c>
      <c r="DN25" t="e">
        <f>#REF!+"$Cm=!lm"</f>
        <v>#REF!</v>
      </c>
      <c r="DO25" t="e">
        <f>#REF!+"$Cm=!ln"</f>
        <v>#REF!</v>
      </c>
      <c r="DP25" t="e">
        <f>#REF!+"$Cm=!lo"</f>
        <v>#REF!</v>
      </c>
      <c r="DQ25" t="e">
        <f>#REF!+"$Cm=!lp"</f>
        <v>#REF!</v>
      </c>
      <c r="DR25" t="e">
        <f>#REF!+"$Cm=!lq"</f>
        <v>#REF!</v>
      </c>
      <c r="DS25" t="e">
        <f>#REF!+"$Cm=!lr"</f>
        <v>#REF!</v>
      </c>
      <c r="DT25" t="e">
        <f>#REF!+"$Cm=!ls"</f>
        <v>#REF!</v>
      </c>
      <c r="DU25" t="e">
        <f>#REF!+"$Cm=!lt"</f>
        <v>#REF!</v>
      </c>
      <c r="DV25" t="e">
        <f>#REF!+"$Cm=!lu"</f>
        <v>#REF!</v>
      </c>
      <c r="DW25" t="e">
        <f>#REF!+"$Cm=!lv"</f>
        <v>#REF!</v>
      </c>
      <c r="DX25" t="e">
        <f>#REF!+"$Cm=!lw"</f>
        <v>#REF!</v>
      </c>
      <c r="DY25" t="e">
        <f>#REF!+"$Cm=!lx"</f>
        <v>#REF!</v>
      </c>
      <c r="DZ25" t="e">
        <f>#REF!+"$Cm=!ly"</f>
        <v>#REF!</v>
      </c>
      <c r="EA25" t="e">
        <f>#REF!+"$Cm=!lz"</f>
        <v>#REF!</v>
      </c>
      <c r="EB25" t="e">
        <f>#REF!+"$Cm=!l{"</f>
        <v>#REF!</v>
      </c>
      <c r="EC25" t="e">
        <f>#REF!+"$Cm=!l|"</f>
        <v>#REF!</v>
      </c>
      <c r="ED25" t="e">
        <f>#REF!+"$Cm=!l}"</f>
        <v>#REF!</v>
      </c>
      <c r="EE25" t="e">
        <f>#REF!+"$Cm=!l~"</f>
        <v>#REF!</v>
      </c>
      <c r="EF25" t="e">
        <f>#REF!+"$Cm=!m#"</f>
        <v>#REF!</v>
      </c>
      <c r="EG25" t="e">
        <f>#REF!+"$Cm=!m$"</f>
        <v>#REF!</v>
      </c>
      <c r="EH25" t="e">
        <f>#REF!+"$Cm=!m%"</f>
        <v>#REF!</v>
      </c>
      <c r="EI25" t="e">
        <f>#REF!+"$Cm=!m&amp;"</f>
        <v>#REF!</v>
      </c>
      <c r="EJ25" t="e">
        <f>#REF!+"$Cm=!m'"</f>
        <v>#REF!</v>
      </c>
      <c r="EK25" t="e">
        <f>#REF!+"$Cm=!m("</f>
        <v>#REF!</v>
      </c>
      <c r="EL25" t="e">
        <f>#REF!+"$Cm=!m)"</f>
        <v>#REF!</v>
      </c>
      <c r="EM25" t="e">
        <f>#REF!+"$Cm=!m."</f>
        <v>#REF!</v>
      </c>
      <c r="EN25" t="e">
        <f>#REF!+"$Cm=!m/"</f>
        <v>#REF!</v>
      </c>
      <c r="EO25" t="e">
        <f>#REF!+"$Cm=!m0"</f>
        <v>#REF!</v>
      </c>
      <c r="EP25" t="e">
        <f>#REF!+"$Cm=!m1"</f>
        <v>#REF!</v>
      </c>
      <c r="EQ25" t="e">
        <f>#REF!+"$Cm=!m2"</f>
        <v>#REF!</v>
      </c>
      <c r="ER25" t="e">
        <f>#REF!+"$Cm=!m3"</f>
        <v>#REF!</v>
      </c>
      <c r="ES25" t="e">
        <f>#REF!+"$Cm=!m4"</f>
        <v>#REF!</v>
      </c>
      <c r="ET25" t="e">
        <f>#REF!+"$Cm=!m5"</f>
        <v>#REF!</v>
      </c>
      <c r="EU25" t="e">
        <f>#REF!+"$Cm=!m6"</f>
        <v>#REF!</v>
      </c>
      <c r="EV25" t="e">
        <f>#REF!+"$Cm=!m7"</f>
        <v>#REF!</v>
      </c>
      <c r="EW25" t="e">
        <f>#REF!+"$Cm=!m8"</f>
        <v>#REF!</v>
      </c>
      <c r="EX25" t="e">
        <f>#REF!+"$Cm=!m9"</f>
        <v>#REF!</v>
      </c>
      <c r="EY25" t="e">
        <f>#REF!+"$Cm=!m:"</f>
        <v>#REF!</v>
      </c>
      <c r="EZ25" t="e">
        <f>#REF!+"$Cm=!m;"</f>
        <v>#REF!</v>
      </c>
      <c r="FA25" t="e">
        <f>#REF!+"$Cm=!m&lt;"</f>
        <v>#REF!</v>
      </c>
      <c r="FB25" t="e">
        <f>#REF!+"$Cm=!m="</f>
        <v>#REF!</v>
      </c>
      <c r="FC25" t="e">
        <f>#REF!+"$Cm=!m&gt;"</f>
        <v>#REF!</v>
      </c>
      <c r="FD25" t="e">
        <f>#REF!+"$Cm=!m?"</f>
        <v>#REF!</v>
      </c>
      <c r="FE25" t="e">
        <f>#REF!+"$Cm=!m@"</f>
        <v>#REF!</v>
      </c>
      <c r="FF25" t="e">
        <f>#REF!+"$Cm=!mA"</f>
        <v>#REF!</v>
      </c>
      <c r="FG25" t="e">
        <f>#REF!+"$Cm=!mB"</f>
        <v>#REF!</v>
      </c>
      <c r="FH25" t="e">
        <f>#REF!+"$Cm=!mC"</f>
        <v>#REF!</v>
      </c>
      <c r="FI25" t="e">
        <f>#REF!+"$Cm=!mD"</f>
        <v>#REF!</v>
      </c>
      <c r="FJ25" t="e">
        <f>#REF!+"$Cm=!mE"</f>
        <v>#REF!</v>
      </c>
      <c r="FK25" t="e">
        <f>#REF!+"$Cm=!mF"</f>
        <v>#REF!</v>
      </c>
      <c r="FL25" t="e">
        <f>#REF!+"$Cm=!mG"</f>
        <v>#REF!</v>
      </c>
      <c r="FM25" t="e">
        <f>#REF!+"$Cm=!mH"</f>
        <v>#REF!</v>
      </c>
      <c r="FN25" t="e">
        <f>#REF!+"$Cm=!mI"</f>
        <v>#REF!</v>
      </c>
      <c r="FO25" t="e">
        <f>#REF!+"$Cm=!mJ"</f>
        <v>#REF!</v>
      </c>
      <c r="FP25" t="e">
        <f>#REF!+"$Cm=!mK"</f>
        <v>#REF!</v>
      </c>
      <c r="FQ25" t="e">
        <f>#REF!+"$Cm=!mL"</f>
        <v>#REF!</v>
      </c>
      <c r="FR25" t="e">
        <f>#REF!+"$Cm=!mM"</f>
        <v>#REF!</v>
      </c>
      <c r="FS25" t="e">
        <f>#REF!+"$Cm=!mN"</f>
        <v>#REF!</v>
      </c>
      <c r="FT25" t="e">
        <f>#REF!+"$Cm=!mO"</f>
        <v>#REF!</v>
      </c>
      <c r="FU25" t="e">
        <f>#REF!+"$Cm=!mP"</f>
        <v>#REF!</v>
      </c>
      <c r="FV25" t="e">
        <f>#REF!+"$Cm=!mQ"</f>
        <v>#REF!</v>
      </c>
      <c r="FW25" t="e">
        <f>#REF!+"$Cm=!mR"</f>
        <v>#REF!</v>
      </c>
      <c r="FX25" t="e">
        <f>#REF!+"$Cm=!mS"</f>
        <v>#REF!</v>
      </c>
      <c r="FY25" t="e">
        <f>#REF!+"$Cm=!mT"</f>
        <v>#REF!</v>
      </c>
      <c r="FZ25" t="e">
        <f>#REF!+"$Cm=!mU"</f>
        <v>#REF!</v>
      </c>
      <c r="GA25" t="e">
        <f>#REF!+"$Cm=!mV"</f>
        <v>#REF!</v>
      </c>
      <c r="GB25" t="e">
        <f>#REF!+"$Cm=!mW"</f>
        <v>#REF!</v>
      </c>
      <c r="GC25" t="e">
        <f>#REF!+"$Cm=!mX"</f>
        <v>#REF!</v>
      </c>
      <c r="GD25" t="e">
        <f>#REF!+"$Cm=!mY"</f>
        <v>#REF!</v>
      </c>
      <c r="GE25" t="e">
        <f>#REF!+"$Cm=!mZ"</f>
        <v>#REF!</v>
      </c>
      <c r="GF25" t="e">
        <f>#REF!+"$Cm=!m["</f>
        <v>#REF!</v>
      </c>
      <c r="GG25" t="e">
        <f>#REF!+"$Cm=!m\"</f>
        <v>#REF!</v>
      </c>
      <c r="GH25" t="e">
        <f>#REF!+"$Cm=!m]"</f>
        <v>#REF!</v>
      </c>
      <c r="GI25" t="e">
        <f>#REF!+"$Cm=!m^"</f>
        <v>#REF!</v>
      </c>
      <c r="GJ25" t="e">
        <f>#REF!+"$Cm=!m_"</f>
        <v>#REF!</v>
      </c>
      <c r="GK25" t="e">
        <f>#REF!+"$Cm=!m`"</f>
        <v>#REF!</v>
      </c>
      <c r="GL25" t="e">
        <f>#REF!+"$Cm=!ma"</f>
        <v>#REF!</v>
      </c>
      <c r="GM25" t="e">
        <f>#REF!+"$Cm=!mb"</f>
        <v>#REF!</v>
      </c>
      <c r="GN25" t="e">
        <f>#REF!+"$Cm=!mc"</f>
        <v>#REF!</v>
      </c>
      <c r="GO25" t="e">
        <f>#REF!+"$Cm=!md"</f>
        <v>#REF!</v>
      </c>
      <c r="GP25" t="e">
        <f>#REF!+"$Cm=!me"</f>
        <v>#REF!</v>
      </c>
      <c r="GQ25" t="e">
        <f>#REF!+"$Cm=!mf"</f>
        <v>#REF!</v>
      </c>
      <c r="GR25" t="e">
        <f>#REF!+"$Cm=!mg"</f>
        <v>#REF!</v>
      </c>
      <c r="GS25" t="e">
        <f>#REF!+"$Cm=!mh"</f>
        <v>#REF!</v>
      </c>
      <c r="GT25" t="e">
        <f>#REF!+"$Cm=!mi"</f>
        <v>#REF!</v>
      </c>
      <c r="GU25" t="e">
        <f>#REF!+"$Cm=!mj"</f>
        <v>#REF!</v>
      </c>
      <c r="GV25" t="e">
        <f>#REF!+"$Cm=!mk"</f>
        <v>#REF!</v>
      </c>
      <c r="GW25" t="e">
        <f>#REF!+"$Cm=!ml"</f>
        <v>#REF!</v>
      </c>
      <c r="GX25" t="e">
        <f>#REF!+"$Cm=!mm"</f>
        <v>#REF!</v>
      </c>
      <c r="GY25" t="e">
        <f>#REF!+"$Cm=!mn"</f>
        <v>#REF!</v>
      </c>
      <c r="GZ25" t="e">
        <f>#REF!+"$Cm=!mo"</f>
        <v>#REF!</v>
      </c>
      <c r="HA25" t="e">
        <f>#REF!+"$Cm=!mp"</f>
        <v>#REF!</v>
      </c>
      <c r="HB25" t="e">
        <f>#REF!+"$Cm=!mq"</f>
        <v>#REF!</v>
      </c>
      <c r="HC25" t="e">
        <f>#REF!+"$Cm=!mr"</f>
        <v>#REF!</v>
      </c>
      <c r="HD25" t="e">
        <f>#REF!+"$Cm=!ms"</f>
        <v>#REF!</v>
      </c>
      <c r="HE25" t="e">
        <f>#REF!+"$Cm=!mt"</f>
        <v>#REF!</v>
      </c>
      <c r="HF25" t="e">
        <f>#REF!+"$Cm=!mu"</f>
        <v>#REF!</v>
      </c>
      <c r="HG25" t="e">
        <f>#REF!+"$Cm=!mv"</f>
        <v>#REF!</v>
      </c>
      <c r="HH25" t="e">
        <f>#REF!+"$Cm=!mw"</f>
        <v>#REF!</v>
      </c>
      <c r="HI25" t="e">
        <f>#REF!+"$Cm=!mx"</f>
        <v>#REF!</v>
      </c>
      <c r="HJ25" t="e">
        <f>#REF!+"$Cm=!my"</f>
        <v>#REF!</v>
      </c>
      <c r="HK25" t="e">
        <f>#REF!+"$Cm=!mz"</f>
        <v>#REF!</v>
      </c>
      <c r="HL25" t="e">
        <f>#REF!+"$Cm=!m{"</f>
        <v>#REF!</v>
      </c>
      <c r="HM25" t="e">
        <f>#REF!+"$Cm=!m|"</f>
        <v>#REF!</v>
      </c>
      <c r="HN25" t="e">
        <f>#REF!+"$Cm=!m}"</f>
        <v>#REF!</v>
      </c>
      <c r="HO25" t="e">
        <f>#REF!+"$Cm=!m~"</f>
        <v>#REF!</v>
      </c>
      <c r="HP25" t="e">
        <f>#REF!+"$Cm=!n#"</f>
        <v>#REF!</v>
      </c>
      <c r="HQ25" t="e">
        <f>#REF!+"$Cm=!n$"</f>
        <v>#REF!</v>
      </c>
      <c r="HR25" t="e">
        <f>#REF!+"$Cm=!n%"</f>
        <v>#REF!</v>
      </c>
      <c r="HS25" t="e">
        <f>#REF!+"$Cm=!n&amp;"</f>
        <v>#REF!</v>
      </c>
      <c r="HT25" t="e">
        <f>#REF!+"$Cm=!n'"</f>
        <v>#REF!</v>
      </c>
      <c r="HU25" t="e">
        <f>#REF!+"$Cm=!n("</f>
        <v>#REF!</v>
      </c>
      <c r="HV25" t="e">
        <f>#REF!+"$Cm=!n)"</f>
        <v>#REF!</v>
      </c>
      <c r="HW25" t="e">
        <f>#REF!+"$Cm=!n."</f>
        <v>#REF!</v>
      </c>
      <c r="HX25" t="e">
        <f>#REF!+"$Cm=!n/"</f>
        <v>#REF!</v>
      </c>
      <c r="HY25" t="e">
        <f>#REF!+"$Cm=!n0"</f>
        <v>#REF!</v>
      </c>
      <c r="HZ25" t="e">
        <f>#REF!+"$Cm=!n1"</f>
        <v>#REF!</v>
      </c>
      <c r="IA25" t="e">
        <f>#REF!+"$Cm=!n2"</f>
        <v>#REF!</v>
      </c>
      <c r="IB25" t="e">
        <f>#REF!+"$Cm=!n3"</f>
        <v>#REF!</v>
      </c>
      <c r="IC25" t="e">
        <f>#REF!+"$Cm=!n4"</f>
        <v>#REF!</v>
      </c>
      <c r="ID25" t="e">
        <f>#REF!+"$Cm=!n5"</f>
        <v>#REF!</v>
      </c>
      <c r="IE25" t="e">
        <f>#REF!+"$Cm=!n6"</f>
        <v>#REF!</v>
      </c>
      <c r="IF25" t="e">
        <f>#REF!+"$Cm=!n7"</f>
        <v>#REF!</v>
      </c>
      <c r="IG25" t="e">
        <f>#REF!+"$Cm=!n8"</f>
        <v>#REF!</v>
      </c>
      <c r="IH25" t="e">
        <f>#REF!+"$Cm=!n9"</f>
        <v>#REF!</v>
      </c>
      <c r="II25" t="e">
        <f>#REF!+"$Cm=!n:"</f>
        <v>#REF!</v>
      </c>
      <c r="IJ25" t="e">
        <f>#REF!+"$Cm=!n;"</f>
        <v>#REF!</v>
      </c>
      <c r="IK25" t="e">
        <f>#REF!+"$Cm=!n&lt;"</f>
        <v>#REF!</v>
      </c>
      <c r="IL25" t="e">
        <f>#REF!+"$Cm=!n="</f>
        <v>#REF!</v>
      </c>
      <c r="IM25" t="e">
        <f>#REF!+"$Cm=!n&gt;"</f>
        <v>#REF!</v>
      </c>
      <c r="IN25" t="e">
        <f>#REF!+"$Cm=!n?"</f>
        <v>#REF!</v>
      </c>
      <c r="IO25" t="e">
        <f>#REF!+"$Cm=!n@"</f>
        <v>#REF!</v>
      </c>
      <c r="IP25" t="e">
        <f>#REF!+"$Cm=!nA"</f>
        <v>#REF!</v>
      </c>
      <c r="IQ25" t="e">
        <f>#REF!+"$Cm=!nB"</f>
        <v>#REF!</v>
      </c>
      <c r="IR25" t="e">
        <f>#REF!+"$Cm=!nC"</f>
        <v>#REF!</v>
      </c>
      <c r="IS25" t="e">
        <f>#REF!+"$Cm=!nD"</f>
        <v>#REF!</v>
      </c>
      <c r="IT25" t="e">
        <f>#REF!+"$Cm=!nE"</f>
        <v>#REF!</v>
      </c>
      <c r="IU25" t="e">
        <f>#REF!+"$Cm=!nF"</f>
        <v>#REF!</v>
      </c>
      <c r="IV25" t="e">
        <f>#REF!+"$Cm=!nG"</f>
        <v>#REF!</v>
      </c>
    </row>
    <row r="26" spans="6:256">
      <c r="F26" t="e">
        <f>#REF!+"$Cm=!nH"</f>
        <v>#REF!</v>
      </c>
      <c r="G26" t="e">
        <f>#REF!+"$Cm=!nI"</f>
        <v>#REF!</v>
      </c>
      <c r="H26" t="e">
        <f>#REF!+"$Cm=!nJ"</f>
        <v>#REF!</v>
      </c>
      <c r="I26" t="e">
        <f>#REF!+"$Cm=!nK"</f>
        <v>#REF!</v>
      </c>
      <c r="J26" t="e">
        <f>#REF!+"$Cm=!nL"</f>
        <v>#REF!</v>
      </c>
      <c r="K26" t="e">
        <f>#REF!+"$Cm=!nM"</f>
        <v>#REF!</v>
      </c>
      <c r="L26" t="e">
        <f>#REF!+"$Cm=!nN"</f>
        <v>#REF!</v>
      </c>
      <c r="M26" t="e">
        <f>#REF!+"$Cm=!nO"</f>
        <v>#REF!</v>
      </c>
      <c r="N26" t="e">
        <f>#REF!+"$Cm=!nP"</f>
        <v>#REF!</v>
      </c>
      <c r="O26" t="e">
        <f>#REF!+"$Cm=!nQ"</f>
        <v>#REF!</v>
      </c>
      <c r="P26" t="e">
        <f>#REF!+"$Cm=!nR"</f>
        <v>#REF!</v>
      </c>
      <c r="Q26" t="e">
        <f>#REF!+"$Cm=!nS"</f>
        <v>#REF!</v>
      </c>
      <c r="R26" t="e">
        <f>#REF!+"$Cm=!nT"</f>
        <v>#REF!</v>
      </c>
      <c r="S26" t="e">
        <f>#REF!+"$Cm=!nU"</f>
        <v>#REF!</v>
      </c>
      <c r="T26" t="e">
        <f>#REF!+"$Cm=!nV"</f>
        <v>#REF!</v>
      </c>
      <c r="U26" t="e">
        <f>#REF!+"$Cm=!nW"</f>
        <v>#REF!</v>
      </c>
      <c r="V26" t="e">
        <f>#REF!+"$Cm=!nX"</f>
        <v>#REF!</v>
      </c>
      <c r="W26" t="e">
        <f>#REF!+"$Cm=!nY"</f>
        <v>#REF!</v>
      </c>
      <c r="X26" t="e">
        <f>#REF!+"$Cm=!nZ"</f>
        <v>#REF!</v>
      </c>
      <c r="Y26" t="e">
        <f>#REF!+"$Cm=!n["</f>
        <v>#REF!</v>
      </c>
      <c r="Z26" t="e">
        <f>#REF!+"$Cm=!n\"</f>
        <v>#REF!</v>
      </c>
      <c r="AA26" t="e">
        <f>#REF!+"$Cm=!n]"</f>
        <v>#REF!</v>
      </c>
      <c r="AB26" t="e">
        <f>#REF!+"$Cm=!n^"</f>
        <v>#REF!</v>
      </c>
      <c r="AC26" t="e">
        <f>#REF!+"$Cm=!n_"</f>
        <v>#REF!</v>
      </c>
      <c r="AD26" t="e">
        <f>#REF!+"$Cm=!n`"</f>
        <v>#REF!</v>
      </c>
      <c r="AE26" t="e">
        <f>#REF!+"$Cm=!na"</f>
        <v>#REF!</v>
      </c>
      <c r="AF26" t="e">
        <f>#REF!+"$Cm=!nb"</f>
        <v>#REF!</v>
      </c>
      <c r="AG26" t="e">
        <f>#REF!+"$Cm=!nc"</f>
        <v>#REF!</v>
      </c>
      <c r="AH26" t="e">
        <f>#REF!+"$Cm=!nd"</f>
        <v>#REF!</v>
      </c>
      <c r="AI26" t="e">
        <f>#REF!+"$Cm=!ne"</f>
        <v>#REF!</v>
      </c>
      <c r="AJ26" t="e">
        <f>#REF!+"$Cm=!nf"</f>
        <v>#REF!</v>
      </c>
      <c r="AK26" t="e">
        <f>#REF!+"$Cm=!ng"</f>
        <v>#REF!</v>
      </c>
      <c r="AL26" t="e">
        <f>#REF!+"$Cm=!nh"</f>
        <v>#REF!</v>
      </c>
      <c r="AM26" t="e">
        <f>#REF!+"$Cm=!ni"</f>
        <v>#REF!</v>
      </c>
      <c r="AN26" t="e">
        <f>#REF!+"$Cm=!nj"</f>
        <v>#REF!</v>
      </c>
      <c r="AO26" t="e">
        <f>#REF!+"$Cm=!nk"</f>
        <v>#REF!</v>
      </c>
      <c r="AP26" t="e">
        <f>#REF!+"$Cm=!nl"</f>
        <v>#REF!</v>
      </c>
      <c r="AQ26" t="e">
        <f>#REF!+"$Cm=!nm"</f>
        <v>#REF!</v>
      </c>
      <c r="AR26" t="e">
        <f>#REF!+"$Cm=!nn"</f>
        <v>#REF!</v>
      </c>
      <c r="AS26" t="e">
        <f>#REF!+"$Cm=!no"</f>
        <v>#REF!</v>
      </c>
      <c r="AT26" t="e">
        <f>#REF!+"$Cm=!np"</f>
        <v>#REF!</v>
      </c>
      <c r="AU26" t="e">
        <f>#REF!+"$Cm=!nq"</f>
        <v>#REF!</v>
      </c>
      <c r="AV26" t="e">
        <f>#REF!+"$Cm=!nr"</f>
        <v>#REF!</v>
      </c>
      <c r="AW26" t="e">
        <f>#REF!+"$Cm=!ns"</f>
        <v>#REF!</v>
      </c>
      <c r="AX26" t="e">
        <f>#REF!+"$Cm=!nt"</f>
        <v>#REF!</v>
      </c>
      <c r="AY26" t="e">
        <f>#REF!+"$Cm=!nu"</f>
        <v>#REF!</v>
      </c>
      <c r="AZ26" t="e">
        <f>#REF!+"$Cm=!nv"</f>
        <v>#REF!</v>
      </c>
      <c r="BA26" t="e">
        <f>#REF!+"$Cm=!nw"</f>
        <v>#REF!</v>
      </c>
      <c r="BB26" t="e">
        <f>#REF!+"$Cm=!nx"</f>
        <v>#REF!</v>
      </c>
      <c r="BC26" t="e">
        <f>#REF!+"$Cm=!ny"</f>
        <v>#REF!</v>
      </c>
      <c r="BD26" t="e">
        <f>#REF!+"$Cm=!nz"</f>
        <v>#REF!</v>
      </c>
      <c r="BE26" t="e">
        <f>#REF!+"$Cm=!n{"</f>
        <v>#REF!</v>
      </c>
      <c r="BF26" t="e">
        <f>#REF!+"$Cm=!n|"</f>
        <v>#REF!</v>
      </c>
      <c r="BG26" t="e">
        <f>#REF!+"$Cm=!n}"</f>
        <v>#REF!</v>
      </c>
      <c r="BH26" t="e">
        <f>#REF!+"$Cm=!n~"</f>
        <v>#REF!</v>
      </c>
      <c r="BI26" t="e">
        <f>#REF!+"$Cm=!o#"</f>
        <v>#REF!</v>
      </c>
      <c r="BJ26" t="e">
        <f>#REF!+"$Cm=!o$"</f>
        <v>#REF!</v>
      </c>
      <c r="BK26" t="e">
        <f>#REF!+"$Cm=!o%"</f>
        <v>#REF!</v>
      </c>
      <c r="BL26" t="e">
        <f>#REF!+"$Cm=!o&amp;"</f>
        <v>#REF!</v>
      </c>
      <c r="BM26" t="e">
        <f>#REF!+"$Cm=!o'"</f>
        <v>#REF!</v>
      </c>
      <c r="BN26" t="e">
        <f>#REF!+"$Cm=!o("</f>
        <v>#REF!</v>
      </c>
      <c r="BO26" t="e">
        <f>#REF!+"$Cm=!o)"</f>
        <v>#REF!</v>
      </c>
      <c r="BP26" t="e">
        <f>#REF!+"$Cm=!o."</f>
        <v>#REF!</v>
      </c>
      <c r="BQ26" t="e">
        <f>#REF!+"$Cm=!o/"</f>
        <v>#REF!</v>
      </c>
      <c r="BR26" t="e">
        <f>#REF!+"$Cm=!o0"</f>
        <v>#REF!</v>
      </c>
      <c r="BS26" t="e">
        <f>#REF!+"$Cm=!o1"</f>
        <v>#REF!</v>
      </c>
      <c r="BT26" t="e">
        <f>#REF!+"$Cm=!o2"</f>
        <v>#REF!</v>
      </c>
      <c r="BU26" t="e">
        <f>#REF!+"$Cm=!o3"</f>
        <v>#REF!</v>
      </c>
      <c r="BV26" t="e">
        <f>#REF!+"$Cm=!o4"</f>
        <v>#REF!</v>
      </c>
      <c r="BW26" t="e">
        <f>#REF!+"$Cm=!o5"</f>
        <v>#REF!</v>
      </c>
      <c r="BX26" t="e">
        <f>#REF!+"$Cm=!o6"</f>
        <v>#REF!</v>
      </c>
      <c r="BY26" t="e">
        <f>#REF!+"$Cm=!o7"</f>
        <v>#REF!</v>
      </c>
      <c r="BZ26" t="e">
        <f>#REF!+"$Cm=!o8"</f>
        <v>#REF!</v>
      </c>
      <c r="CA26" t="e">
        <f>#REF!+"$Cm=!o9"</f>
        <v>#REF!</v>
      </c>
      <c r="CB26" t="e">
        <f>#REF!+"$Cm=!o:"</f>
        <v>#REF!</v>
      </c>
      <c r="CC26" t="e">
        <f>#REF!+"$Cm=!o;"</f>
        <v>#REF!</v>
      </c>
      <c r="CD26" t="e">
        <f>#REF!+"$Cm=!o&lt;"</f>
        <v>#REF!</v>
      </c>
      <c r="CE26" t="e">
        <f>#REF!+"$Cm=!o="</f>
        <v>#REF!</v>
      </c>
      <c r="CF26" t="e">
        <f>#REF!+"$Cm=!o&gt;"</f>
        <v>#REF!</v>
      </c>
      <c r="CG26" t="e">
        <f>#REF!+"$Cm=!o?"</f>
        <v>#REF!</v>
      </c>
      <c r="CH26" t="e">
        <f>#REF!+"$Cm=!o@"</f>
        <v>#REF!</v>
      </c>
      <c r="CI26" t="e">
        <f>#REF!+"$Cm=!oA"</f>
        <v>#REF!</v>
      </c>
      <c r="CJ26" t="e">
        <f>#REF!+"$Cm=!oB"</f>
        <v>#REF!</v>
      </c>
      <c r="CK26" t="e">
        <f>#REF!+"$Cm=!oC"</f>
        <v>#REF!</v>
      </c>
      <c r="CL26" t="e">
        <f>#REF!+"$Cm=!oD"</f>
        <v>#REF!</v>
      </c>
      <c r="CM26" t="e">
        <f>#REF!+"$Cm=!oE"</f>
        <v>#REF!</v>
      </c>
      <c r="CN26" t="e">
        <f>#REF!+"$Cm=!oF"</f>
        <v>#REF!</v>
      </c>
      <c r="CO26" t="e">
        <f>#REF!+"$Cm=!oG"</f>
        <v>#REF!</v>
      </c>
      <c r="CP26" t="e">
        <f>#REF!+"$Cm=!oH"</f>
        <v>#REF!</v>
      </c>
      <c r="CQ26" t="e">
        <f>#REF!+"$Cm=!oI"</f>
        <v>#REF!</v>
      </c>
      <c r="CR26" t="e">
        <f>#REF!+"$Cm=!oJ"</f>
        <v>#REF!</v>
      </c>
      <c r="CS26" t="e">
        <f>#REF!+"$Cm=!oK"</f>
        <v>#REF!</v>
      </c>
      <c r="CT26" t="e">
        <f>#REF!+"$Cm=!oL"</f>
        <v>#REF!</v>
      </c>
      <c r="CU26" t="e">
        <f>#REF!+"$Cm=!oM"</f>
        <v>#REF!</v>
      </c>
      <c r="CV26" t="e">
        <f>#REF!+"$Cm=!oN"</f>
        <v>#REF!</v>
      </c>
      <c r="CW26" t="e">
        <f>#REF!+"$Cm=!oO"</f>
        <v>#REF!</v>
      </c>
      <c r="CX26" t="e">
        <f>#REF!+"$Cm=!oP"</f>
        <v>#REF!</v>
      </c>
      <c r="CY26" t="e">
        <f>#REF!+"$Cm=!oQ"</f>
        <v>#REF!</v>
      </c>
      <c r="CZ26" t="e">
        <f>#REF!+"$Cm=!oR"</f>
        <v>#REF!</v>
      </c>
      <c r="DA26" t="e">
        <f>#REF!+"$Cm=!oS"</f>
        <v>#REF!</v>
      </c>
      <c r="DB26" t="e">
        <f>#REF!+"$Cm=!oT"</f>
        <v>#REF!</v>
      </c>
      <c r="DC26" t="e">
        <f>#REF!+"$Cm=!oU"</f>
        <v>#REF!</v>
      </c>
      <c r="DD26" t="e">
        <f>#REF!+"$Cm=!oV"</f>
        <v>#REF!</v>
      </c>
      <c r="DE26" t="e">
        <f>#REF!+"$Cm=!oW"</f>
        <v>#REF!</v>
      </c>
      <c r="DF26" t="e">
        <f>#REF!+"$Cm=!oX"</f>
        <v>#REF!</v>
      </c>
      <c r="DG26" t="e">
        <f>#REF!+"$Cm=!oY"</f>
        <v>#REF!</v>
      </c>
      <c r="DH26" t="e">
        <f>#REF!+"$Cm=!oZ"</f>
        <v>#REF!</v>
      </c>
      <c r="DI26" t="e">
        <f>#REF!+"$Cm=!o["</f>
        <v>#REF!</v>
      </c>
      <c r="DJ26" t="e">
        <f>#REF!+"$Cm=!o\"</f>
        <v>#REF!</v>
      </c>
      <c r="DK26" t="e">
        <f>#REF!+"$Cm=!o]"</f>
        <v>#REF!</v>
      </c>
      <c r="DL26" t="e">
        <f>#REF!+"$Cm=!o^"</f>
        <v>#REF!</v>
      </c>
      <c r="DM26" t="e">
        <f>#REF!+"$Cm=!o_"</f>
        <v>#REF!</v>
      </c>
      <c r="DN26" t="e">
        <f>#REF!+"$Cm=!o`"</f>
        <v>#REF!</v>
      </c>
      <c r="DO26" t="e">
        <f>#REF!+"$Cm=!oa"</f>
        <v>#REF!</v>
      </c>
      <c r="DP26" t="e">
        <f>#REF!+"$Cm=!ob"</f>
        <v>#REF!</v>
      </c>
      <c r="DQ26" t="e">
        <f>#REF!+"$Cm=!oc"</f>
        <v>#REF!</v>
      </c>
      <c r="DR26" t="e">
        <f>#REF!+"$Cm=!od"</f>
        <v>#REF!</v>
      </c>
      <c r="DS26" t="e">
        <f>#REF!+"$Cm=!oe"</f>
        <v>#REF!</v>
      </c>
      <c r="DT26" t="e">
        <f>#REF!+"$Cm=!of"</f>
        <v>#REF!</v>
      </c>
      <c r="DU26" t="e">
        <f>#REF!+"$Cm=!og"</f>
        <v>#REF!</v>
      </c>
      <c r="DV26" t="e">
        <f>#REF!+"$Cm=!oh"</f>
        <v>#REF!</v>
      </c>
      <c r="DW26" t="e">
        <f>#REF!+"$Cm=!oi"</f>
        <v>#REF!</v>
      </c>
      <c r="DX26" t="e">
        <f>#REF!+"$Cm=!oj"</f>
        <v>#REF!</v>
      </c>
      <c r="DY26" t="e">
        <f>#REF!+"$Cm=!ok"</f>
        <v>#REF!</v>
      </c>
      <c r="DZ26" t="e">
        <f>#REF!+"$Cm=!ol"</f>
        <v>#REF!</v>
      </c>
      <c r="EA26" t="e">
        <f>#REF!+"$Cm=!om"</f>
        <v>#REF!</v>
      </c>
      <c r="EB26" t="e">
        <f>#REF!+"$Cm=!on"</f>
        <v>#REF!</v>
      </c>
      <c r="EC26" t="e">
        <f>#REF!+"$Cm=!oo"</f>
        <v>#REF!</v>
      </c>
      <c r="ED26" t="e">
        <f>#REF!+"$Cm=!op"</f>
        <v>#REF!</v>
      </c>
      <c r="EE26" t="e">
        <f>#REF!+"$Cm=!oq"</f>
        <v>#REF!</v>
      </c>
      <c r="EF26" t="e">
        <f>#REF!+"$Cm=!or"</f>
        <v>#REF!</v>
      </c>
      <c r="EG26" t="e">
        <f>#REF!+"$Cm=!os"</f>
        <v>#REF!</v>
      </c>
      <c r="EH26" t="e">
        <f>#REF!+"$Cm=!ot"</f>
        <v>#REF!</v>
      </c>
      <c r="EI26" t="e">
        <f>#REF!+"$Cm=!ou"</f>
        <v>#REF!</v>
      </c>
      <c r="EJ26" t="e">
        <f>#REF!+"$Cm=!ov"</f>
        <v>#REF!</v>
      </c>
      <c r="EK26" t="e">
        <f>#REF!+"$Cm=!ow"</f>
        <v>#REF!</v>
      </c>
      <c r="EL26" t="e">
        <f>#REF!+"$Cm=!ox"</f>
        <v>#REF!</v>
      </c>
      <c r="EM26" t="e">
        <f>#REF!+"$Cm=!oy"</f>
        <v>#REF!</v>
      </c>
      <c r="EN26" t="e">
        <f>#REF!+"$Cm=!oz"</f>
        <v>#REF!</v>
      </c>
      <c r="EO26" t="e">
        <f>#REF!+"$Cm=!o{"</f>
        <v>#REF!</v>
      </c>
      <c r="EP26" t="e">
        <f>#REF!+"$Cm=!o|"</f>
        <v>#REF!</v>
      </c>
      <c r="EQ26" t="e">
        <f>#REF!+"$Cm=!o}"</f>
        <v>#REF!</v>
      </c>
      <c r="ER26" t="e">
        <f>#REF!+"$Cm=!o~"</f>
        <v>#REF!</v>
      </c>
      <c r="ES26" t="e">
        <f>#REF!+"$Cm=!p#"</f>
        <v>#REF!</v>
      </c>
      <c r="ET26" t="e">
        <f>#REF!+"$Cm=!p$"</f>
        <v>#REF!</v>
      </c>
      <c r="EU26" t="e">
        <f>#REF!+"$Cm=!p%"</f>
        <v>#REF!</v>
      </c>
      <c r="EV26" t="e">
        <f>#REF!+"$Cm=!p&amp;"</f>
        <v>#REF!</v>
      </c>
      <c r="EW26" t="e">
        <f>#REF!+"$Cm=!p'"</f>
        <v>#REF!</v>
      </c>
      <c r="EX26" t="e">
        <f>#REF!+"$Cm=!p("</f>
        <v>#REF!</v>
      </c>
      <c r="EY26" t="e">
        <f>#REF!+"$Cm=!p)"</f>
        <v>#REF!</v>
      </c>
      <c r="EZ26" t="e">
        <f>#REF!+"$Cm=!p."</f>
        <v>#REF!</v>
      </c>
      <c r="FA26" t="e">
        <f>#REF!+"$Cm=!p/"</f>
        <v>#REF!</v>
      </c>
      <c r="FB26" t="e">
        <f>#REF!+"$Cm=!p0"</f>
        <v>#REF!</v>
      </c>
      <c r="FC26" t="e">
        <f>#REF!+"$Cm=!p1"</f>
        <v>#REF!</v>
      </c>
      <c r="FD26" t="e">
        <f>#REF!+"$Cm=!p2"</f>
        <v>#REF!</v>
      </c>
      <c r="FE26" t="e">
        <f>#REF!+"$Cm=!p3"</f>
        <v>#REF!</v>
      </c>
      <c r="FF26" t="e">
        <f>#REF!+"$Cm=!p4"</f>
        <v>#REF!</v>
      </c>
      <c r="FG26" t="e">
        <f>#REF!+"$Cm=!p5"</f>
        <v>#REF!</v>
      </c>
      <c r="FH26" t="e">
        <f>#REF!+"$Cm=!p6"</f>
        <v>#REF!</v>
      </c>
      <c r="FI26" t="e">
        <f>#REF!+"$Cm=!p7"</f>
        <v>#REF!</v>
      </c>
      <c r="FJ26" t="e">
        <f>#REF!+"$Cm=!p8"</f>
        <v>#REF!</v>
      </c>
      <c r="FK26" t="e">
        <f>#REF!+"$Cm=!p9"</f>
        <v>#REF!</v>
      </c>
      <c r="FL26" t="e">
        <f>#REF!+"$Cm=!p:"</f>
        <v>#REF!</v>
      </c>
      <c r="FM26" t="e">
        <f>#REF!+"$Cm=!p;"</f>
        <v>#REF!</v>
      </c>
      <c r="FN26" t="e">
        <f>#REF!+"$Cm=!p&lt;"</f>
        <v>#REF!</v>
      </c>
      <c r="FO26" t="e">
        <f>#REF!+"$Cm=!p="</f>
        <v>#REF!</v>
      </c>
      <c r="FP26" t="e">
        <f>#REF!+"$Cm=!p&gt;"</f>
        <v>#REF!</v>
      </c>
      <c r="FQ26" t="e">
        <f>#REF!+"$Cm=!p?"</f>
        <v>#REF!</v>
      </c>
      <c r="FR26" t="e">
        <f>#REF!+"$Cm=!p@"</f>
        <v>#REF!</v>
      </c>
      <c r="FS26" t="e">
        <f>#REF!+"$Cm=!pA"</f>
        <v>#REF!</v>
      </c>
      <c r="FT26" t="e">
        <f>#REF!+"$Cm=!pB"</f>
        <v>#REF!</v>
      </c>
      <c r="FU26" t="e">
        <f>#REF!+"$Cm=!pC"</f>
        <v>#REF!</v>
      </c>
      <c r="FV26" t="e">
        <f>#REF!+"$Cm=!pD"</f>
        <v>#REF!</v>
      </c>
      <c r="FW26" t="e">
        <f>#REF!+"$Cm=!pE"</f>
        <v>#REF!</v>
      </c>
      <c r="FX26" t="e">
        <f>#REF!+"$Cm=!pF"</f>
        <v>#REF!</v>
      </c>
      <c r="FY26" t="e">
        <f>#REF!+"$Cm=!pG"</f>
        <v>#REF!</v>
      </c>
      <c r="FZ26" t="e">
        <f>#REF!+"$Cm=!pH"</f>
        <v>#REF!</v>
      </c>
      <c r="GA26" t="e">
        <f>#REF!+"$Cm=!pI"</f>
        <v>#REF!</v>
      </c>
      <c r="GB26" t="e">
        <f>#REF!+"$Cm=!pJ"</f>
        <v>#REF!</v>
      </c>
      <c r="GC26" t="e">
        <f>#REF!+"$Cm=!pK"</f>
        <v>#REF!</v>
      </c>
      <c r="GD26" t="e">
        <f>#REF!+"$Cm=!pL"</f>
        <v>#REF!</v>
      </c>
      <c r="GE26" t="e">
        <f>#REF!+"$Cm=!pM"</f>
        <v>#REF!</v>
      </c>
      <c r="GF26" t="e">
        <f>#REF!+"$Cm=!pN"</f>
        <v>#REF!</v>
      </c>
      <c r="GG26" t="e">
        <f>#REF!+"$Cm=!pO"</f>
        <v>#REF!</v>
      </c>
      <c r="GH26" t="e">
        <f>#REF!+"$Cm=!pP"</f>
        <v>#REF!</v>
      </c>
      <c r="GI26" t="e">
        <f>#REF!+"$Cm=!pQ"</f>
        <v>#REF!</v>
      </c>
      <c r="GJ26" t="e">
        <f>#REF!+"$Cm=!pR"</f>
        <v>#REF!</v>
      </c>
      <c r="GK26" t="e">
        <f>#REF!+"$Cm=!pS"</f>
        <v>#REF!</v>
      </c>
      <c r="GL26" t="e">
        <f>#REF!+"$Cm=!pT"</f>
        <v>#REF!</v>
      </c>
      <c r="GM26" t="e">
        <f>#REF!+"$Cm=!pU"</f>
        <v>#REF!</v>
      </c>
      <c r="GN26" t="e">
        <f>#REF!+"$Cm=!pV"</f>
        <v>#REF!</v>
      </c>
      <c r="GO26" t="e">
        <f>#REF!+"$Cm=!pW"</f>
        <v>#REF!</v>
      </c>
      <c r="GP26" t="e">
        <f>#REF!+"$Cm=!pX"</f>
        <v>#REF!</v>
      </c>
      <c r="GQ26" t="e">
        <f>#REF!+"$Cm=!pY"</f>
        <v>#REF!</v>
      </c>
      <c r="GR26" t="e">
        <f>#REF!+"$Cm=!pZ"</f>
        <v>#REF!</v>
      </c>
      <c r="GS26" t="e">
        <f>#REF!+"$Cm=!p["</f>
        <v>#REF!</v>
      </c>
      <c r="GT26" t="e">
        <f>#REF!+"$Cm=!p\"</f>
        <v>#REF!</v>
      </c>
      <c r="GU26" t="e">
        <f>#REF!+"$Cm=!p]"</f>
        <v>#REF!</v>
      </c>
      <c r="GV26" t="e">
        <f>#REF!+"$Cm=!p^"</f>
        <v>#REF!</v>
      </c>
      <c r="GW26" t="e">
        <f>#REF!+"$Cm=!p_"</f>
        <v>#REF!</v>
      </c>
      <c r="GX26" t="e">
        <f>#REF!+"$Cm=!p`"</f>
        <v>#REF!</v>
      </c>
      <c r="GY26" t="e">
        <f>#REF!+"$Cm=!pa"</f>
        <v>#REF!</v>
      </c>
      <c r="GZ26" t="e">
        <f>#REF!+"$Cm=!pb"</f>
        <v>#REF!</v>
      </c>
      <c r="HA26" t="e">
        <f>#REF!+"$Cm=!pc"</f>
        <v>#REF!</v>
      </c>
      <c r="HB26" t="e">
        <f>#REF!+"$Cm=!pd"</f>
        <v>#REF!</v>
      </c>
      <c r="HC26" t="e">
        <f>#REF!+"$Cm=!pe"</f>
        <v>#REF!</v>
      </c>
      <c r="HD26" t="e">
        <f>#REF!+"$Cm=!pf"</f>
        <v>#REF!</v>
      </c>
      <c r="HE26" t="e">
        <f>#REF!+"$Cm=!pg"</f>
        <v>#REF!</v>
      </c>
      <c r="HF26" t="e">
        <f>#REF!+"$Cm=!ph"</f>
        <v>#REF!</v>
      </c>
      <c r="HG26" t="e">
        <f>#REF!+"$Cm=!pi"</f>
        <v>#REF!</v>
      </c>
      <c r="HH26" t="e">
        <f>#REF!+"$Cm=!pj"</f>
        <v>#REF!</v>
      </c>
      <c r="HI26" t="e">
        <f>#REF!+"$Cm=!pk"</f>
        <v>#REF!</v>
      </c>
      <c r="HJ26" t="e">
        <f>#REF!+"$Cm=!pl"</f>
        <v>#REF!</v>
      </c>
      <c r="HK26" t="e">
        <f>#REF!+"$Cm=!pm"</f>
        <v>#REF!</v>
      </c>
      <c r="HL26" t="e">
        <f>#REF!+"$Cm=!pn"</f>
        <v>#REF!</v>
      </c>
      <c r="HM26" t="e">
        <f>#REF!+"$Cm=!po"</f>
        <v>#REF!</v>
      </c>
      <c r="HN26" t="e">
        <f>#REF!+"$Cm=!pp"</f>
        <v>#REF!</v>
      </c>
      <c r="HO26" t="e">
        <f>#REF!+"$Cm=!pq"</f>
        <v>#REF!</v>
      </c>
      <c r="HP26" t="e">
        <f>#REF!+"$Cm=!pr"</f>
        <v>#REF!</v>
      </c>
      <c r="HQ26" t="e">
        <f>#REF!+"$Cm=!ps"</f>
        <v>#REF!</v>
      </c>
      <c r="HR26" t="e">
        <f>#REF!+"$Cm=!pt"</f>
        <v>#REF!</v>
      </c>
      <c r="HS26" t="e">
        <f>#REF!+"$Cm=!pu"</f>
        <v>#REF!</v>
      </c>
      <c r="HT26" t="e">
        <f>#REF!+"$Cm=!pv"</f>
        <v>#REF!</v>
      </c>
      <c r="HU26" t="e">
        <f>#REF!+"$Cm=!pw"</f>
        <v>#REF!</v>
      </c>
      <c r="HV26" t="e">
        <f>#REF!+"$Cm=!px"</f>
        <v>#REF!</v>
      </c>
      <c r="HW26" t="e">
        <f>#REF!+"$Cm=!py"</f>
        <v>#REF!</v>
      </c>
      <c r="HX26" t="e">
        <f>#REF!+"$Cm=!pz"</f>
        <v>#REF!</v>
      </c>
      <c r="HY26" t="e">
        <f>#REF!+"$Cm=!p{"</f>
        <v>#REF!</v>
      </c>
      <c r="HZ26" t="e">
        <f>#REF!+"$Cm=!p|"</f>
        <v>#REF!</v>
      </c>
      <c r="IA26" t="e">
        <f>#REF!+"$Cm=!p}"</f>
        <v>#REF!</v>
      </c>
      <c r="IB26" t="e">
        <f>#REF!+"$Cm=!p~"</f>
        <v>#REF!</v>
      </c>
      <c r="IC26" t="e">
        <f>#REF!+"$Cm=!q#"</f>
        <v>#REF!</v>
      </c>
      <c r="ID26" t="e">
        <f>#REF!+"$Cm=!q$"</f>
        <v>#REF!</v>
      </c>
      <c r="IE26" t="e">
        <f>#REF!+"$Cm=!q%"</f>
        <v>#REF!</v>
      </c>
      <c r="IF26" t="e">
        <f>#REF!+"$Cm=!q&amp;"</f>
        <v>#REF!</v>
      </c>
      <c r="IG26" t="e">
        <f>#REF!+"$Cm=!q'"</f>
        <v>#REF!</v>
      </c>
      <c r="IH26" t="e">
        <f>#REF!+"$Cm=!q("</f>
        <v>#REF!</v>
      </c>
      <c r="II26" t="e">
        <f>#REF!+"$Cm=!q)"</f>
        <v>#REF!</v>
      </c>
      <c r="IJ26" t="e">
        <f>#REF!+"$Cm=!q."</f>
        <v>#REF!</v>
      </c>
      <c r="IK26" t="e">
        <f>#REF!+"$Cm=!q/"</f>
        <v>#REF!</v>
      </c>
      <c r="IL26" t="e">
        <f>#REF!+"$Cm=!q0"</f>
        <v>#REF!</v>
      </c>
      <c r="IM26" t="e">
        <f>#REF!+"$Cm=!q1"</f>
        <v>#REF!</v>
      </c>
      <c r="IN26" t="e">
        <f>#REF!+"$Cm=!q2"</f>
        <v>#REF!</v>
      </c>
      <c r="IO26" t="e">
        <f>#REF!+"$Cm=!q3"</f>
        <v>#REF!</v>
      </c>
      <c r="IP26" t="e">
        <f>#REF!+"$Cm=!q4"</f>
        <v>#REF!</v>
      </c>
      <c r="IQ26" t="e">
        <f>#REF!+"$Cm=!q5"</f>
        <v>#REF!</v>
      </c>
      <c r="IR26" t="e">
        <f>#REF!+"$Cm=!q6"</f>
        <v>#REF!</v>
      </c>
      <c r="IS26" t="e">
        <f>#REF!+"$Cm=!q7"</f>
        <v>#REF!</v>
      </c>
      <c r="IT26" t="e">
        <f>#REF!+"$Cm=!q8"</f>
        <v>#REF!</v>
      </c>
      <c r="IU26" t="e">
        <f>#REF!+"$Cm=!q9"</f>
        <v>#REF!</v>
      </c>
      <c r="IV26" t="e">
        <f>#REF!+"$Cm=!q:"</f>
        <v>#REF!</v>
      </c>
    </row>
    <row r="27" spans="6:256">
      <c r="F27" t="e">
        <f>#REF!+"$Cm=!q;"</f>
        <v>#REF!</v>
      </c>
      <c r="G27" t="e">
        <f>#REF!+"$Cm=!q&lt;"</f>
        <v>#REF!</v>
      </c>
      <c r="H27" t="e">
        <f>#REF!+"$Cm=!q="</f>
        <v>#REF!</v>
      </c>
      <c r="I27" t="e">
        <f>#REF!+"$Cm=!q&gt;"</f>
        <v>#REF!</v>
      </c>
      <c r="J27" t="e">
        <f>#REF!+"$Cm=!q?"</f>
        <v>#REF!</v>
      </c>
      <c r="K27" t="e">
        <f>#REF!+"$Cm=!q@"</f>
        <v>#REF!</v>
      </c>
      <c r="L27" t="e">
        <f>#REF!+"$Cm=!qA"</f>
        <v>#REF!</v>
      </c>
      <c r="M27" t="e">
        <f>#REF!+"$Cm=!qB"</f>
        <v>#REF!</v>
      </c>
      <c r="N27" t="e">
        <f>#REF!+"$Cm=!qC"</f>
        <v>#REF!</v>
      </c>
      <c r="O27" t="e">
        <f>#REF!+"$Cm=!qD"</f>
        <v>#REF!</v>
      </c>
      <c r="P27" t="e">
        <f>#REF!+"$Cm=!qE"</f>
        <v>#REF!</v>
      </c>
      <c r="Q27" t="e">
        <f>#REF!+"$Cm=!qF"</f>
        <v>#REF!</v>
      </c>
      <c r="R27" t="e">
        <f>#REF!+"$Cm=!qG"</f>
        <v>#REF!</v>
      </c>
      <c r="S27" t="e">
        <f>#REF!+"$Cm=!qH"</f>
        <v>#REF!</v>
      </c>
      <c r="T27" t="e">
        <f>#REF!+"$Cm=!qI"</f>
        <v>#REF!</v>
      </c>
      <c r="U27" t="e">
        <f>#REF!+"$Cm=!qJ"</f>
        <v>#REF!</v>
      </c>
      <c r="V27" t="e">
        <f>#REF!+"$Cm=!qK"</f>
        <v>#REF!</v>
      </c>
      <c r="W27" t="e">
        <f>#REF!+"$Cm=!qL"</f>
        <v>#REF!</v>
      </c>
      <c r="X27" t="e">
        <f>#REF!+"$Cm=!qM"</f>
        <v>#REF!</v>
      </c>
      <c r="Y27" t="e">
        <f>#REF!+"$Cm=!qN"</f>
        <v>#REF!</v>
      </c>
      <c r="Z27" t="e">
        <f>#REF!+"$Cm=!qO"</f>
        <v>#REF!</v>
      </c>
      <c r="AA27" t="e">
        <f>#REF!+"$Cm=!qP"</f>
        <v>#REF!</v>
      </c>
      <c r="AB27" t="e">
        <f>#REF!+"$Cm=!qQ"</f>
        <v>#REF!</v>
      </c>
      <c r="AC27" t="e">
        <f>#REF!+"$Cm=!qR"</f>
        <v>#REF!</v>
      </c>
      <c r="AD27" t="e">
        <f>#REF!+"$Cm=!qS"</f>
        <v>#REF!</v>
      </c>
      <c r="AE27" t="e">
        <f>#REF!+"$Cm=!qT"</f>
        <v>#REF!</v>
      </c>
      <c r="AF27" t="e">
        <f>#REF!+"$Cm=!qU"</f>
        <v>#REF!</v>
      </c>
      <c r="AG27" t="e">
        <f>#REF!+"$Cm=!qV"</f>
        <v>#REF!</v>
      </c>
      <c r="AH27" t="e">
        <f>#REF!+"$Cm=!qW"</f>
        <v>#REF!</v>
      </c>
      <c r="AI27" t="e">
        <f>#REF!+"$Cm=!qX"</f>
        <v>#REF!</v>
      </c>
      <c r="AJ27" t="e">
        <f>#REF!+"$Cm=!qY"</f>
        <v>#REF!</v>
      </c>
      <c r="AK27" t="e">
        <f>#REF!+"$Cm=!qZ"</f>
        <v>#REF!</v>
      </c>
      <c r="AL27" t="e">
        <f>#REF!+"$Cm=!q["</f>
        <v>#REF!</v>
      </c>
      <c r="AM27" t="e">
        <f>#REF!+"$Cm=!q\"</f>
        <v>#REF!</v>
      </c>
      <c r="AN27" t="e">
        <f>#REF!+"$Cm=!q]"</f>
        <v>#REF!</v>
      </c>
      <c r="AO27" t="e">
        <f>#REF!+"$Cm=!q^"</f>
        <v>#REF!</v>
      </c>
      <c r="AP27" t="e">
        <f>#REF!+"$Cm=!q_"</f>
        <v>#REF!</v>
      </c>
      <c r="AQ27" t="e">
        <f>#REF!+"$Cm=!q`"</f>
        <v>#REF!</v>
      </c>
      <c r="AR27" t="e">
        <f>#REF!+"$Cm=!qa"</f>
        <v>#REF!</v>
      </c>
      <c r="AS27" t="e">
        <f>#REF!+"$Cm=!qb"</f>
        <v>#REF!</v>
      </c>
      <c r="AT27" t="e">
        <f>#REF!+"$Cm=!qc"</f>
        <v>#REF!</v>
      </c>
      <c r="AU27" t="e">
        <f>#REF!+"$Cm=!qd"</f>
        <v>#REF!</v>
      </c>
      <c r="AV27" t="e">
        <f>#REF!+"$Cm=!qe"</f>
        <v>#REF!</v>
      </c>
      <c r="AW27" t="e">
        <f>#REF!+"$Cm=!qf"</f>
        <v>#REF!</v>
      </c>
      <c r="AX27" t="e">
        <f>#REF!+"$Cm=!qg"</f>
        <v>#REF!</v>
      </c>
      <c r="AY27" t="e">
        <f>#REF!+"$Cm=!qh"</f>
        <v>#REF!</v>
      </c>
      <c r="AZ27" t="e">
        <f>#REF!+"$Cm=!qi"</f>
        <v>#REF!</v>
      </c>
      <c r="BA27" t="e">
        <f>#REF!+"$Cm=!qj"</f>
        <v>#REF!</v>
      </c>
      <c r="BB27" t="e">
        <f>#REF!+"$Cm=!qk"</f>
        <v>#REF!</v>
      </c>
      <c r="BC27" t="e">
        <f>#REF!+"$Cm=!ql"</f>
        <v>#REF!</v>
      </c>
      <c r="BD27" t="e">
        <f>#REF!+"$Cm=!qm"</f>
        <v>#REF!</v>
      </c>
      <c r="BE27" t="e">
        <f>#REF!+"$Cm=!qn"</f>
        <v>#REF!</v>
      </c>
      <c r="BF27" t="e">
        <f>#REF!+"$Cm=!qo"</f>
        <v>#REF!</v>
      </c>
      <c r="BG27" t="e">
        <f>#REF!+"$Cm=!qp"</f>
        <v>#REF!</v>
      </c>
      <c r="BH27" t="e">
        <f>#REF!+"$Cm=!qq"</f>
        <v>#REF!</v>
      </c>
      <c r="BI27" t="e">
        <f>#REF!+"$Cm=!qr"</f>
        <v>#REF!</v>
      </c>
      <c r="BJ27" t="e">
        <f>#REF!+"$Cm=!qs"</f>
        <v>#REF!</v>
      </c>
      <c r="BK27" t="e">
        <f>#REF!+"$Cm=!qt"</f>
        <v>#REF!</v>
      </c>
      <c r="BL27" t="e">
        <f>#REF!+"$Cm=!qu"</f>
        <v>#REF!</v>
      </c>
      <c r="BM27" t="e">
        <f>#REF!+"$Cm=!qv"</f>
        <v>#REF!</v>
      </c>
      <c r="BN27" t="e">
        <f>#REF!+"$Cm=!qw"</f>
        <v>#REF!</v>
      </c>
      <c r="BO27" t="e">
        <f>#REF!+"$Cm=!qx"</f>
        <v>#REF!</v>
      </c>
      <c r="BP27" t="e">
        <f>#REF!+"$Cm=!qy"</f>
        <v>#REF!</v>
      </c>
      <c r="BQ27" t="e">
        <f>#REF!+"$Cm=!qz"</f>
        <v>#REF!</v>
      </c>
      <c r="BR27" t="e">
        <f>#REF!+"$Cm=!q{"</f>
        <v>#REF!</v>
      </c>
      <c r="BS27" t="e">
        <f>#REF!+"$Cm=!q|"</f>
        <v>#REF!</v>
      </c>
      <c r="BT27" t="e">
        <f>#REF!+"$Cm=!q}"</f>
        <v>#REF!</v>
      </c>
      <c r="BU27" t="e">
        <f>#REF!+"$Cm=!q~"</f>
        <v>#REF!</v>
      </c>
      <c r="BV27" t="e">
        <f>#REF!+"$Cm=!r#"</f>
        <v>#REF!</v>
      </c>
      <c r="BW27" t="e">
        <f>#REF!+"$Cm=!r$"</f>
        <v>#REF!</v>
      </c>
      <c r="BX27" t="e">
        <f>#REF!+"$Cm=!r%"</f>
        <v>#REF!</v>
      </c>
      <c r="BY27" t="e">
        <f>#REF!+"$Cm=!r&amp;"</f>
        <v>#REF!</v>
      </c>
      <c r="BZ27" t="e">
        <f>#REF!+"$Cm=!r'"</f>
        <v>#REF!</v>
      </c>
      <c r="CA27" t="e">
        <f>#REF!+"$Cm=!r("</f>
        <v>#REF!</v>
      </c>
      <c r="CB27" t="e">
        <f>#REF!+"$Cm=!r)"</f>
        <v>#REF!</v>
      </c>
      <c r="CC27" t="e">
        <f>#REF!+"$Cm=!r."</f>
        <v>#REF!</v>
      </c>
      <c r="CD27" t="e">
        <f>#REF!+"$Cm=!r/"</f>
        <v>#REF!</v>
      </c>
      <c r="CE27" t="e">
        <f>#REF!+"$Cm=!r0"</f>
        <v>#REF!</v>
      </c>
      <c r="CF27" t="e">
        <f>#REF!+"$Cm=!r1"</f>
        <v>#REF!</v>
      </c>
      <c r="CG27" t="e">
        <f>#REF!+"$Cm=!r2"</f>
        <v>#REF!</v>
      </c>
      <c r="CH27" t="e">
        <f>#REF!+"$Cm=!r3"</f>
        <v>#REF!</v>
      </c>
      <c r="CI27" t="e">
        <f>#REF!+"$Cm=!r4"</f>
        <v>#REF!</v>
      </c>
      <c r="CJ27" t="e">
        <f>#REF!+"$Cm=!r5"</f>
        <v>#REF!</v>
      </c>
      <c r="CK27" t="e">
        <f>#REF!+"$Cm=!r6"</f>
        <v>#REF!</v>
      </c>
      <c r="CL27" t="e">
        <f>#REF!+"$Cm=!r7"</f>
        <v>#REF!</v>
      </c>
      <c r="CM27" t="e">
        <f>#REF!+"$Cm=!r8"</f>
        <v>#REF!</v>
      </c>
      <c r="CN27" t="e">
        <f>#REF!+"$Cm=!r9"</f>
        <v>#REF!</v>
      </c>
      <c r="CO27" t="e">
        <f>#REF!+"$Cm=!r:"</f>
        <v>#REF!</v>
      </c>
      <c r="CP27" t="e">
        <f>#REF!+"$Cm=!r;"</f>
        <v>#REF!</v>
      </c>
      <c r="CQ27" t="e">
        <f>#REF!+"$Cm=!r&lt;"</f>
        <v>#REF!</v>
      </c>
      <c r="CR27" t="e">
        <f>#REF!+"$Cm=!r="</f>
        <v>#REF!</v>
      </c>
      <c r="CS27" t="e">
        <f>#REF!+"$Cm=!r&gt;"</f>
        <v>#REF!</v>
      </c>
      <c r="CT27" t="e">
        <f>#REF!+"$Cm=!r?"</f>
        <v>#REF!</v>
      </c>
      <c r="CU27" t="e">
        <f>#REF!+"$Cm=!r@"</f>
        <v>#REF!</v>
      </c>
      <c r="CV27" t="e">
        <f>#REF!+"$Cm=!rA"</f>
        <v>#REF!</v>
      </c>
      <c r="CW27" t="e">
        <f>#REF!+"$Cm=!rB"</f>
        <v>#REF!</v>
      </c>
      <c r="CX27" t="e">
        <f>#REF!+"$Cm=!rC"</f>
        <v>#REF!</v>
      </c>
      <c r="CY27" t="e">
        <f>#REF!+"$Cm=!rD"</f>
        <v>#REF!</v>
      </c>
      <c r="CZ27" t="e">
        <f>#REF!+"$Cm=!rE"</f>
        <v>#REF!</v>
      </c>
      <c r="DA27" t="e">
        <f>#REF!+"$Cm=!rF"</f>
        <v>#REF!</v>
      </c>
      <c r="DB27" t="e">
        <f>#REF!+"$Cm=!rG"</f>
        <v>#REF!</v>
      </c>
      <c r="DC27" t="e">
        <f>#REF!+"$Cm=!rH"</f>
        <v>#REF!</v>
      </c>
      <c r="DD27" t="e">
        <f>#REF!+"$Cm=!rI"</f>
        <v>#REF!</v>
      </c>
      <c r="DE27" t="e">
        <f>#REF!+"$Cm=!rJ"</f>
        <v>#REF!</v>
      </c>
      <c r="DF27" t="e">
        <f>#REF!+"$Cm=!rK"</f>
        <v>#REF!</v>
      </c>
      <c r="DG27" t="e">
        <f>#REF!+"$Cm=!rL"</f>
        <v>#REF!</v>
      </c>
      <c r="DH27" t="e">
        <f>#REF!+"$Cm=!rM"</f>
        <v>#REF!</v>
      </c>
      <c r="DI27" t="e">
        <f>#REF!+"$Cm=!rN"</f>
        <v>#REF!</v>
      </c>
      <c r="DJ27" t="e">
        <f>#REF!+"$Cm=!rO"</f>
        <v>#REF!</v>
      </c>
      <c r="DK27" t="e">
        <f>#REF!+"$Cm=!rP"</f>
        <v>#REF!</v>
      </c>
      <c r="DL27" t="e">
        <f>#REF!+"$Cm=!rQ"</f>
        <v>#REF!</v>
      </c>
      <c r="DM27" t="e">
        <f>#REF!+"$Cm=!rR"</f>
        <v>#REF!</v>
      </c>
      <c r="DN27" t="e">
        <f>#REF!+"$Cm=!rS"</f>
        <v>#REF!</v>
      </c>
      <c r="DO27" t="e">
        <f>#REF!+"$Cm=!rT"</f>
        <v>#REF!</v>
      </c>
      <c r="DP27" t="e">
        <f>#REF!+"$Cm=!rU"</f>
        <v>#REF!</v>
      </c>
      <c r="DQ27" t="e">
        <f>#REF!+"$Cm=!rV"</f>
        <v>#REF!</v>
      </c>
      <c r="DR27" t="e">
        <f>#REF!+"$Cm=!rW"</f>
        <v>#REF!</v>
      </c>
      <c r="DS27" t="e">
        <f>#REF!+"$Cm=!rX"</f>
        <v>#REF!</v>
      </c>
      <c r="DT27" t="e">
        <f>#REF!+"$Cm=!rY"</f>
        <v>#REF!</v>
      </c>
      <c r="DU27" t="e">
        <f>#REF!+"$Cm=!rZ"</f>
        <v>#REF!</v>
      </c>
      <c r="DV27" t="e">
        <f>#REF!+"$Cm=!r["</f>
        <v>#REF!</v>
      </c>
      <c r="DW27" t="e">
        <f>#REF!+"$Cm=!r\"</f>
        <v>#REF!</v>
      </c>
      <c r="DX27" t="e">
        <f>#REF!+"$Cm=!r]"</f>
        <v>#REF!</v>
      </c>
      <c r="DY27" t="e">
        <f>#REF!+"$Cm=!r^"</f>
        <v>#REF!</v>
      </c>
      <c r="DZ27" t="e">
        <f>#REF!+"$Cm=!r_"</f>
        <v>#REF!</v>
      </c>
      <c r="EA27" t="e">
        <f>#REF!+"$Cm=!r`"</f>
        <v>#REF!</v>
      </c>
      <c r="EB27" t="e">
        <f>#REF!+"$Cm=!ra"</f>
        <v>#REF!</v>
      </c>
      <c r="EC27" t="e">
        <f>#REF!+"$Cm=!rb"</f>
        <v>#REF!</v>
      </c>
      <c r="ED27" t="e">
        <f>#REF!+"$Cm=!rc"</f>
        <v>#REF!</v>
      </c>
      <c r="EE27" t="e">
        <f>#REF!+"$Cm=!rd"</f>
        <v>#REF!</v>
      </c>
      <c r="EF27" t="e">
        <f>#REF!+"$Cm=!re"</f>
        <v>#REF!</v>
      </c>
      <c r="EG27" t="e">
        <f>#REF!+"$Cm=!rf"</f>
        <v>#REF!</v>
      </c>
      <c r="EH27" t="e">
        <f>#REF!+"$Cm=!rg"</f>
        <v>#REF!</v>
      </c>
      <c r="EI27" t="e">
        <f>#REF!+"$Cm=!rh"</f>
        <v>#REF!</v>
      </c>
      <c r="EJ27" t="e">
        <f>#REF!+"$Cm=!ri"</f>
        <v>#REF!</v>
      </c>
      <c r="EK27" t="e">
        <f>#REF!+"$Cm=!rj"</f>
        <v>#REF!</v>
      </c>
      <c r="EL27" t="e">
        <f>#REF!+"$Cm=!rk"</f>
        <v>#REF!</v>
      </c>
      <c r="EM27" t="e">
        <f>#REF!+"$Cm=!rl"</f>
        <v>#REF!</v>
      </c>
      <c r="EN27" t="e">
        <f>#REF!+"$Cm=!rm"</f>
        <v>#REF!</v>
      </c>
      <c r="EO27" t="e">
        <f>#REF!+"$Cm=!rn"</f>
        <v>#REF!</v>
      </c>
      <c r="EP27" t="e">
        <f>#REF!+"$Cm=!ro"</f>
        <v>#REF!</v>
      </c>
      <c r="EQ27" t="e">
        <f>#REF!+"$Cm=!rp"</f>
        <v>#REF!</v>
      </c>
      <c r="ER27" t="e">
        <f>#REF!+"$Cm=!rq"</f>
        <v>#REF!</v>
      </c>
      <c r="ES27" t="e">
        <f>#REF!+"$Cm=!rr"</f>
        <v>#REF!</v>
      </c>
      <c r="ET27" t="e">
        <f>#REF!+"$Cm=!rs"</f>
        <v>#REF!</v>
      </c>
      <c r="EU27" t="e">
        <f>#REF!+"$Cm=!rt"</f>
        <v>#REF!</v>
      </c>
      <c r="EV27" t="e">
        <f>#REF!+"$Cm=!ru"</f>
        <v>#REF!</v>
      </c>
      <c r="EW27" t="e">
        <f>#REF!+"$Cm=!rv"</f>
        <v>#REF!</v>
      </c>
      <c r="EX27" t="e">
        <f>#REF!+"$Cm=!rw"</f>
        <v>#REF!</v>
      </c>
      <c r="EY27" t="e">
        <f>#REF!+"$Cm=!rx"</f>
        <v>#REF!</v>
      </c>
      <c r="EZ27" t="e">
        <f>#REF!+"$Cm=!ry"</f>
        <v>#REF!</v>
      </c>
      <c r="FA27" t="e">
        <f>#REF!+"$Cm=!rz"</f>
        <v>#REF!</v>
      </c>
      <c r="FB27" t="e">
        <f>#REF!+"$Cm=!r{"</f>
        <v>#REF!</v>
      </c>
      <c r="FC27" t="e">
        <f>#REF!+"$Cm=!r|"</f>
        <v>#REF!</v>
      </c>
      <c r="FD27" t="e">
        <f>#REF!+"$Cm=!r}"</f>
        <v>#REF!</v>
      </c>
      <c r="FE27" t="e">
        <f>#REF!+"$Cm=!r~"</f>
        <v>#REF!</v>
      </c>
      <c r="FF27" t="e">
        <f>#REF!+"$Cm=!s#"</f>
        <v>#REF!</v>
      </c>
      <c r="FG27" t="e">
        <f>#REF!+"$Cm=!s$"</f>
        <v>#REF!</v>
      </c>
      <c r="FH27" t="e">
        <f>#REF!+"$Cm=!s%"</f>
        <v>#REF!</v>
      </c>
      <c r="FI27" t="e">
        <f>#REF!+"$Cm=!s&amp;"</f>
        <v>#REF!</v>
      </c>
      <c r="FJ27" t="e">
        <f>#REF!+"$Cm=!s'"</f>
        <v>#REF!</v>
      </c>
      <c r="FK27" t="e">
        <f>#REF!+"$Cm=!s("</f>
        <v>#REF!</v>
      </c>
      <c r="FL27" t="e">
        <f>#REF!+"$Cm=!s)"</f>
        <v>#REF!</v>
      </c>
      <c r="FM27" t="e">
        <f>#REF!+"$Cm=!s."</f>
        <v>#REF!</v>
      </c>
      <c r="FN27" t="e">
        <f>#REF!+"$Cm=!s/"</f>
        <v>#REF!</v>
      </c>
      <c r="FO27" t="e">
        <f>#REF!+"$Cm=!s0"</f>
        <v>#REF!</v>
      </c>
      <c r="FP27" t="e">
        <f>#REF!+"$Cm=!s1"</f>
        <v>#REF!</v>
      </c>
      <c r="FQ27" t="e">
        <f>#REF!+"$Cm=!s2"</f>
        <v>#REF!</v>
      </c>
      <c r="FR27" t="e">
        <f>#REF!+"$Cm=!s3"</f>
        <v>#REF!</v>
      </c>
      <c r="FS27" t="e">
        <f>#REF!+"$Cm=!s4"</f>
        <v>#REF!</v>
      </c>
      <c r="FT27" t="e">
        <f>#REF!+"$Cm=!s5"</f>
        <v>#REF!</v>
      </c>
      <c r="FU27" t="e">
        <f>#REF!+"$Cm=!s6"</f>
        <v>#REF!</v>
      </c>
      <c r="FV27" t="e">
        <f>#REF!+"$Cm=!s7"</f>
        <v>#REF!</v>
      </c>
      <c r="FW27" t="e">
        <f>#REF!+"$Cm=!s8"</f>
        <v>#REF!</v>
      </c>
      <c r="FX27" t="e">
        <f>#REF!+"$Cm=!s9"</f>
        <v>#REF!</v>
      </c>
      <c r="FY27" t="e">
        <f>#REF!+"$Cm=!s:"</f>
        <v>#REF!</v>
      </c>
      <c r="FZ27" t="e">
        <f>#REF!+"$Cm=!s;"</f>
        <v>#REF!</v>
      </c>
      <c r="GA27" t="e">
        <f>#REF!+"$Cm=!s&lt;"</f>
        <v>#REF!</v>
      </c>
      <c r="GB27" t="e">
        <f>#REF!+"$Cm=!s="</f>
        <v>#REF!</v>
      </c>
      <c r="GC27" t="e">
        <f>#REF!+"$Cm=!s&gt;"</f>
        <v>#REF!</v>
      </c>
      <c r="GD27" t="e">
        <f>#REF!+"$Cm=!s?"</f>
        <v>#REF!</v>
      </c>
      <c r="GE27" t="e">
        <f>#REF!+"$Cm=!s@"</f>
        <v>#REF!</v>
      </c>
      <c r="GF27" t="e">
        <f>#REF!+"$Cm=!sA"</f>
        <v>#REF!</v>
      </c>
      <c r="GG27" t="e">
        <f>#REF!+"$Cm=!sB"</f>
        <v>#REF!</v>
      </c>
      <c r="GH27" t="e">
        <f>#REF!+"$Cm=!sC"</f>
        <v>#REF!</v>
      </c>
      <c r="GI27" t="e">
        <f>#REF!+"$Cm=!sD"</f>
        <v>#REF!</v>
      </c>
      <c r="GJ27" t="e">
        <f>#REF!+"$Cm=!sE"</f>
        <v>#REF!</v>
      </c>
      <c r="GK27" t="e">
        <f>#REF!+"$Cm=!sF"</f>
        <v>#REF!</v>
      </c>
      <c r="GL27" t="e">
        <f>#REF!+"$Cm=!sG"</f>
        <v>#REF!</v>
      </c>
      <c r="GM27" t="e">
        <f>#REF!+"$Cm=!sH"</f>
        <v>#REF!</v>
      </c>
      <c r="GN27" t="e">
        <f>#REF!+"$Cm=!sI"</f>
        <v>#REF!</v>
      </c>
      <c r="GO27" t="e">
        <f>#REF!+"$Cm=!sJ"</f>
        <v>#REF!</v>
      </c>
      <c r="GP27" t="e">
        <f>#REF!+"$Cm=!sK"</f>
        <v>#REF!</v>
      </c>
      <c r="GQ27" t="e">
        <f>#REF!+"$Cm=!sL"</f>
        <v>#REF!</v>
      </c>
      <c r="GR27" t="e">
        <f>#REF!+"$Cm=!sM"</f>
        <v>#REF!</v>
      </c>
      <c r="GS27" t="e">
        <f>#REF!+"$Cm=!sN"</f>
        <v>#REF!</v>
      </c>
      <c r="GT27" t="e">
        <f>#REF!+"$Cm=!sO"</f>
        <v>#REF!</v>
      </c>
      <c r="GU27" t="e">
        <f>#REF!+"$Cm=!sP"</f>
        <v>#REF!</v>
      </c>
      <c r="GV27" t="e">
        <f>#REF!+"$Cm=!sQ"</f>
        <v>#REF!</v>
      </c>
      <c r="GW27" t="e">
        <f>#REF!+"$Cm=!sR"</f>
        <v>#REF!</v>
      </c>
      <c r="GX27" t="e">
        <f>#REF!+"$Cm=!sS"</f>
        <v>#REF!</v>
      </c>
      <c r="GY27" t="e">
        <f>#REF!+"$Cm=!sT"</f>
        <v>#REF!</v>
      </c>
      <c r="GZ27" t="e">
        <f>#REF!+"$Cm=!sU"</f>
        <v>#REF!</v>
      </c>
      <c r="HA27" t="e">
        <f>#REF!+"$Cm=!sV"</f>
        <v>#REF!</v>
      </c>
      <c r="HB27" t="e">
        <f>#REF!+"$Cm=!sW"</f>
        <v>#REF!</v>
      </c>
      <c r="HC27" t="e">
        <f>#REF!+"$Cm=!sX"</f>
        <v>#REF!</v>
      </c>
      <c r="HD27" t="e">
        <f>#REF!+"$Cm=!sY"</f>
        <v>#REF!</v>
      </c>
      <c r="HE27" t="e">
        <f>#REF!+"$Cm=!sZ"</f>
        <v>#REF!</v>
      </c>
      <c r="HF27" t="e">
        <f>#REF!+"$Cm=!s["</f>
        <v>#REF!</v>
      </c>
      <c r="HG27" t="e">
        <f>#REF!+"$Cm=!s\"</f>
        <v>#REF!</v>
      </c>
      <c r="HH27" t="e">
        <f>#REF!+"$Cm=!s]"</f>
        <v>#REF!</v>
      </c>
      <c r="HI27" t="e">
        <f>#REF!+"$Cm=!s^"</f>
        <v>#REF!</v>
      </c>
      <c r="HJ27" t="e">
        <f>#REF!+"$Cm=!s_"</f>
        <v>#REF!</v>
      </c>
      <c r="HK27" t="e">
        <f>#REF!+"$Cm=!s`"</f>
        <v>#REF!</v>
      </c>
      <c r="HL27" t="e">
        <f>#REF!+"$Cm=!sa"</f>
        <v>#REF!</v>
      </c>
      <c r="HM27" t="e">
        <f>#REF!+"$Cm=!sb"</f>
        <v>#REF!</v>
      </c>
      <c r="HN27" t="e">
        <f>#REF!+"$Cm=!sc"</f>
        <v>#REF!</v>
      </c>
      <c r="HO27" t="e">
        <f>#REF!+"$Cm=!sd"</f>
        <v>#REF!</v>
      </c>
      <c r="HP27" t="e">
        <f>#REF!+"$Cm=!se"</f>
        <v>#REF!</v>
      </c>
      <c r="HQ27" t="e">
        <f>#REF!+"$Cm=!sf"</f>
        <v>#REF!</v>
      </c>
      <c r="HR27" t="e">
        <f>#REF!+"$Cm=!sg"</f>
        <v>#REF!</v>
      </c>
      <c r="HS27" t="e">
        <f>#REF!+"$Cm=!sh"</f>
        <v>#REF!</v>
      </c>
      <c r="HT27" t="e">
        <f>#REF!+"$Cm=!si"</f>
        <v>#REF!</v>
      </c>
      <c r="HU27" t="e">
        <f>#REF!+"$Cm=!sj"</f>
        <v>#REF!</v>
      </c>
      <c r="HV27" t="e">
        <f>#REF!+"$Cm=!sk"</f>
        <v>#REF!</v>
      </c>
      <c r="HW27" t="e">
        <f>#REF!+"$Cm=!sl"</f>
        <v>#REF!</v>
      </c>
      <c r="HX27" t="e">
        <f>#REF!+"$Cm=!sm"</f>
        <v>#REF!</v>
      </c>
      <c r="HY27" t="e">
        <f>#REF!+"$Cm=!sn"</f>
        <v>#REF!</v>
      </c>
      <c r="HZ27" t="e">
        <f>#REF!+"$Cm=!so"</f>
        <v>#REF!</v>
      </c>
      <c r="IA27" t="e">
        <f>#REF!+"$Cm=!sp"</f>
        <v>#REF!</v>
      </c>
      <c r="IB27" t="e">
        <f>#REF!+"$Cm=!sq"</f>
        <v>#REF!</v>
      </c>
      <c r="IC27" t="e">
        <f>#REF!+"$Cm=!sr"</f>
        <v>#REF!</v>
      </c>
      <c r="ID27" t="e">
        <f>#REF!+"$Cm=!ss"</f>
        <v>#REF!</v>
      </c>
      <c r="IE27" t="e">
        <f>#REF!+"$Cm=!st"</f>
        <v>#REF!</v>
      </c>
      <c r="IF27" t="e">
        <f>#REF!+"$Cm=!su"</f>
        <v>#REF!</v>
      </c>
      <c r="IG27" t="e">
        <f>#REF!+"$Cm=!sv"</f>
        <v>#REF!</v>
      </c>
      <c r="IH27" t="e">
        <f>#REF!+"$Cm=!sw"</f>
        <v>#REF!</v>
      </c>
      <c r="II27" t="e">
        <f>#REF!+"$Cm=!sx"</f>
        <v>#REF!</v>
      </c>
      <c r="IJ27" t="e">
        <f>#REF!+"$Cm=!sy"</f>
        <v>#REF!</v>
      </c>
      <c r="IK27" t="e">
        <f>#REF!+"$Cm=!sz"</f>
        <v>#REF!</v>
      </c>
      <c r="IL27" t="e">
        <f>#REF!+"$Cm=!s{"</f>
        <v>#REF!</v>
      </c>
      <c r="IM27" t="e">
        <f>#REF!+"$Cm=!s|"</f>
        <v>#REF!</v>
      </c>
      <c r="IN27" t="e">
        <f>#REF!+"$Cm=!s}"</f>
        <v>#REF!</v>
      </c>
      <c r="IO27" t="e">
        <f>#REF!+"$Cm=!s~"</f>
        <v>#REF!</v>
      </c>
      <c r="IP27" t="e">
        <f>#REF!+"$Cm=!t#"</f>
        <v>#REF!</v>
      </c>
      <c r="IQ27" t="e">
        <f>#REF!+"$Cm=!t$"</f>
        <v>#REF!</v>
      </c>
      <c r="IR27" t="e">
        <f>#REF!+"$Cm=!t%"</f>
        <v>#REF!</v>
      </c>
      <c r="IS27" t="e">
        <f>#REF!+"$Cm=!t&amp;"</f>
        <v>#REF!</v>
      </c>
      <c r="IT27" t="e">
        <f>#REF!+"$Cm=!t'"</f>
        <v>#REF!</v>
      </c>
      <c r="IU27" t="e">
        <f>#REF!+"$Cm=!t("</f>
        <v>#REF!</v>
      </c>
      <c r="IV27" t="e">
        <f>#REF!+"$Cm=!t)"</f>
        <v>#REF!</v>
      </c>
    </row>
    <row r="28" spans="6:256">
      <c r="F28" t="e">
        <f>#REF!+"$Cm=!t."</f>
        <v>#REF!</v>
      </c>
      <c r="G28" t="e">
        <f>#REF!+"$Cm=!t/"</f>
        <v>#REF!</v>
      </c>
      <c r="H28" t="e">
        <f>#REF!+"$Cm=!t0"</f>
        <v>#REF!</v>
      </c>
      <c r="I28" t="e">
        <f>#REF!+"$Cm=!t1"</f>
        <v>#REF!</v>
      </c>
      <c r="J28" t="e">
        <f>#REF!+"$Cm=!t2"</f>
        <v>#REF!</v>
      </c>
      <c r="K28" t="e">
        <f>#REF!+"$Cm=!t3"</f>
        <v>#REF!</v>
      </c>
      <c r="L28" t="e">
        <f>#REF!+"$Cm=!t4"</f>
        <v>#REF!</v>
      </c>
      <c r="M28" t="e">
        <f>#REF!+"$Cm=!t5"</f>
        <v>#REF!</v>
      </c>
      <c r="N28" t="e">
        <f>#REF!+"$Cm=!t6"</f>
        <v>#REF!</v>
      </c>
      <c r="O28" t="e">
        <f>#REF!+"$Cm=!t7"</f>
        <v>#REF!</v>
      </c>
      <c r="P28" t="e">
        <f>#REF!+"$Cm=!t8"</f>
        <v>#REF!</v>
      </c>
      <c r="Q28" t="e">
        <f>#REF!+"$Cm=!t9"</f>
        <v>#REF!</v>
      </c>
      <c r="R28" t="e">
        <f>#REF!+"$Cm=!t:"</f>
        <v>#REF!</v>
      </c>
      <c r="S28" t="e">
        <f>#REF!+"$Cm=!t;"</f>
        <v>#REF!</v>
      </c>
      <c r="T28" t="e">
        <f>#REF!+"$Cm=!t&lt;"</f>
        <v>#REF!</v>
      </c>
      <c r="U28" t="e">
        <f>#REF!+"$Cm=!t="</f>
        <v>#REF!</v>
      </c>
      <c r="V28" t="e">
        <f>#REF!+"$Cm=!t&gt;"</f>
        <v>#REF!</v>
      </c>
      <c r="W28" t="e">
        <f>#REF!+"$Cm=!t?"</f>
        <v>#REF!</v>
      </c>
      <c r="X28" t="e">
        <f>#REF!+"$Cm=!t@"</f>
        <v>#REF!</v>
      </c>
      <c r="Y28" t="e">
        <f>#REF!+"$Cm=!tA"</f>
        <v>#REF!</v>
      </c>
      <c r="Z28" t="e">
        <f>#REF!+"$Cm=!tB"</f>
        <v>#REF!</v>
      </c>
      <c r="AA28" t="e">
        <f>#REF!+"$Cm=!tC"</f>
        <v>#REF!</v>
      </c>
      <c r="AB28" t="e">
        <f>#REF!+"$Cm=!tD"</f>
        <v>#REF!</v>
      </c>
      <c r="AC28" t="e">
        <f>#REF!+"$Cm=!tE"</f>
        <v>#REF!</v>
      </c>
      <c r="AD28" t="e">
        <f>#REF!+"$Cm=!tF"</f>
        <v>#REF!</v>
      </c>
      <c r="AE28" t="e">
        <f>#REF!+"$Cm=!tG"</f>
        <v>#REF!</v>
      </c>
      <c r="AF28" t="e">
        <f>#REF!+"$Cm=!tH"</f>
        <v>#REF!</v>
      </c>
      <c r="AG28" t="e">
        <f>#REF!+"$Cm=!tI"</f>
        <v>#REF!</v>
      </c>
      <c r="AH28" t="e">
        <f>#REF!+"$Cm=!tJ"</f>
        <v>#REF!</v>
      </c>
      <c r="AI28" t="e">
        <f>#REF!+"$Cm=!tK"</f>
        <v>#REF!</v>
      </c>
      <c r="AJ28" t="e">
        <f>#REF!+"$Cm=!tL"</f>
        <v>#REF!</v>
      </c>
      <c r="AK28" t="e">
        <f>#REF!+"$Cm=!tM"</f>
        <v>#REF!</v>
      </c>
      <c r="AL28" t="e">
        <f>#REF!+"$Cm=!tN"</f>
        <v>#REF!</v>
      </c>
      <c r="AM28" t="e">
        <f>#REF!+"$Cm=!tO"</f>
        <v>#REF!</v>
      </c>
      <c r="AN28" t="e">
        <f>#REF!+"$Cm=!tP"</f>
        <v>#REF!</v>
      </c>
      <c r="AO28" t="e">
        <f>#REF!+"$Cm=!tQ"</f>
        <v>#REF!</v>
      </c>
      <c r="AP28" t="e">
        <f>#REF!+"$Cm=!tR"</f>
        <v>#REF!</v>
      </c>
      <c r="AQ28" t="e">
        <f>#REF!+"$Cm=!tS"</f>
        <v>#REF!</v>
      </c>
      <c r="AR28" t="e">
        <f>#REF!+"$Cm=!tT"</f>
        <v>#REF!</v>
      </c>
      <c r="AS28" t="e">
        <f>#REF!+"$Cm=!tU"</f>
        <v>#REF!</v>
      </c>
      <c r="AT28" t="e">
        <f>#REF!+"$Cm=!tV"</f>
        <v>#REF!</v>
      </c>
      <c r="AU28" t="e">
        <f>#REF!+"$Cm=!tW"</f>
        <v>#REF!</v>
      </c>
      <c r="AV28" t="e">
        <f>#REF!+"$Cm=!tX"</f>
        <v>#REF!</v>
      </c>
      <c r="AW28" t="e">
        <f>#REF!+"$Cm=!tY"</f>
        <v>#REF!</v>
      </c>
      <c r="AX28" t="e">
        <f>#REF!+"$Cm=!tZ"</f>
        <v>#REF!</v>
      </c>
      <c r="AY28" t="e">
        <f>#REF!+"$Cm=!t["</f>
        <v>#REF!</v>
      </c>
      <c r="AZ28" t="e">
        <f>#REF!+"$Cm=!t\"</f>
        <v>#REF!</v>
      </c>
      <c r="BA28" t="e">
        <f>#REF!+"$Cm=!t]"</f>
        <v>#REF!</v>
      </c>
      <c r="BB28" t="e">
        <f>#REF!+"$Cm=!t^"</f>
        <v>#REF!</v>
      </c>
      <c r="BC28" t="e">
        <f>#REF!+"$Cm=!t_"</f>
        <v>#REF!</v>
      </c>
      <c r="BD28" t="e">
        <f>#REF!+"$Cm=!t`"</f>
        <v>#REF!</v>
      </c>
      <c r="BE28" t="e">
        <f>#REF!+"$Cm=!ta"</f>
        <v>#REF!</v>
      </c>
      <c r="BF28" t="e">
        <f>#REF!+"$Cm=!tb"</f>
        <v>#REF!</v>
      </c>
      <c r="BG28" t="e">
        <f>#REF!+"$Cm=!tc"</f>
        <v>#REF!</v>
      </c>
      <c r="BH28" t="e">
        <f>#REF!+"$Cm=!td"</f>
        <v>#REF!</v>
      </c>
      <c r="BI28" t="e">
        <f>#REF!+"$Cm=!te"</f>
        <v>#REF!</v>
      </c>
      <c r="BJ28" t="e">
        <f>#REF!+"$Cm=!tf"</f>
        <v>#REF!</v>
      </c>
      <c r="BK28" t="e">
        <f>#REF!+"$Cm=!tg"</f>
        <v>#REF!</v>
      </c>
      <c r="BL28" t="e">
        <f>#REF!+"$Cm=!th"</f>
        <v>#REF!</v>
      </c>
      <c r="BM28" t="e">
        <f>#REF!+"$Cm=!ti"</f>
        <v>#REF!</v>
      </c>
      <c r="BN28" t="e">
        <f>#REF!+"$Cm=!tj"</f>
        <v>#REF!</v>
      </c>
      <c r="BO28" t="e">
        <f>#REF!+"$Cm=!tk"</f>
        <v>#REF!</v>
      </c>
      <c r="BP28" t="e">
        <f>#REF!+"$Cm=!tl"</f>
        <v>#REF!</v>
      </c>
      <c r="BQ28" t="e">
        <f>#REF!+"$Cm=!tm"</f>
        <v>#REF!</v>
      </c>
      <c r="BR28" t="e">
        <f>#REF!+"$Cm=!tn"</f>
        <v>#REF!</v>
      </c>
      <c r="BS28" t="e">
        <f>#REF!+"$Cm=!to"</f>
        <v>#REF!</v>
      </c>
      <c r="BT28" t="e">
        <f>#REF!+"$Cm=!tp"</f>
        <v>#REF!</v>
      </c>
      <c r="BU28" t="e">
        <f>#REF!+"$Cm=!tq"</f>
        <v>#REF!</v>
      </c>
      <c r="BV28" t="e">
        <f>#REF!+"$Cm=!tr"</f>
        <v>#REF!</v>
      </c>
      <c r="BW28" t="e">
        <f>#REF!+"$Cm=!ts"</f>
        <v>#REF!</v>
      </c>
      <c r="BX28" t="e">
        <f>#REF!+"$Cm=!tt"</f>
        <v>#REF!</v>
      </c>
      <c r="BY28" t="e">
        <f>#REF!+"$Cm=!tu"</f>
        <v>#REF!</v>
      </c>
      <c r="BZ28" t="e">
        <f>#REF!+"$Cm=!tv"</f>
        <v>#REF!</v>
      </c>
      <c r="CA28" t="e">
        <f>#REF!+"$Cm=!tw"</f>
        <v>#REF!</v>
      </c>
      <c r="CB28" t="e">
        <f>#REF!+"$Cm=!tx"</f>
        <v>#REF!</v>
      </c>
      <c r="CC28" t="e">
        <f>#REF!+"$Cm=!ty"</f>
        <v>#REF!</v>
      </c>
      <c r="CD28" t="e">
        <f>#REF!+"$Cm=!tz"</f>
        <v>#REF!</v>
      </c>
      <c r="CE28" t="e">
        <f>#REF!+"$Cm=!t{"</f>
        <v>#REF!</v>
      </c>
      <c r="CF28" t="e">
        <f>#REF!+"$Cm=!t|"</f>
        <v>#REF!</v>
      </c>
      <c r="CG28" t="e">
        <f>#REF!+"$Cm=!t}"</f>
        <v>#REF!</v>
      </c>
      <c r="CH28" t="e">
        <f>#REF!+"$Cm=!t~"</f>
        <v>#REF!</v>
      </c>
      <c r="CI28" t="e">
        <f>#REF!+"$Cm=!u#"</f>
        <v>#REF!</v>
      </c>
      <c r="CJ28" t="e">
        <f>#REF!+"$Cm=!u$"</f>
        <v>#REF!</v>
      </c>
      <c r="CK28" t="e">
        <f>#REF!+"$Cm=!u%"</f>
        <v>#REF!</v>
      </c>
      <c r="CL28" t="e">
        <f>#REF!+"$Cm=!u&amp;"</f>
        <v>#REF!</v>
      </c>
      <c r="CM28" t="e">
        <f>#REF!+"$Cm=!u'"</f>
        <v>#REF!</v>
      </c>
      <c r="CN28" t="e">
        <f>#REF!+"$Cm=!u("</f>
        <v>#REF!</v>
      </c>
      <c r="CO28" t="e">
        <f>#REF!+"$Cm=!u)"</f>
        <v>#REF!</v>
      </c>
      <c r="CP28" t="e">
        <f>#REF!+"$Cm=!u."</f>
        <v>#REF!</v>
      </c>
      <c r="CQ28" t="e">
        <f>#REF!+"$Cm=!u/"</f>
        <v>#REF!</v>
      </c>
      <c r="CR28" t="e">
        <f>#REF!+"$Cm=!u0"</f>
        <v>#REF!</v>
      </c>
      <c r="CS28" t="e">
        <f>#REF!+"$Cm=!u1"</f>
        <v>#REF!</v>
      </c>
      <c r="CT28" t="e">
        <f>#REF!+"$Cm=!u2"</f>
        <v>#REF!</v>
      </c>
      <c r="CU28" t="e">
        <f>#REF!+"$Cm=!u3"</f>
        <v>#REF!</v>
      </c>
      <c r="CV28" t="e">
        <f>#REF!+"$Cm=!u4"</f>
        <v>#REF!</v>
      </c>
      <c r="CW28" t="e">
        <f>#REF!+"$Cm=!u5"</f>
        <v>#REF!</v>
      </c>
      <c r="CX28" t="e">
        <f>#REF!+"$Cm=!u6"</f>
        <v>#REF!</v>
      </c>
      <c r="CY28" t="e">
        <f>#REF!+"$Cm=!u7"</f>
        <v>#REF!</v>
      </c>
      <c r="CZ28" t="e">
        <f>#REF!+"$Cm=!u8"</f>
        <v>#REF!</v>
      </c>
      <c r="DA28" t="e">
        <f>#REF!+"$Cm=!u9"</f>
        <v>#REF!</v>
      </c>
      <c r="DB28" t="e">
        <f>#REF!+"$Cm=!u:"</f>
        <v>#REF!</v>
      </c>
      <c r="DC28" t="e">
        <f>#REF!+"$Cm=!u;"</f>
        <v>#REF!</v>
      </c>
      <c r="DD28" t="e">
        <f>#REF!+"$Cm=!u&lt;"</f>
        <v>#REF!</v>
      </c>
      <c r="DE28" t="e">
        <f>#REF!+"$Cm=!u="</f>
        <v>#REF!</v>
      </c>
      <c r="DF28" t="e">
        <f>#REF!+"$Cm=!u&gt;"</f>
        <v>#REF!</v>
      </c>
      <c r="DG28" t="e">
        <f>#REF!+"$Cm=!u?"</f>
        <v>#REF!</v>
      </c>
      <c r="DH28" t="e">
        <f>#REF!+"$Cm=!u@"</f>
        <v>#REF!</v>
      </c>
      <c r="DI28" t="e">
        <f>#REF!+"$Cm=!uA"</f>
        <v>#REF!</v>
      </c>
      <c r="DJ28" t="e">
        <f>#REF!+"$Cm=!uB"</f>
        <v>#REF!</v>
      </c>
      <c r="DK28" t="e">
        <f>#REF!+"$Cm=!uC"</f>
        <v>#REF!</v>
      </c>
      <c r="DL28" t="e">
        <f>#REF!+"$Cm=!uD"</f>
        <v>#REF!</v>
      </c>
      <c r="DM28" t="e">
        <f>#REF!+"$Cm=!uE"</f>
        <v>#REF!</v>
      </c>
      <c r="DN28" t="e">
        <f>#REF!+"$Cm=!uF"</f>
        <v>#REF!</v>
      </c>
      <c r="DO28" t="e">
        <f>#REF!+"$Cm=!uG"</f>
        <v>#REF!</v>
      </c>
      <c r="DP28" t="e">
        <f>#REF!+"$Cm=!uH"</f>
        <v>#REF!</v>
      </c>
      <c r="DQ28" t="e">
        <f>#REF!+"$Cm=!uI"</f>
        <v>#REF!</v>
      </c>
      <c r="DR28" t="e">
        <f>#REF!+"$Cm=!uJ"</f>
        <v>#REF!</v>
      </c>
      <c r="DS28" t="e">
        <f>#REF!+"$Cm=!uK"</f>
        <v>#REF!</v>
      </c>
      <c r="DT28" t="e">
        <f>#REF!+"$Cm=!uL"</f>
        <v>#REF!</v>
      </c>
      <c r="DU28" t="e">
        <f>#REF!+"$Cm=!uM"</f>
        <v>#REF!</v>
      </c>
      <c r="DV28" t="e">
        <f>#REF!+"$Cm=!uN"</f>
        <v>#REF!</v>
      </c>
      <c r="DW28" t="e">
        <f>#REF!+"$Cm=!uO"</f>
        <v>#REF!</v>
      </c>
      <c r="DX28" t="e">
        <f>#REF!+"$Cm=!uP"</f>
        <v>#REF!</v>
      </c>
      <c r="DY28" t="e">
        <f>#REF!+"$Cm=!uQ"</f>
        <v>#REF!</v>
      </c>
      <c r="DZ28" t="e">
        <f>#REF!+"$Cm=!uR"</f>
        <v>#REF!</v>
      </c>
      <c r="EA28" t="e">
        <f>#REF!+"$Cm=!uS"</f>
        <v>#REF!</v>
      </c>
      <c r="EB28" t="e">
        <f>#REF!+"$Cm=!uT"</f>
        <v>#REF!</v>
      </c>
      <c r="EC28" t="e">
        <f>#REF!+"$Cm=!uU"</f>
        <v>#REF!</v>
      </c>
      <c r="ED28" t="e">
        <f>#REF!+"$Cm=!uV"</f>
        <v>#REF!</v>
      </c>
      <c r="EE28" t="e">
        <f>#REF!+"$Cm=!uW"</f>
        <v>#REF!</v>
      </c>
      <c r="EF28" t="e">
        <f>#REF!+"$Cm=!uX"</f>
        <v>#REF!</v>
      </c>
      <c r="EG28" t="e">
        <f>#REF!+"$Cm=!uY"</f>
        <v>#REF!</v>
      </c>
      <c r="EH28" t="e">
        <f>#REF!+"$Cm=!uZ"</f>
        <v>#REF!</v>
      </c>
      <c r="EI28" t="e">
        <f>#REF!+"$Cm=!u["</f>
        <v>#REF!</v>
      </c>
      <c r="EJ28" t="e">
        <f>#REF!+"$Cm=!u\"</f>
        <v>#REF!</v>
      </c>
      <c r="EK28" t="e">
        <f>#REF!+"$Cm=!u]"</f>
        <v>#REF!</v>
      </c>
      <c r="EL28" t="e">
        <f>#REF!+"$Cm=!u^"</f>
        <v>#REF!</v>
      </c>
      <c r="EM28" t="e">
        <f>#REF!+"$Cm=!u_"</f>
        <v>#REF!</v>
      </c>
      <c r="EN28" t="e">
        <f>#REF!+"$Cm=!u`"</f>
        <v>#REF!</v>
      </c>
      <c r="EO28" t="e">
        <f>#REF!+"$Cm=!ua"</f>
        <v>#REF!</v>
      </c>
      <c r="EP28" t="e">
        <f>#REF!+"$Cm=!ub"</f>
        <v>#REF!</v>
      </c>
      <c r="EQ28" t="e">
        <f>#REF!+"$Cm=!uc"</f>
        <v>#REF!</v>
      </c>
      <c r="ER28" t="e">
        <f>#REF!+"$Cm=!ud"</f>
        <v>#REF!</v>
      </c>
      <c r="ES28" t="e">
        <f>#REF!+"$Cm=!ue"</f>
        <v>#REF!</v>
      </c>
      <c r="ET28" t="e">
        <f>#REF!+"$Cm=!uf"</f>
        <v>#REF!</v>
      </c>
      <c r="EU28" t="e">
        <f>#REF!+"$Cm=!ug"</f>
        <v>#REF!</v>
      </c>
      <c r="EV28" t="e">
        <f>#REF!+"$Cm=!uh"</f>
        <v>#REF!</v>
      </c>
      <c r="EW28" t="e">
        <f>#REF!+"$Cm=!ui"</f>
        <v>#REF!</v>
      </c>
      <c r="EX28" t="e">
        <f>#REF!+"$Cm=!uj"</f>
        <v>#REF!</v>
      </c>
      <c r="EY28" t="e">
        <f>#REF!+"$Cm=!uk"</f>
        <v>#REF!</v>
      </c>
      <c r="EZ28" t="e">
        <f>#REF!+"$Cm=!ul"</f>
        <v>#REF!</v>
      </c>
      <c r="FA28" t="e">
        <f>#REF!+"$Cm=!um"</f>
        <v>#REF!</v>
      </c>
      <c r="FB28" t="e">
        <f>#REF!+"$Cm=!un"</f>
        <v>#REF!</v>
      </c>
      <c r="FC28" t="e">
        <f>#REF!+"$Cm=!uo"</f>
        <v>#REF!</v>
      </c>
      <c r="FD28" t="e">
        <f>#REF!+"$Cm=!up"</f>
        <v>#REF!</v>
      </c>
      <c r="FE28" t="e">
        <f>#REF!+"$Cm=!uq"</f>
        <v>#REF!</v>
      </c>
      <c r="FF28" t="e">
        <f>#REF!+"$Cm=!ur"</f>
        <v>#REF!</v>
      </c>
      <c r="FG28" t="e">
        <f>#REF!+"$Cm=!us"</f>
        <v>#REF!</v>
      </c>
      <c r="FH28" t="e">
        <f>#REF!+"$Cm=!ut"</f>
        <v>#REF!</v>
      </c>
      <c r="FI28" t="e">
        <f>#REF!+"$Cm=!uu"</f>
        <v>#REF!</v>
      </c>
      <c r="FJ28" t="e">
        <f>#REF!+"$Cm=!uv"</f>
        <v>#REF!</v>
      </c>
      <c r="FK28" t="e">
        <f>#REF!+"$Cm=!uw"</f>
        <v>#REF!</v>
      </c>
      <c r="FL28" t="e">
        <f>#REF!+"$Cm=!ux"</f>
        <v>#REF!</v>
      </c>
      <c r="FM28" t="e">
        <f>#REF!+"$Cm=!uy"</f>
        <v>#REF!</v>
      </c>
      <c r="FN28" t="e">
        <f>#REF!+"$Cm=!uz"</f>
        <v>#REF!</v>
      </c>
      <c r="FO28" t="e">
        <f>#REF!+"$Cm=!u{"</f>
        <v>#REF!</v>
      </c>
      <c r="FP28" t="e">
        <f>#REF!+"$Cm=!u|"</f>
        <v>#REF!</v>
      </c>
      <c r="FQ28" t="e">
        <f>#REF!+"$Cm=!u}"</f>
        <v>#REF!</v>
      </c>
      <c r="FR28" t="e">
        <f>#REF!+"$Cm=!u~"</f>
        <v>#REF!</v>
      </c>
      <c r="FS28" t="e">
        <f>#REF!+"$Cm=!v#"</f>
        <v>#REF!</v>
      </c>
      <c r="FT28" t="e">
        <f>#REF!+"$Cm=!v$"</f>
        <v>#REF!</v>
      </c>
      <c r="FU28" t="e">
        <f>#REF!+"$Cm=!v%"</f>
        <v>#REF!</v>
      </c>
      <c r="FV28" t="e">
        <f>#REF!+"$Cm=!v&amp;"</f>
        <v>#REF!</v>
      </c>
      <c r="FW28" t="e">
        <f>#REF!+"$Cm=!v'"</f>
        <v>#REF!</v>
      </c>
      <c r="FX28" t="e">
        <f>#REF!+"$Cm=!v("</f>
        <v>#REF!</v>
      </c>
      <c r="FY28" t="e">
        <f>#REF!+"$Cm=!v)"</f>
        <v>#REF!</v>
      </c>
      <c r="FZ28" t="e">
        <f>#REF!+"$Cm=!v."</f>
        <v>#REF!</v>
      </c>
      <c r="GA28" t="e">
        <f>#REF!+"$Cm=!v/"</f>
        <v>#REF!</v>
      </c>
      <c r="GB28" t="e">
        <f>#REF!+"$Cm=!v0"</f>
        <v>#REF!</v>
      </c>
      <c r="GC28" t="e">
        <f>#REF!+"$Cm=!v1"</f>
        <v>#REF!</v>
      </c>
      <c r="GD28" t="e">
        <f>#REF!+"$Cm=!v2"</f>
        <v>#REF!</v>
      </c>
      <c r="GE28" t="e">
        <f>#REF!+"$Cm=!v3"</f>
        <v>#REF!</v>
      </c>
      <c r="GF28" t="e">
        <f>#REF!+"$Cm=!v4"</f>
        <v>#REF!</v>
      </c>
      <c r="GG28" t="e">
        <f>#REF!+"$Cm=!v5"</f>
        <v>#REF!</v>
      </c>
      <c r="GH28" t="e">
        <f>#REF!+"$Cm=!v6"</f>
        <v>#REF!</v>
      </c>
      <c r="GI28" t="e">
        <f>#REF!+"$Cm=!v7"</f>
        <v>#REF!</v>
      </c>
      <c r="GJ28" t="e">
        <f>#REF!+"$Cm=!v8"</f>
        <v>#REF!</v>
      </c>
      <c r="GK28" t="e">
        <f>#REF!+"$Cm=!v9"</f>
        <v>#REF!</v>
      </c>
      <c r="GL28" t="e">
        <f>#REF!+"$Cm=!v:"</f>
        <v>#REF!</v>
      </c>
      <c r="GM28" t="e">
        <f>#REF!+"$Cm=!v;"</f>
        <v>#REF!</v>
      </c>
      <c r="GN28" t="e">
        <f>#REF!+"$Cm=!v&lt;"</f>
        <v>#REF!</v>
      </c>
      <c r="GO28" t="e">
        <f>#REF!+"$Cm=!v="</f>
        <v>#REF!</v>
      </c>
      <c r="GP28" t="e">
        <f>#REF!+"$Cm=!v&gt;"</f>
        <v>#REF!</v>
      </c>
      <c r="GQ28" t="e">
        <f>#REF!+"$Cm=!v?"</f>
        <v>#REF!</v>
      </c>
      <c r="GR28" t="e">
        <f>#REF!+"$Cm=!v@"</f>
        <v>#REF!</v>
      </c>
      <c r="GS28" t="e">
        <f>#REF!+"$Cm=!vA"</f>
        <v>#REF!</v>
      </c>
      <c r="GT28" t="e">
        <f>#REF!+"$Cm=!vB"</f>
        <v>#REF!</v>
      </c>
      <c r="GU28" t="e">
        <f>#REF!+"$Cm=!vC"</f>
        <v>#REF!</v>
      </c>
      <c r="GV28" t="e">
        <f>#REF!+"$Cm=!vD"</f>
        <v>#REF!</v>
      </c>
      <c r="GW28" t="e">
        <f>#REF!+"$Cm=!vE"</f>
        <v>#REF!</v>
      </c>
      <c r="GX28" t="e">
        <f>#REF!+"$Cm=!vF"</f>
        <v>#REF!</v>
      </c>
      <c r="GY28" t="e">
        <f>#REF!+"$Cm=!vG"</f>
        <v>#REF!</v>
      </c>
      <c r="GZ28" t="e">
        <f>#REF!+"$Cm=!vH"</f>
        <v>#REF!</v>
      </c>
      <c r="HA28" t="e">
        <f>#REF!+"$Cm=!vI"</f>
        <v>#REF!</v>
      </c>
      <c r="HB28" t="e">
        <f>#REF!+"$Cm=!vJ"</f>
        <v>#REF!</v>
      </c>
      <c r="HC28" t="e">
        <f>#REF!+"$Cm=!vK"</f>
        <v>#REF!</v>
      </c>
      <c r="HD28" t="e">
        <f>#REF!+"$Cm=!vL"</f>
        <v>#REF!</v>
      </c>
      <c r="HE28" t="e">
        <f>#REF!+"$Cm=!vM"</f>
        <v>#REF!</v>
      </c>
      <c r="HF28" t="e">
        <f>#REF!+"$Cm=!vN"</f>
        <v>#REF!</v>
      </c>
      <c r="HG28" t="e">
        <f>#REF!+"$Cm=!vO"</f>
        <v>#REF!</v>
      </c>
      <c r="HH28" t="e">
        <f>#REF!+"$Cm=!vP"</f>
        <v>#REF!</v>
      </c>
      <c r="HI28" t="e">
        <f>#REF!+"$Cm=!vQ"</f>
        <v>#REF!</v>
      </c>
      <c r="HJ28" t="e">
        <f>#REF!+"$Cm=!vR"</f>
        <v>#REF!</v>
      </c>
      <c r="HK28" t="e">
        <f>#REF!+"$Cm=!vS"</f>
        <v>#REF!</v>
      </c>
      <c r="HL28" t="e">
        <f>#REF!+"$Cm=!vT"</f>
        <v>#REF!</v>
      </c>
      <c r="HM28" t="e">
        <f>#REF!+"$Cm=!vU"</f>
        <v>#REF!</v>
      </c>
      <c r="HN28" t="e">
        <f>#REF!+"$Cm=!vV"</f>
        <v>#REF!</v>
      </c>
      <c r="HO28" t="e">
        <f>#REF!+"$Cm=!vW"</f>
        <v>#REF!</v>
      </c>
      <c r="HP28" t="e">
        <f>#REF!+"$Cm=!vX"</f>
        <v>#REF!</v>
      </c>
      <c r="HQ28" t="e">
        <f>#REF!+"$Cm=!vY"</f>
        <v>#REF!</v>
      </c>
      <c r="HR28" t="e">
        <f>#REF!+"$Cm=!vZ"</f>
        <v>#REF!</v>
      </c>
      <c r="HS28" t="e">
        <f>#REF!+"$Cm=!v["</f>
        <v>#REF!</v>
      </c>
      <c r="HT28" t="e">
        <f>#REF!+"$Cm=!v\"</f>
        <v>#REF!</v>
      </c>
      <c r="HU28" t="e">
        <f>#REF!+"$Cm=!v]"</f>
        <v>#REF!</v>
      </c>
      <c r="HV28" t="e">
        <f>#REF!+"$Cm=!v^"</f>
        <v>#REF!</v>
      </c>
      <c r="HW28" t="e">
        <f>#REF!+"$Cm=!v_"</f>
        <v>#REF!</v>
      </c>
      <c r="HX28" t="e">
        <f>#REF!+"$Cm=!v`"</f>
        <v>#REF!</v>
      </c>
      <c r="HY28" t="e">
        <f>#REF!+"$Cm=!va"</f>
        <v>#REF!</v>
      </c>
      <c r="HZ28" t="e">
        <f>#REF!+"$Cm=!vb"</f>
        <v>#REF!</v>
      </c>
      <c r="IA28" t="e">
        <f>#REF!+"$Cm=!vc"</f>
        <v>#REF!</v>
      </c>
      <c r="IB28" t="e">
        <f>#REF!+"$Cm=!vd"</f>
        <v>#REF!</v>
      </c>
      <c r="IC28" t="e">
        <f>#REF!+"$Cm=!ve"</f>
        <v>#REF!</v>
      </c>
      <c r="ID28" t="e">
        <f>#REF!+"$Cm=!vf"</f>
        <v>#REF!</v>
      </c>
      <c r="IE28" t="e">
        <f>#REF!+"$Cm=!vg"</f>
        <v>#REF!</v>
      </c>
      <c r="IF28" t="e">
        <f>#REF!+"$Cm=!vh"</f>
        <v>#REF!</v>
      </c>
      <c r="IG28" t="e">
        <f>#REF!+"$Cm=!vi"</f>
        <v>#REF!</v>
      </c>
      <c r="IH28" t="e">
        <f>#REF!+"$Cm=!vj"</f>
        <v>#REF!</v>
      </c>
      <c r="II28" t="e">
        <f>#REF!+"$Cm=!vk"</f>
        <v>#REF!</v>
      </c>
      <c r="IJ28" t="e">
        <f>#REF!+"$Cm=!vl"</f>
        <v>#REF!</v>
      </c>
      <c r="IK28" t="e">
        <f>#REF!+"$Cm=!vm"</f>
        <v>#REF!</v>
      </c>
      <c r="IL28" t="e">
        <f>#REF!+"$Cm=!vn"</f>
        <v>#REF!</v>
      </c>
      <c r="IM28" t="e">
        <f>#REF!+"$Cm=!vo"</f>
        <v>#REF!</v>
      </c>
      <c r="IN28" t="e">
        <f>#REF!+"$Cm=!vp"</f>
        <v>#REF!</v>
      </c>
      <c r="IO28" t="e">
        <f>#REF!+"$Cm=!vq"</f>
        <v>#REF!</v>
      </c>
      <c r="IP28" t="e">
        <f>#REF!+"$Cm=!vr"</f>
        <v>#REF!</v>
      </c>
      <c r="IQ28" t="e">
        <f>#REF!+"$Cm=!vs"</f>
        <v>#REF!</v>
      </c>
      <c r="IR28" t="e">
        <f>#REF!+"$Cm=!vt"</f>
        <v>#REF!</v>
      </c>
      <c r="IS28" t="e">
        <f>#REF!+"$Cm=!vu"</f>
        <v>#REF!</v>
      </c>
      <c r="IT28" t="e">
        <f>#REF!+"$Cm=!vv"</f>
        <v>#REF!</v>
      </c>
      <c r="IU28" t="e">
        <f>#REF!+"$Cm=!vw"</f>
        <v>#REF!</v>
      </c>
      <c r="IV28" t="e">
        <f>#REF!+"$Cm=!vx"</f>
        <v>#REF!</v>
      </c>
    </row>
    <row r="29" spans="6:256">
      <c r="F29" t="e">
        <f>#REF!+"$Cm=!vy"</f>
        <v>#REF!</v>
      </c>
      <c r="G29" t="e">
        <f>#REF!+"$Cm=!vz"</f>
        <v>#REF!</v>
      </c>
      <c r="H29" t="e">
        <f>#REF!+"$Cm=!v{"</f>
        <v>#REF!</v>
      </c>
      <c r="I29" t="e">
        <f>#REF!+"$Cm=!v|"</f>
        <v>#REF!</v>
      </c>
      <c r="J29" t="e">
        <f>#REF!+"$Cm=!v}"</f>
        <v>#REF!</v>
      </c>
      <c r="K29" t="e">
        <f>#REF!+"$Cm=!v~"</f>
        <v>#REF!</v>
      </c>
      <c r="L29" t="e">
        <f>#REF!+"$Cm=!w#"</f>
        <v>#REF!</v>
      </c>
      <c r="M29" t="e">
        <f>#REF!+"$Cm=!w$"</f>
        <v>#REF!</v>
      </c>
      <c r="N29" t="e">
        <f>#REF!+"$Cm=!w%"</f>
        <v>#REF!</v>
      </c>
      <c r="O29" t="e">
        <f>#REF!+"$Cm=!w&amp;"</f>
        <v>#REF!</v>
      </c>
      <c r="P29" t="e">
        <f>#REF!+"$Cm=!w'"</f>
        <v>#REF!</v>
      </c>
      <c r="Q29" t="e">
        <f>#REF!+"$Cm=!w("</f>
        <v>#REF!</v>
      </c>
      <c r="R29" t="e">
        <f>#REF!+"$Cm=!w)"</f>
        <v>#REF!</v>
      </c>
      <c r="S29" t="e">
        <f>#REF!+"$Cm=!w."</f>
        <v>#REF!</v>
      </c>
      <c r="T29" t="e">
        <f>#REF!+"$Cm=!w/"</f>
        <v>#REF!</v>
      </c>
      <c r="U29" t="e">
        <f>#REF!+"$Cm=!w0"</f>
        <v>#REF!</v>
      </c>
      <c r="V29" t="e">
        <f>#REF!+"$Cm=!w1"</f>
        <v>#REF!</v>
      </c>
      <c r="W29" t="e">
        <f>#REF!+"$Cm=!w2"</f>
        <v>#REF!</v>
      </c>
      <c r="X29" t="e">
        <f>#REF!+"$Cm=!w3"</f>
        <v>#REF!</v>
      </c>
      <c r="Y29" t="e">
        <f>#REF!+"$Cm=!w4"</f>
        <v>#REF!</v>
      </c>
      <c r="Z29" t="e">
        <f>#REF!+"$Cm=!w5"</f>
        <v>#REF!</v>
      </c>
      <c r="AA29" t="e">
        <f>#REF!+"$Cm=!w6"</f>
        <v>#REF!</v>
      </c>
      <c r="AB29" t="e">
        <f>#REF!+"$Cm=!w7"</f>
        <v>#REF!</v>
      </c>
      <c r="AC29" t="e">
        <f>#REF!+"$Cm=!w8"</f>
        <v>#REF!</v>
      </c>
      <c r="AD29" t="e">
        <f>#REF!+"$Cm=!w9"</f>
        <v>#REF!</v>
      </c>
      <c r="AE29" t="e">
        <f>#REF!+"$Cm=!w:"</f>
        <v>#REF!</v>
      </c>
      <c r="AF29" t="e">
        <f>#REF!+"$Cm=!w;"</f>
        <v>#REF!</v>
      </c>
      <c r="AG29" t="e">
        <f>#REF!+"$Cm=!w&lt;"</f>
        <v>#REF!</v>
      </c>
      <c r="AH29" t="e">
        <f>#REF!+"$Cm=!w="</f>
        <v>#REF!</v>
      </c>
      <c r="AI29" t="e">
        <f>#REF!+"$Cm=!w&gt;"</f>
        <v>#REF!</v>
      </c>
      <c r="AJ29" t="e">
        <f>#REF!+"$Cm=!w?"</f>
        <v>#REF!</v>
      </c>
      <c r="AK29" t="e">
        <f>#REF!+"$Cm=!w@"</f>
        <v>#REF!</v>
      </c>
      <c r="AL29" t="e">
        <f>#REF!+"$Cm=!wA"</f>
        <v>#REF!</v>
      </c>
      <c r="AM29" t="e">
        <f>#REF!+"$Cm=!wB"</f>
        <v>#REF!</v>
      </c>
      <c r="AN29" t="e">
        <f>#REF!+"$Cm=!wC"</f>
        <v>#REF!</v>
      </c>
      <c r="AO29" t="e">
        <f>#REF!+"$Cm=!wD"</f>
        <v>#REF!</v>
      </c>
      <c r="AP29" t="e">
        <f>#REF!+"$Cm=!wE"</f>
        <v>#REF!</v>
      </c>
      <c r="AQ29" t="e">
        <f>#REF!+"$Cm=!wF"</f>
        <v>#REF!</v>
      </c>
      <c r="AR29" t="e">
        <f>#REF!+"$Cm=!wG"</f>
        <v>#REF!</v>
      </c>
      <c r="AS29" t="e">
        <f>#REF!+"$Cm=!wH"</f>
        <v>#REF!</v>
      </c>
      <c r="AT29" t="e">
        <f>#REF!+"$Cm=!wI"</f>
        <v>#REF!</v>
      </c>
      <c r="AU29" t="e">
        <f>#REF!+"$Cm=!wJ"</f>
        <v>#REF!</v>
      </c>
      <c r="AV29" t="e">
        <f>#REF!+"$Cm=!wK"</f>
        <v>#REF!</v>
      </c>
      <c r="AW29" t="e">
        <f>#REF!+"$Cm=!wL"</f>
        <v>#REF!</v>
      </c>
      <c r="AX29" t="e">
        <f>#REF!+"$Cm=!wM"</f>
        <v>#REF!</v>
      </c>
      <c r="AY29" t="e">
        <f>#REF!+"$Cm=!wN"</f>
        <v>#REF!</v>
      </c>
      <c r="AZ29" t="e">
        <f>#REF!+"$Cm=!wO"</f>
        <v>#REF!</v>
      </c>
      <c r="BA29" t="e">
        <f>#REF!+"$Cm=!wP"</f>
        <v>#REF!</v>
      </c>
      <c r="BB29" t="e">
        <f>#REF!+"$Cm=!wQ"</f>
        <v>#REF!</v>
      </c>
      <c r="BC29" t="e">
        <f>#REF!+"$Cm=!wR"</f>
        <v>#REF!</v>
      </c>
      <c r="BD29" t="e">
        <f>#REF!+"$Cm=!wS"</f>
        <v>#REF!</v>
      </c>
      <c r="BE29" t="e">
        <f>#REF!+"$Cm=!wT"</f>
        <v>#REF!</v>
      </c>
      <c r="BF29" t="e">
        <f>#REF!+"$Cm=!wU"</f>
        <v>#REF!</v>
      </c>
      <c r="BG29" t="e">
        <f>#REF!+"$Cm=!wV"</f>
        <v>#REF!</v>
      </c>
      <c r="BH29" t="e">
        <f>#REF!+"$Cm=!wW"</f>
        <v>#REF!</v>
      </c>
      <c r="BI29" t="e">
        <f>#REF!+"$Cm=!wX"</f>
        <v>#REF!</v>
      </c>
      <c r="BJ29" t="e">
        <f>#REF!+"$Cm=!wY"</f>
        <v>#REF!</v>
      </c>
      <c r="BK29" t="e">
        <f>#REF!+"$Cm=!wZ"</f>
        <v>#REF!</v>
      </c>
      <c r="BL29" t="e">
        <f>#REF!+"$Cm=!w["</f>
        <v>#REF!</v>
      </c>
      <c r="BM29" t="e">
        <f>#REF!+"$Cm=!w\"</f>
        <v>#REF!</v>
      </c>
      <c r="BN29" t="e">
        <f>#REF!+"$Cm=!w]"</f>
        <v>#REF!</v>
      </c>
      <c r="BO29" t="e">
        <f>#REF!+"$Cm=!w^"</f>
        <v>#REF!</v>
      </c>
      <c r="BP29" t="e">
        <f>#REF!+"$Cm=!w_"</f>
        <v>#REF!</v>
      </c>
      <c r="BQ29" t="e">
        <f>#REF!+"$Cm=!w`"</f>
        <v>#REF!</v>
      </c>
      <c r="BR29" t="e">
        <f>#REF!+"$Cm=!wa"</f>
        <v>#REF!</v>
      </c>
      <c r="BS29" t="e">
        <f>#REF!+"$Cm=!wb"</f>
        <v>#REF!</v>
      </c>
      <c r="BT29" t="e">
        <f>#REF!+"$Cm=!wc"</f>
        <v>#REF!</v>
      </c>
      <c r="BU29" t="e">
        <f>#REF!+"$Cm=!wd"</f>
        <v>#REF!</v>
      </c>
      <c r="BV29" t="e">
        <f>#REF!+"$Cm=!we"</f>
        <v>#REF!</v>
      </c>
      <c r="BW29" t="e">
        <f>#REF!+"$Cm=!wf"</f>
        <v>#REF!</v>
      </c>
      <c r="BX29" t="e">
        <f>#REF!+"$Cm=!wg"</f>
        <v>#REF!</v>
      </c>
      <c r="BY29" t="e">
        <f>#REF!+"$Cm=!wh"</f>
        <v>#REF!</v>
      </c>
      <c r="BZ29" t="e">
        <f>#REF!+"$Cm=!wi"</f>
        <v>#REF!</v>
      </c>
      <c r="CA29" t="e">
        <f>#REF!+"$Cm=!wj"</f>
        <v>#REF!</v>
      </c>
      <c r="CB29" t="e">
        <f>#REF!+"$Cm=!wk"</f>
        <v>#REF!</v>
      </c>
      <c r="CC29" t="e">
        <f>#REF!+"$Cm=!wl"</f>
        <v>#REF!</v>
      </c>
      <c r="CD29" t="e">
        <f>#REF!+"$Cm=!wm"</f>
        <v>#REF!</v>
      </c>
      <c r="CE29" t="e">
        <f>#REF!+"$Cm=!wn"</f>
        <v>#REF!</v>
      </c>
      <c r="CF29" t="e">
        <f>#REF!+"$Cm=!wo"</f>
        <v>#REF!</v>
      </c>
      <c r="CG29" t="e">
        <f>#REF!+"$Cm=!wp"</f>
        <v>#REF!</v>
      </c>
      <c r="CH29" t="e">
        <f>#REF!+"$Cm=!wq"</f>
        <v>#REF!</v>
      </c>
      <c r="CI29" t="e">
        <f>#REF!+"$Cm=!wr"</f>
        <v>#REF!</v>
      </c>
      <c r="CJ29" t="e">
        <f>#REF!+"$Cm=!ws"</f>
        <v>#REF!</v>
      </c>
      <c r="CK29" t="e">
        <f>#REF!+"$Cm=!wt"</f>
        <v>#REF!</v>
      </c>
      <c r="CL29" t="e">
        <f>#REF!+"$Cm=!wu"</f>
        <v>#REF!</v>
      </c>
      <c r="CM29" t="e">
        <f>#REF!+"$Cm=!wv"</f>
        <v>#REF!</v>
      </c>
      <c r="CN29" t="e">
        <f>#REF!+"$Cm=!ww"</f>
        <v>#REF!</v>
      </c>
      <c r="CO29" t="e">
        <f>#REF!+"$Cm=!wx"</f>
        <v>#REF!</v>
      </c>
      <c r="CP29" t="e">
        <f>#REF!+"$Cm=!wy"</f>
        <v>#REF!</v>
      </c>
      <c r="CQ29" t="e">
        <f>#REF!+"$Cm=!wz"</f>
        <v>#REF!</v>
      </c>
      <c r="CR29" t="e">
        <f>#REF!+"$Cm=!w{"</f>
        <v>#REF!</v>
      </c>
      <c r="CS29" t="e">
        <f>#REF!+"$Cm=!w|"</f>
        <v>#REF!</v>
      </c>
      <c r="CT29" t="e">
        <f>#REF!+"$Cm=!w}"</f>
        <v>#REF!</v>
      </c>
      <c r="CU29" t="e">
        <f>#REF!+"$Cm=!w~"</f>
        <v>#REF!</v>
      </c>
      <c r="CV29" t="e">
        <f>#REF!+"$Cm=!x#"</f>
        <v>#REF!</v>
      </c>
      <c r="CW29" t="e">
        <f>#REF!+"$Cm=!x$"</f>
        <v>#REF!</v>
      </c>
      <c r="CX29" t="e">
        <f>#REF!+"$Cm=!x%"</f>
        <v>#REF!</v>
      </c>
      <c r="CY29" t="e">
        <f>#REF!+"$Cm=!x&amp;"</f>
        <v>#REF!</v>
      </c>
      <c r="CZ29" t="e">
        <f>#REF!+"$Cm=!x'"</f>
        <v>#REF!</v>
      </c>
      <c r="DA29" t="e">
        <f>#REF!+"$Cm=!x("</f>
        <v>#REF!</v>
      </c>
      <c r="DB29" t="e">
        <f>#REF!+"$Cm=!x)"</f>
        <v>#REF!</v>
      </c>
      <c r="DC29" t="e">
        <f>#REF!+"$Cm=!x."</f>
        <v>#REF!</v>
      </c>
      <c r="DD29" t="e">
        <f>#REF!+"$Cm=!x/"</f>
        <v>#REF!</v>
      </c>
      <c r="DE29" t="e">
        <f>#REF!+"$Cm=!x0"</f>
        <v>#REF!</v>
      </c>
      <c r="DF29" t="e">
        <f>#REF!+"$Cm=!x1"</f>
        <v>#REF!</v>
      </c>
      <c r="DG29" t="e">
        <f>#REF!+"$Cm=!x2"</f>
        <v>#REF!</v>
      </c>
      <c r="DH29" t="e">
        <f>#REF!+"$Cm=!x3"</f>
        <v>#REF!</v>
      </c>
      <c r="DI29" t="e">
        <f>#REF!+"$Cm=!x4"</f>
        <v>#REF!</v>
      </c>
      <c r="DJ29" t="e">
        <f>#REF!+"$Cm=!x5"</f>
        <v>#REF!</v>
      </c>
      <c r="DK29" t="e">
        <f>#REF!+"$Cm=!x6"</f>
        <v>#REF!</v>
      </c>
      <c r="DL29" t="e">
        <f>#REF!+"$Cm=!x7"</f>
        <v>#REF!</v>
      </c>
      <c r="DM29" t="e">
        <f>#REF!+"$Cm=!x8"</f>
        <v>#REF!</v>
      </c>
      <c r="DN29" t="e">
        <f>#REF!+"$Cm=!x9"</f>
        <v>#REF!</v>
      </c>
      <c r="DO29" t="e">
        <f>#REF!+"$Cm=!x:"</f>
        <v>#REF!</v>
      </c>
      <c r="DP29" t="e">
        <f>#REF!+"$Cm=!x;"</f>
        <v>#REF!</v>
      </c>
      <c r="DQ29" t="e">
        <f>#REF!+"$Cm=!x&lt;"</f>
        <v>#REF!</v>
      </c>
      <c r="DR29" t="e">
        <f>#REF!+"$Cm=!x="</f>
        <v>#REF!</v>
      </c>
      <c r="DS29" t="e">
        <f>#REF!+"$Cm=!x&gt;"</f>
        <v>#REF!</v>
      </c>
      <c r="DT29" t="e">
        <f>#REF!+"$Cm=!x?"</f>
        <v>#REF!</v>
      </c>
      <c r="DU29" t="e">
        <f>#REF!+"$Cm=!x@"</f>
        <v>#REF!</v>
      </c>
      <c r="DV29" t="e">
        <f>#REF!+"$Cm=!xA"</f>
        <v>#REF!</v>
      </c>
      <c r="DW29" t="e">
        <f>#REF!+"$Cm=!xB"</f>
        <v>#REF!</v>
      </c>
      <c r="DX29" t="e">
        <f>#REF!+"$Cm=!xC"</f>
        <v>#REF!</v>
      </c>
      <c r="DY29" t="e">
        <f>#REF!+"$Cm=!xD"</f>
        <v>#REF!</v>
      </c>
      <c r="DZ29" t="e">
        <f>#REF!+"$Cm=!xE"</f>
        <v>#REF!</v>
      </c>
      <c r="EA29" t="e">
        <f>#REF!+"$Cm=!xF"</f>
        <v>#REF!</v>
      </c>
      <c r="EB29" t="e">
        <f>#REF!+"$Cm=!xG"</f>
        <v>#REF!</v>
      </c>
      <c r="EC29" t="e">
        <f>#REF!+"$Cm=!xH"</f>
        <v>#REF!</v>
      </c>
      <c r="ED29" t="e">
        <f>#REF!+"$Cm=!xI"</f>
        <v>#REF!</v>
      </c>
      <c r="EE29" t="e">
        <f>#REF!+"$Cm=!xJ"</f>
        <v>#REF!</v>
      </c>
      <c r="EF29" t="e">
        <f>#REF!+"$Cm=!xK"</f>
        <v>#REF!</v>
      </c>
      <c r="EG29" t="e">
        <f>#REF!+"$Cm=!xL"</f>
        <v>#REF!</v>
      </c>
      <c r="EH29" t="e">
        <f>#REF!+"$Cm=!xM"</f>
        <v>#REF!</v>
      </c>
      <c r="EI29" t="e">
        <f>#REF!+"$Cm=!xN"</f>
        <v>#REF!</v>
      </c>
      <c r="EJ29" t="e">
        <f>#REF!+"$Cm=!xO"</f>
        <v>#REF!</v>
      </c>
      <c r="EK29" t="e">
        <f>#REF!+"$Cm=!xP"</f>
        <v>#REF!</v>
      </c>
      <c r="EL29" t="e">
        <f>#REF!+"$Cm=!xQ"</f>
        <v>#REF!</v>
      </c>
      <c r="EM29" t="e">
        <f>#REF!+"$Cm=!xR"</f>
        <v>#REF!</v>
      </c>
      <c r="EN29" t="e">
        <f>#REF!+"$Cm=!xS"</f>
        <v>#REF!</v>
      </c>
      <c r="EO29" t="e">
        <f>#REF!+"$Cm=!xT"</f>
        <v>#REF!</v>
      </c>
      <c r="EP29" t="e">
        <f>#REF!+"$Cm=!xU"</f>
        <v>#REF!</v>
      </c>
      <c r="EQ29" t="e">
        <f>#REF!+"$Cm=!xV"</f>
        <v>#REF!</v>
      </c>
      <c r="ER29" t="e">
        <f>#REF!+"$Cm=!xW"</f>
        <v>#REF!</v>
      </c>
      <c r="ES29" t="e">
        <f>#REF!+"$Cm=!xX"</f>
        <v>#REF!</v>
      </c>
      <c r="ET29" t="e">
        <f>#REF!+"$Cm=!xY"</f>
        <v>#REF!</v>
      </c>
      <c r="EU29" t="e">
        <f>#REF!+"$Cm=!xZ"</f>
        <v>#REF!</v>
      </c>
      <c r="EV29" t="e">
        <f>#REF!+"$Cm=!x["</f>
        <v>#REF!</v>
      </c>
      <c r="EW29" t="e">
        <f>#REF!+"$Cm=!x\"</f>
        <v>#REF!</v>
      </c>
      <c r="EX29" t="e">
        <f>#REF!+"$Cm=!x]"</f>
        <v>#REF!</v>
      </c>
      <c r="EY29" t="e">
        <f>#REF!+"$Cm=!x^"</f>
        <v>#REF!</v>
      </c>
      <c r="EZ29" t="e">
        <f>#REF!+"$Cm=!x_"</f>
        <v>#REF!</v>
      </c>
      <c r="FA29" t="e">
        <f>#REF!+"$Cm=!x`"</f>
        <v>#REF!</v>
      </c>
      <c r="FB29" t="e">
        <f>#REF!+"$Cm=!xa"</f>
        <v>#REF!</v>
      </c>
      <c r="FC29" t="e">
        <f>#REF!+"$Cm=!xb"</f>
        <v>#REF!</v>
      </c>
      <c r="FD29" t="e">
        <f>#REF!+"$Cm=!xc"</f>
        <v>#REF!</v>
      </c>
      <c r="FE29" t="e">
        <f>#REF!+"$Cm=!xd"</f>
        <v>#REF!</v>
      </c>
      <c r="FF29" t="e">
        <f>#REF!+"$Cm=!xe"</f>
        <v>#REF!</v>
      </c>
      <c r="FG29" t="e">
        <f>#REF!+"$Cm=!xf"</f>
        <v>#REF!</v>
      </c>
      <c r="FH29" t="e">
        <f>#REF!+"$Cm=!xg"</f>
        <v>#REF!</v>
      </c>
      <c r="FI29" t="e">
        <f>#REF!+"$Cm=!xh"</f>
        <v>#REF!</v>
      </c>
      <c r="FJ29" t="e">
        <f>#REF!+"$Cm=!xi"</f>
        <v>#REF!</v>
      </c>
      <c r="FK29" t="e">
        <f>#REF!+"$Cm=!xj"</f>
        <v>#REF!</v>
      </c>
      <c r="FL29" t="e">
        <f>#REF!+"$Cm=!xk"</f>
        <v>#REF!</v>
      </c>
      <c r="FM29" t="e">
        <f>#REF!+"$Cm=!xl"</f>
        <v>#REF!</v>
      </c>
      <c r="FN29" t="e">
        <f>#REF!+"$Cm=!xm"</f>
        <v>#REF!</v>
      </c>
      <c r="FO29" t="e">
        <f>#REF!+"$Cm=!xn"</f>
        <v>#REF!</v>
      </c>
      <c r="FP29" t="e">
        <f>#REF!+"$Cm=!xo"</f>
        <v>#REF!</v>
      </c>
      <c r="FQ29" t="e">
        <f>#REF!+"$Cm=!xp"</f>
        <v>#REF!</v>
      </c>
      <c r="FR29" t="e">
        <f>#REF!+"$Cm=!xq"</f>
        <v>#REF!</v>
      </c>
      <c r="FS29" t="e">
        <f>#REF!+"$Cm=!xr"</f>
        <v>#REF!</v>
      </c>
      <c r="FT29" t="e">
        <f>#REF!+"$Cm=!xs"</f>
        <v>#REF!</v>
      </c>
      <c r="FU29" t="e">
        <f>#REF!+"$Cm=!xt"</f>
        <v>#REF!</v>
      </c>
      <c r="FV29" t="e">
        <f>#REF!+"$Cm=!xu"</f>
        <v>#REF!</v>
      </c>
      <c r="FW29" t="e">
        <f>#REF!+"$Cm=!xv"</f>
        <v>#REF!</v>
      </c>
      <c r="FX29" t="e">
        <f>#REF!+"$Cm=!xw"</f>
        <v>#REF!</v>
      </c>
      <c r="FY29" t="e">
        <f>#REF!+"$Cm=!xx"</f>
        <v>#REF!</v>
      </c>
      <c r="FZ29" t="e">
        <f>#REF!+"$Cm=!xy"</f>
        <v>#REF!</v>
      </c>
      <c r="GA29" t="e">
        <f>#REF!+"$Cm=!xz"</f>
        <v>#REF!</v>
      </c>
      <c r="GB29" t="e">
        <f>#REF!+"$Cm=!x{"</f>
        <v>#REF!</v>
      </c>
      <c r="GC29" t="e">
        <f>#REF!+"$Cm=!x|"</f>
        <v>#REF!</v>
      </c>
      <c r="GD29" t="e">
        <f>#REF!+"$Cm=!x}"</f>
        <v>#REF!</v>
      </c>
      <c r="GE29" t="e">
        <f>#REF!+"$Cm=!x~"</f>
        <v>#REF!</v>
      </c>
      <c r="GF29" t="e">
        <f>#REF!+"$Cm=!y#"</f>
        <v>#REF!</v>
      </c>
      <c r="GG29" t="e">
        <f>#REF!+"$Cm=!y$"</f>
        <v>#REF!</v>
      </c>
      <c r="GH29" t="e">
        <f>#REF!+"$Cm=!y%"</f>
        <v>#REF!</v>
      </c>
      <c r="GI29" t="e">
        <f>#REF!+"$Cm=!y&amp;"</f>
        <v>#REF!</v>
      </c>
      <c r="GJ29" t="e">
        <f>#REF!+"$Cm=!y'"</f>
        <v>#REF!</v>
      </c>
      <c r="GK29" t="e">
        <f>#REF!+"$Cm=!y("</f>
        <v>#REF!</v>
      </c>
      <c r="GL29" t="e">
        <f>#REF!+"$Cm=!y)"</f>
        <v>#REF!</v>
      </c>
      <c r="GM29" t="e">
        <f>#REF!+"$Cm=!y."</f>
        <v>#REF!</v>
      </c>
      <c r="GN29" t="e">
        <f>#REF!+"$Cm=!y/"</f>
        <v>#REF!</v>
      </c>
      <c r="GO29" t="e">
        <f>#REF!+"$Cm=!y0"</f>
        <v>#REF!</v>
      </c>
      <c r="GP29" t="e">
        <f>#REF!+"$Cm=!y1"</f>
        <v>#REF!</v>
      </c>
      <c r="GQ29" t="e">
        <f>#REF!+"$Cm=!y2"</f>
        <v>#REF!</v>
      </c>
      <c r="GR29" t="e">
        <f>#REF!+"$Cm=!y3"</f>
        <v>#REF!</v>
      </c>
      <c r="GS29" t="e">
        <f>#REF!+"$Cm=!y4"</f>
        <v>#REF!</v>
      </c>
      <c r="GT29" t="e">
        <f>#REF!+"$Cm=!y5"</f>
        <v>#REF!</v>
      </c>
      <c r="GU29" t="e">
        <f>#REF!+"$Cm=!y6"</f>
        <v>#REF!</v>
      </c>
      <c r="GV29" t="e">
        <f>#REF!+"$Cm=!y7"</f>
        <v>#REF!</v>
      </c>
      <c r="GW29" t="e">
        <f>#REF!+"$Cm=!y8"</f>
        <v>#REF!</v>
      </c>
      <c r="GX29" t="e">
        <f>#REF!+"$Cm=!y9"</f>
        <v>#REF!</v>
      </c>
      <c r="GY29" t="e">
        <f>#REF!+"$Cm=!y:"</f>
        <v>#REF!</v>
      </c>
      <c r="GZ29" t="e">
        <f>#REF!+"$Cm=!y;"</f>
        <v>#REF!</v>
      </c>
      <c r="HA29" t="e">
        <f>#REF!+"$Cm=!y&lt;"</f>
        <v>#REF!</v>
      </c>
      <c r="HB29" t="e">
        <f>#REF!+"$Cm=!y="</f>
        <v>#REF!</v>
      </c>
      <c r="HC29" t="e">
        <f>#REF!+"$Cm=!y&gt;"</f>
        <v>#REF!</v>
      </c>
      <c r="HD29" t="e">
        <f>#REF!+"$Cm=!y?"</f>
        <v>#REF!</v>
      </c>
      <c r="HE29" t="e">
        <f>#REF!+"$Cm=!y@"</f>
        <v>#REF!</v>
      </c>
      <c r="HF29" t="e">
        <f>#REF!+"$Cm=!yA"</f>
        <v>#REF!</v>
      </c>
      <c r="HG29" t="e">
        <f>#REF!+"$Cm=!yB"</f>
        <v>#REF!</v>
      </c>
      <c r="HH29" t="e">
        <f>#REF!+"$Cm=!yC"</f>
        <v>#REF!</v>
      </c>
      <c r="HI29" t="e">
        <f>#REF!+"$Cm=!yD"</f>
        <v>#REF!</v>
      </c>
      <c r="HJ29" t="e">
        <f>#REF!+"$Cm=!yE"</f>
        <v>#REF!</v>
      </c>
      <c r="HK29" t="e">
        <f>#REF!+"$Cm=!yF"</f>
        <v>#REF!</v>
      </c>
      <c r="HL29" t="e">
        <f>#REF!+"$Cm=!yG"</f>
        <v>#REF!</v>
      </c>
      <c r="HM29" t="e">
        <f>#REF!+"$Cm=!yH"</f>
        <v>#REF!</v>
      </c>
      <c r="HN29" t="e">
        <f>#REF!+"$Cm=!yI"</f>
        <v>#REF!</v>
      </c>
      <c r="HO29" t="e">
        <f>#REF!+"$Cm=!yJ"</f>
        <v>#REF!</v>
      </c>
      <c r="HP29" t="e">
        <f>#REF!+"$Cm=!yK"</f>
        <v>#REF!</v>
      </c>
      <c r="HQ29" t="e">
        <f>#REF!+"$Cm=!yL"</f>
        <v>#REF!</v>
      </c>
      <c r="HR29" t="e">
        <f>#REF!+"$Cm=!yM"</f>
        <v>#REF!</v>
      </c>
      <c r="HS29" t="e">
        <f>#REF!+"$Cm=!yN"</f>
        <v>#REF!</v>
      </c>
      <c r="HT29" t="e">
        <f>#REF!+"$Cm=!yO"</f>
        <v>#REF!</v>
      </c>
      <c r="HU29" t="e">
        <f>#REF!+"$Cm=!yP"</f>
        <v>#REF!</v>
      </c>
      <c r="HV29" t="e">
        <f>#REF!+"$Cm=!yQ"</f>
        <v>#REF!</v>
      </c>
      <c r="HW29" t="e">
        <f>#REF!+"$Cm=!yR"</f>
        <v>#REF!</v>
      </c>
      <c r="HX29" t="e">
        <f>#REF!+"$Cm=!yS"</f>
        <v>#REF!</v>
      </c>
      <c r="HY29" t="e">
        <f>#REF!+"$Cm=!yT"</f>
        <v>#REF!</v>
      </c>
      <c r="HZ29" t="e">
        <f>#REF!+"$Cm=!yU"</f>
        <v>#REF!</v>
      </c>
      <c r="IA29" t="e">
        <f>#REF!+"$Cm=!yV"</f>
        <v>#REF!</v>
      </c>
      <c r="IB29" t="e">
        <f>#REF!+"$Cm=!yW"</f>
        <v>#REF!</v>
      </c>
      <c r="IC29" t="e">
        <f>#REF!+"$Cm=!yX"</f>
        <v>#REF!</v>
      </c>
      <c r="ID29" t="e">
        <f>#REF!+"$Cm=!yY"</f>
        <v>#REF!</v>
      </c>
      <c r="IE29" t="e">
        <f>#REF!+"$Cm=!yZ"</f>
        <v>#REF!</v>
      </c>
      <c r="IF29" t="e">
        <f>#REF!+"$Cm=!y["</f>
        <v>#REF!</v>
      </c>
      <c r="IG29" t="e">
        <f>#REF!+"$Cm=!y\"</f>
        <v>#REF!</v>
      </c>
      <c r="IH29" t="e">
        <f>#REF!+"$Cm=!y]"</f>
        <v>#REF!</v>
      </c>
      <c r="II29" t="e">
        <f>#REF!+"$Cm=!y^"</f>
        <v>#REF!</v>
      </c>
      <c r="IJ29" t="e">
        <f>#REF!+"$Cm=!y_"</f>
        <v>#REF!</v>
      </c>
      <c r="IK29" t="e">
        <f>#REF!+"$Cm=!y`"</f>
        <v>#REF!</v>
      </c>
      <c r="IL29" t="e">
        <f>#REF!+"$Cm=!ya"</f>
        <v>#REF!</v>
      </c>
      <c r="IM29" t="e">
        <f>#REF!+"$Cm=!yb"</f>
        <v>#REF!</v>
      </c>
      <c r="IN29" t="e">
        <f>#REF!+"$Cm=!yc"</f>
        <v>#REF!</v>
      </c>
      <c r="IO29" t="e">
        <f>#REF!+"$Cm=!yd"</f>
        <v>#REF!</v>
      </c>
      <c r="IP29" t="e">
        <f>#REF!+"$Cm=!ye"</f>
        <v>#REF!</v>
      </c>
      <c r="IQ29" t="e">
        <f>#REF!+"$Cm=!yf"</f>
        <v>#REF!</v>
      </c>
      <c r="IR29" t="e">
        <f>#REF!+"$Cm=!yg"</f>
        <v>#REF!</v>
      </c>
      <c r="IS29" t="e">
        <f>#REF!+"$Cm=!yh"</f>
        <v>#REF!</v>
      </c>
      <c r="IT29" t="e">
        <f>#REF!+"$Cm=!yi"</f>
        <v>#REF!</v>
      </c>
      <c r="IU29" t="e">
        <f>#REF!+"$Cm=!yj"</f>
        <v>#REF!</v>
      </c>
      <c r="IV29" t="e">
        <f>#REF!+"$Cm=!yk"</f>
        <v>#REF!</v>
      </c>
    </row>
    <row r="30" spans="6:256">
      <c r="F30" t="e">
        <f>#REF!+"$Cm=!yl"</f>
        <v>#REF!</v>
      </c>
      <c r="G30" t="e">
        <f>#REF!+"$Cm=!ym"</f>
        <v>#REF!</v>
      </c>
      <c r="H30" t="e">
        <f>#REF!+"$Cm=!yn"</f>
        <v>#REF!</v>
      </c>
      <c r="I30" t="e">
        <f>#REF!+"$Cm=!yo"</f>
        <v>#REF!</v>
      </c>
      <c r="J30" t="e">
        <f>#REF!+"$Cm=!yp"</f>
        <v>#REF!</v>
      </c>
      <c r="K30" t="e">
        <f>#REF!+"$Cm=!yq"</f>
        <v>#REF!</v>
      </c>
      <c r="L30" t="e">
        <f>#REF!+"$Cm=!yr"</f>
        <v>#REF!</v>
      </c>
      <c r="M30" t="e">
        <f>#REF!+"$Cm=!ys"</f>
        <v>#REF!</v>
      </c>
      <c r="N30" t="e">
        <f>#REF!+"$Cm=!yt"</f>
        <v>#REF!</v>
      </c>
      <c r="O30" t="e">
        <f>#REF!+"$Cm=!yu"</f>
        <v>#REF!</v>
      </c>
      <c r="P30" t="e">
        <f>#REF!+"$Cm=!yv"</f>
        <v>#REF!</v>
      </c>
      <c r="Q30" t="e">
        <f>#REF!+"$Cm=!yw"</f>
        <v>#REF!</v>
      </c>
      <c r="R30" t="e">
        <f>#REF!+"$Cm=!yx"</f>
        <v>#REF!</v>
      </c>
      <c r="S30" t="e">
        <f>#REF!+"$Cm=!yy"</f>
        <v>#REF!</v>
      </c>
      <c r="T30" t="e">
        <f>#REF!+"$Cm=!yz"</f>
        <v>#REF!</v>
      </c>
      <c r="U30" t="e">
        <f>#REF!+"$Cm=!y{"</f>
        <v>#REF!</v>
      </c>
      <c r="V30" t="e">
        <f>#REF!+"$Cm=!y|"</f>
        <v>#REF!</v>
      </c>
      <c r="W30" t="e">
        <f>#REF!+"$Cm=!y}"</f>
        <v>#REF!</v>
      </c>
      <c r="X30" t="e">
        <f>#REF!+"$Cm=!y~"</f>
        <v>#REF!</v>
      </c>
      <c r="Y30" t="e">
        <f>#REF!+"$Cm=!z#"</f>
        <v>#REF!</v>
      </c>
      <c r="Z30" t="e">
        <f>#REF!+"$Cm=!z$"</f>
        <v>#REF!</v>
      </c>
      <c r="AA30" t="e">
        <f>#REF!+"$Cm=!z%"</f>
        <v>#REF!</v>
      </c>
      <c r="AB30" t="e">
        <f>#REF!+"$Cm=!z&amp;"</f>
        <v>#REF!</v>
      </c>
      <c r="AC30" t="e">
        <f>#REF!+"$Cm=!z'"</f>
        <v>#REF!</v>
      </c>
      <c r="AD30" t="e">
        <f>#REF!+"$Cm=!z("</f>
        <v>#REF!</v>
      </c>
      <c r="AE30" t="e">
        <f>#REF!+"$Cm=!z)"</f>
        <v>#REF!</v>
      </c>
      <c r="AF30" t="e">
        <f>#REF!+"$Cm=!z."</f>
        <v>#REF!</v>
      </c>
      <c r="AG30" t="e">
        <f>#REF!+"$Cm=!z/"</f>
        <v>#REF!</v>
      </c>
      <c r="AH30" t="e">
        <f>#REF!+"$Cm=!z0"</f>
        <v>#REF!</v>
      </c>
      <c r="AI30" t="e">
        <f>#REF!+"$Cm=!z1"</f>
        <v>#REF!</v>
      </c>
      <c r="AJ30" t="e">
        <f>#REF!+"$Cm=!z2"</f>
        <v>#REF!</v>
      </c>
      <c r="AK30" t="e">
        <f>#REF!+"$Cm=!z3"</f>
        <v>#REF!</v>
      </c>
      <c r="AL30" t="e">
        <f>#REF!+"$Cm=!z4"</f>
        <v>#REF!</v>
      </c>
      <c r="AM30" t="e">
        <f>#REF!+"$Cm=!z5"</f>
        <v>#REF!</v>
      </c>
      <c r="AN30" t="e">
        <f>#REF!+"$Cm=!z6"</f>
        <v>#REF!</v>
      </c>
      <c r="AO30" t="e">
        <f>#REF!+"$Cm=!z7"</f>
        <v>#REF!</v>
      </c>
      <c r="AP30" t="e">
        <f>#REF!+"$Cm=!z8"</f>
        <v>#REF!</v>
      </c>
      <c r="AQ30" t="e">
        <f>#REF!+"$Cm=!z9"</f>
        <v>#REF!</v>
      </c>
      <c r="AR30" t="e">
        <f>#REF!+"$Cm=!z:"</f>
        <v>#REF!</v>
      </c>
      <c r="AS30" t="e">
        <f>#REF!+"$Cm=!z;"</f>
        <v>#REF!</v>
      </c>
      <c r="AT30" t="e">
        <f>#REF!+"$Cm=!z&lt;"</f>
        <v>#REF!</v>
      </c>
      <c r="AU30" t="e">
        <f>#REF!+"$Cm=!z="</f>
        <v>#REF!</v>
      </c>
      <c r="AV30" t="e">
        <f>#REF!+"$Cm=!z&gt;"</f>
        <v>#REF!</v>
      </c>
      <c r="AW30" t="e">
        <f>#REF!+"$Cm=!z?"</f>
        <v>#REF!</v>
      </c>
      <c r="AX30" t="e">
        <f>#REF!+"$Cm=!z@"</f>
        <v>#REF!</v>
      </c>
      <c r="AY30" t="e">
        <f>#REF!+"$Cm=!zA"</f>
        <v>#REF!</v>
      </c>
      <c r="AZ30" t="e">
        <f>#REF!+"$Cm=!zB"</f>
        <v>#REF!</v>
      </c>
      <c r="BA30" t="e">
        <f>#REF!+"$Cm=!zC"</f>
        <v>#REF!</v>
      </c>
      <c r="BB30" t="e">
        <f>#REF!+"$Cm=!zD"</f>
        <v>#REF!</v>
      </c>
      <c r="BC30" t="e">
        <f>#REF!+"$Cm=!zE"</f>
        <v>#REF!</v>
      </c>
      <c r="BD30" t="e">
        <f>#REF!+"$Cm=!zF"</f>
        <v>#REF!</v>
      </c>
      <c r="BE30" t="e">
        <f>#REF!+"$Cm=!zG"</f>
        <v>#REF!</v>
      </c>
      <c r="BF30" t="e">
        <f>#REF!+"$Cm=!zH"</f>
        <v>#REF!</v>
      </c>
      <c r="BG30" t="e">
        <f>#REF!+"$Cm=!zI"</f>
        <v>#REF!</v>
      </c>
      <c r="BH30" t="e">
        <f>#REF!+"$Cm=!zJ"</f>
        <v>#REF!</v>
      </c>
      <c r="BI30" t="e">
        <f>#REF!+"$Cm=!zK"</f>
        <v>#REF!</v>
      </c>
      <c r="BJ30" t="e">
        <f>#REF!+"$Cm=!zL"</f>
        <v>#REF!</v>
      </c>
      <c r="BK30" t="e">
        <f>#REF!+"$Cm=!zM"</f>
        <v>#REF!</v>
      </c>
      <c r="BL30" t="e">
        <f>#REF!+"$Cm=!zN"</f>
        <v>#REF!</v>
      </c>
      <c r="BM30" t="e">
        <f>#REF!+"$Cm=!zO"</f>
        <v>#REF!</v>
      </c>
      <c r="BN30" t="e">
        <f>#REF!+"$Cm=!zP"</f>
        <v>#REF!</v>
      </c>
      <c r="BO30" t="e">
        <f>#REF!+"$Cm=!zQ"</f>
        <v>#REF!</v>
      </c>
      <c r="BP30" t="e">
        <f>#REF!+"$Cm=!zR"</f>
        <v>#REF!</v>
      </c>
      <c r="BQ30" t="e">
        <f>#REF!+"$Cm=!zS"</f>
        <v>#REF!</v>
      </c>
      <c r="BR30" t="e">
        <f>#REF!+"$Cm=!zT"</f>
        <v>#REF!</v>
      </c>
      <c r="BS30" t="e">
        <f>#REF!+"$Cm=!zU"</f>
        <v>#REF!</v>
      </c>
      <c r="BT30" t="e">
        <f>#REF!+"$Cm=!zV"</f>
        <v>#REF!</v>
      </c>
      <c r="BU30" t="e">
        <f>#REF!+"$Cm=!zW"</f>
        <v>#REF!</v>
      </c>
      <c r="BV30" t="e">
        <f>#REF!+"$Cm=!zX"</f>
        <v>#REF!</v>
      </c>
      <c r="BW30" t="e">
        <f>#REF!+"$Cm=!zY"</f>
        <v>#REF!</v>
      </c>
      <c r="BX30" t="e">
        <f>#REF!+"$Cm=!zZ"</f>
        <v>#REF!</v>
      </c>
      <c r="BY30" t="e">
        <f>#REF!+"$Cm=!z["</f>
        <v>#REF!</v>
      </c>
      <c r="BZ30" t="e">
        <f>#REF!+"$Cm=!z\"</f>
        <v>#REF!</v>
      </c>
      <c r="CA30" t="e">
        <f>#REF!+"$Cm=!z]"</f>
        <v>#REF!</v>
      </c>
      <c r="CB30" t="e">
        <f>#REF!+"$Cm=!z^"</f>
        <v>#REF!</v>
      </c>
      <c r="CC30" t="e">
        <f>#REF!+"$Cm=!z_"</f>
        <v>#REF!</v>
      </c>
      <c r="CD30" t="e">
        <f>#REF!+"$Cm=!z`"</f>
        <v>#REF!</v>
      </c>
      <c r="CE30" t="e">
        <f>#REF!+"$Cm=!za"</f>
        <v>#REF!</v>
      </c>
      <c r="CF30" t="e">
        <f>#REF!+"$Cm=!zb"</f>
        <v>#REF!</v>
      </c>
      <c r="CG30" t="e">
        <f>#REF!+"$Cm=!zc"</f>
        <v>#REF!</v>
      </c>
      <c r="CH30" t="e">
        <f>#REF!+"$Cm=!zd"</f>
        <v>#REF!</v>
      </c>
      <c r="CI30" t="e">
        <f>#REF!+"$Cm=!ze"</f>
        <v>#REF!</v>
      </c>
      <c r="CJ30" t="e">
        <f>#REF!+"$Cm=!zf"</f>
        <v>#REF!</v>
      </c>
      <c r="CK30" t="e">
        <f>#REF!+"$Cm=!zg"</f>
        <v>#REF!</v>
      </c>
      <c r="CL30" t="e">
        <f>#REF!+"$Cm=!zh"</f>
        <v>#REF!</v>
      </c>
      <c r="CM30" t="e">
        <f>#REF!+"$Cm=!zi"</f>
        <v>#REF!</v>
      </c>
      <c r="CN30" t="e">
        <f>#REF!+"$Cm=!zj"</f>
        <v>#REF!</v>
      </c>
      <c r="CO30" t="e">
        <f>#REF!+"$Cm=!zk"</f>
        <v>#REF!</v>
      </c>
      <c r="CP30" t="e">
        <f>#REF!+"$Cm=!zl"</f>
        <v>#REF!</v>
      </c>
      <c r="CQ30" t="e">
        <f>#REF!+"$Cm=!zm"</f>
        <v>#REF!</v>
      </c>
      <c r="CR30" t="e">
        <f>#REF!+"$Cm=!zn"</f>
        <v>#REF!</v>
      </c>
      <c r="CS30" t="e">
        <f>#REF!+"$Cm=!zo"</f>
        <v>#REF!</v>
      </c>
      <c r="CT30" t="e">
        <f>#REF!+"$Cm=!zp"</f>
        <v>#REF!</v>
      </c>
      <c r="CU30" t="e">
        <f>#REF!+"$Cm=!zq"</f>
        <v>#REF!</v>
      </c>
      <c r="CV30" t="e">
        <f>#REF!+"$Cm=!zr"</f>
        <v>#REF!</v>
      </c>
      <c r="CW30" t="e">
        <f>#REF!+"$Cm=!zs"</f>
        <v>#REF!</v>
      </c>
      <c r="CX30" t="e">
        <f>#REF!+"$Cm=!zt"</f>
        <v>#REF!</v>
      </c>
      <c r="CY30" t="e">
        <f>#REF!+"$Cm=!zu"</f>
        <v>#REF!</v>
      </c>
      <c r="CZ30" t="e">
        <f>#REF!+"$Cm=!zv"</f>
        <v>#REF!</v>
      </c>
      <c r="DA30" t="e">
        <f>#REF!+"$Cm=!zw"</f>
        <v>#REF!</v>
      </c>
      <c r="DB30" t="e">
        <f>#REF!+"$Cm=!zx"</f>
        <v>#REF!</v>
      </c>
      <c r="DC30" t="e">
        <f>#REF!+"$Cm=!zy"</f>
        <v>#REF!</v>
      </c>
      <c r="DD30" t="e">
        <f>#REF!+"$Cm=!zz"</f>
        <v>#REF!</v>
      </c>
      <c r="DE30" t="e">
        <f>#REF!+"$Cm=!z{"</f>
        <v>#REF!</v>
      </c>
      <c r="DF30" t="e">
        <f>#REF!+"$Cm=!z|"</f>
        <v>#REF!</v>
      </c>
      <c r="DG30" t="e">
        <f>#REF!+"$Cm=!z}"</f>
        <v>#REF!</v>
      </c>
      <c r="DH30" t="e">
        <f>#REF!+"$Cm=!z~"</f>
        <v>#REF!</v>
      </c>
      <c r="DI30" t="e">
        <f>#REF!+"$Cm=!{#"</f>
        <v>#REF!</v>
      </c>
      <c r="DJ30" t="e">
        <f>#REF!+"$Cm=!{$"</f>
        <v>#REF!</v>
      </c>
      <c r="DK30" t="e">
        <f>#REF!+"$Cm=!{%"</f>
        <v>#REF!</v>
      </c>
      <c r="DL30" t="e">
        <f>#REF!+"$Cm=!{&amp;"</f>
        <v>#REF!</v>
      </c>
      <c r="DM30" t="e">
        <f>#REF!+"$Cm=!{'"</f>
        <v>#REF!</v>
      </c>
      <c r="DN30" t="e">
        <f>#REF!+"$Cm=!{("</f>
        <v>#REF!</v>
      </c>
      <c r="DO30" t="e">
        <f>#REF!+"$Cm=!{)"</f>
        <v>#REF!</v>
      </c>
      <c r="DP30" t="e">
        <f>#REF!+"$Cm=!{."</f>
        <v>#REF!</v>
      </c>
      <c r="DQ30" t="e">
        <f>#REF!+"$Cm=!{/"</f>
        <v>#REF!</v>
      </c>
      <c r="DR30" t="e">
        <f>#REF!+"$Cm=!{0"</f>
        <v>#REF!</v>
      </c>
      <c r="DS30" t="e">
        <f>#REF!+"$Cm=!{1"</f>
        <v>#REF!</v>
      </c>
      <c r="DT30" t="e">
        <f>#REF!+"$Cm=!{2"</f>
        <v>#REF!</v>
      </c>
      <c r="DU30" t="e">
        <f>#REF!+"$Cm=!{3"</f>
        <v>#REF!</v>
      </c>
      <c r="DV30" t="e">
        <f>#REF!+"$Cm=!{4"</f>
        <v>#REF!</v>
      </c>
      <c r="DW30" t="e">
        <f>#REF!+"$Cm=!{5"</f>
        <v>#REF!</v>
      </c>
      <c r="DX30" t="e">
        <f>#REF!+"$Cm=!{6"</f>
        <v>#REF!</v>
      </c>
      <c r="DY30" t="e">
        <f>#REF!+"$Cm=!{7"</f>
        <v>#REF!</v>
      </c>
      <c r="DZ30" t="e">
        <f>#REF!+"$Cm=!{8"</f>
        <v>#REF!</v>
      </c>
      <c r="EA30" t="e">
        <f>#REF!+"$Cm=!{9"</f>
        <v>#REF!</v>
      </c>
      <c r="EB30" t="e">
        <f>#REF!+"$Cm=!{:"</f>
        <v>#REF!</v>
      </c>
      <c r="EC30" t="e">
        <f>#REF!+"$Cm=!{;"</f>
        <v>#REF!</v>
      </c>
      <c r="ED30" t="e">
        <f>#REF!+"$Cm=!{&lt;"</f>
        <v>#REF!</v>
      </c>
      <c r="EE30" t="e">
        <f>#REF!+"$Cm=!{="</f>
        <v>#REF!</v>
      </c>
      <c r="EF30" t="e">
        <f>#REF!+"$Cm=!{&gt;"</f>
        <v>#REF!</v>
      </c>
      <c r="EG30" t="e">
        <f>#REF!+"$Cm=!{?"</f>
        <v>#REF!</v>
      </c>
      <c r="EH30" t="e">
        <f>#REF!+"$Cm=!{@"</f>
        <v>#REF!</v>
      </c>
      <c r="EI30" t="e">
        <f>#REF!+"$Cm=!{A"</f>
        <v>#REF!</v>
      </c>
      <c r="EJ30" t="e">
        <f>#REF!+"$Cm=!{B"</f>
        <v>#REF!</v>
      </c>
      <c r="EK30" t="e">
        <f>#REF!+"$Cm=!{C"</f>
        <v>#REF!</v>
      </c>
      <c r="EL30" t="e">
        <f>#REF!+"$Cm=!{D"</f>
        <v>#REF!</v>
      </c>
      <c r="EM30" t="e">
        <f>#REF!+"$Cm=!{E"</f>
        <v>#REF!</v>
      </c>
      <c r="EN30" t="e">
        <f>#REF!+"$Cm=!{F"</f>
        <v>#REF!</v>
      </c>
      <c r="EO30" t="e">
        <f>#REF!+"$Cm=!{G"</f>
        <v>#REF!</v>
      </c>
      <c r="EP30" t="e">
        <f>#REF!+"$Cm=!{H"</f>
        <v>#REF!</v>
      </c>
      <c r="EQ30" t="e">
        <f>#REF!+"$Cm=!{I"</f>
        <v>#REF!</v>
      </c>
      <c r="ER30" t="e">
        <f>#REF!+"$Cm=!{J"</f>
        <v>#REF!</v>
      </c>
      <c r="ES30" t="e">
        <f>#REF!+"$Cm=!{K"</f>
        <v>#REF!</v>
      </c>
      <c r="ET30" t="e">
        <f>#REF!+"$Cm=!{L"</f>
        <v>#REF!</v>
      </c>
      <c r="EU30" t="e">
        <f>#REF!+"$Cm=!{M"</f>
        <v>#REF!</v>
      </c>
      <c r="EV30" t="e">
        <f>#REF!+"$Cm=!{N"</f>
        <v>#REF!</v>
      </c>
      <c r="EW30" t="e">
        <f>#REF!+"$Cm=!{O"</f>
        <v>#REF!</v>
      </c>
      <c r="EX30" t="e">
        <f>#REF!+"$Cm=!{P"</f>
        <v>#REF!</v>
      </c>
      <c r="EY30" t="e">
        <f>#REF!+"$Cm=!{Q"</f>
        <v>#REF!</v>
      </c>
      <c r="EZ30" t="e">
        <f>#REF!+"$Cm=!{R"</f>
        <v>#REF!</v>
      </c>
      <c r="FA30" t="e">
        <f>#REF!+"$Cm=!{S"</f>
        <v>#REF!</v>
      </c>
      <c r="FB30" t="e">
        <f>#REF!+"$Cm=!{T"</f>
        <v>#REF!</v>
      </c>
      <c r="FC30" t="e">
        <f>#REF!+"$Cm=!{U"</f>
        <v>#REF!</v>
      </c>
      <c r="FD30" t="e">
        <f>#REF!+"$Cm=!{V"</f>
        <v>#REF!</v>
      </c>
      <c r="FE30" t="e">
        <f>#REF!+"$Cm=!{W"</f>
        <v>#REF!</v>
      </c>
      <c r="FF30" t="e">
        <f>#REF!+"$Cm=!{X"</f>
        <v>#REF!</v>
      </c>
      <c r="FG30" t="e">
        <f>#REF!+"$Cm=!{Y"</f>
        <v>#REF!</v>
      </c>
      <c r="FH30" t="e">
        <f>#REF!+"$Cm=!{Z"</f>
        <v>#REF!</v>
      </c>
      <c r="FI30" t="e">
        <f>#REF!+"$Cm=!{["</f>
        <v>#REF!</v>
      </c>
      <c r="FJ30" t="e">
        <f>#REF!+"$Cm=!{\"</f>
        <v>#REF!</v>
      </c>
      <c r="FK30" t="e">
        <f>#REF!+"$Cm=!{]"</f>
        <v>#REF!</v>
      </c>
      <c r="FL30" t="e">
        <f>#REF!+"$Cm=!{^"</f>
        <v>#REF!</v>
      </c>
      <c r="FM30" t="e">
        <f>#REF!+"$Cm=!{_"</f>
        <v>#REF!</v>
      </c>
      <c r="FN30" t="e">
        <f>#REF!+"$Cm=!{`"</f>
        <v>#REF!</v>
      </c>
      <c r="FO30" t="e">
        <f>#REF!+"$Cm=!{a"</f>
        <v>#REF!</v>
      </c>
      <c r="FP30" t="e">
        <f>#REF!+"$Cm=!{b"</f>
        <v>#REF!</v>
      </c>
      <c r="FQ30" t="e">
        <f>#REF!+"$Cm=!{c"</f>
        <v>#REF!</v>
      </c>
      <c r="FR30" t="e">
        <f>#REF!+"$Cm=!{d"</f>
        <v>#REF!</v>
      </c>
      <c r="FS30" t="e">
        <f>#REF!+"$Cm=!{e"</f>
        <v>#REF!</v>
      </c>
      <c r="FT30" t="e">
        <f>#REF!+"$Cm=!{f"</f>
        <v>#REF!</v>
      </c>
      <c r="FU30" t="e">
        <f>#REF!+"$Cm=!{g"</f>
        <v>#REF!</v>
      </c>
      <c r="FV30" t="e">
        <f>#REF!+"$Cm=!{h"</f>
        <v>#REF!</v>
      </c>
      <c r="FW30" t="e">
        <f>#REF!+"$Cm=!{i"</f>
        <v>#REF!</v>
      </c>
      <c r="FX30" t="e">
        <f>#REF!+"$Cm=!{j"</f>
        <v>#REF!</v>
      </c>
      <c r="FY30" t="e">
        <f>#REF!+"$Cm=!{k"</f>
        <v>#REF!</v>
      </c>
      <c r="FZ30" t="e">
        <f>#REF!+"$Cm=!{l"</f>
        <v>#REF!</v>
      </c>
      <c r="GA30" t="e">
        <f>#REF!+"$Cm=!{m"</f>
        <v>#REF!</v>
      </c>
      <c r="GB30" t="e">
        <f>#REF!+"$Cm=!{n"</f>
        <v>#REF!</v>
      </c>
      <c r="GC30" t="e">
        <f>#REF!+"$Cm=!{o"</f>
        <v>#REF!</v>
      </c>
      <c r="GD30" t="e">
        <f>#REF!+"$Cm=!{p"</f>
        <v>#REF!</v>
      </c>
      <c r="GE30" t="e">
        <f>#REF!+"$Cm=!{q"</f>
        <v>#REF!</v>
      </c>
      <c r="GF30" t="e">
        <f>#REF!+"$Cm=!{r"</f>
        <v>#REF!</v>
      </c>
      <c r="GG30" t="e">
        <f>#REF!+"$Cm=!{s"</f>
        <v>#REF!</v>
      </c>
      <c r="GH30" t="e">
        <f>#REF!+"$Cm=!{t"</f>
        <v>#REF!</v>
      </c>
      <c r="GI30" t="e">
        <f>#REF!+"$Cm=!{u"</f>
        <v>#REF!</v>
      </c>
      <c r="GJ30" t="e">
        <f>#REF!+"$Cm=!{v"</f>
        <v>#REF!</v>
      </c>
      <c r="GK30" t="e">
        <f>#REF!+"$Cm=!{w"</f>
        <v>#REF!</v>
      </c>
      <c r="GL30" t="e">
        <f>#REF!+"$Cm=!{x"</f>
        <v>#REF!</v>
      </c>
      <c r="GM30" t="e">
        <f>#REF!+"$Cm=!{y"</f>
        <v>#REF!</v>
      </c>
      <c r="GN30" t="e">
        <f>#REF!+"$Cm=!{z"</f>
        <v>#REF!</v>
      </c>
      <c r="GO30" t="e">
        <f>#REF!+"$Cm=!{{"</f>
        <v>#REF!</v>
      </c>
      <c r="GP30" t="e">
        <f>#REF!+"$Cm=!{|"</f>
        <v>#REF!</v>
      </c>
      <c r="GQ30" t="e">
        <f>#REF!+"$Cm=!{}"</f>
        <v>#REF!</v>
      </c>
      <c r="GR30" t="e">
        <f>#REF!+"$Cm=!{~"</f>
        <v>#REF!</v>
      </c>
      <c r="GS30" t="e">
        <f>#REF!+"$Cm=!|#"</f>
        <v>#REF!</v>
      </c>
      <c r="GT30" t="e">
        <f>#REF!+"$Cm=!|$"</f>
        <v>#REF!</v>
      </c>
      <c r="GU30" t="e">
        <f>#REF!+"$Cm=!|%"</f>
        <v>#REF!</v>
      </c>
      <c r="GV30" t="e">
        <f>#REF!+"$Cm=!|&amp;"</f>
        <v>#REF!</v>
      </c>
      <c r="GW30" t="e">
        <f>#REF!+"$Cm=!|'"</f>
        <v>#REF!</v>
      </c>
      <c r="GX30" t="e">
        <f>#REF!+"$Cm=!|("</f>
        <v>#REF!</v>
      </c>
      <c r="GY30" t="e">
        <f>#REF!+"$Cm=!|)"</f>
        <v>#REF!</v>
      </c>
      <c r="GZ30" t="e">
        <f>#REF!+"$Cm=!|."</f>
        <v>#REF!</v>
      </c>
      <c r="HA30" t="e">
        <f>#REF!+"$Cm=!|/"</f>
        <v>#REF!</v>
      </c>
      <c r="HB30" t="e">
        <f>#REF!+"$Cm=!|0"</f>
        <v>#REF!</v>
      </c>
      <c r="HC30" t="e">
        <f>#REF!+"$Cm=!|1"</f>
        <v>#REF!</v>
      </c>
      <c r="HD30" t="e">
        <f>#REF!+"$Cm=!|2"</f>
        <v>#REF!</v>
      </c>
      <c r="HE30" t="e">
        <f>#REF!+"$Cm=!|3"</f>
        <v>#REF!</v>
      </c>
      <c r="HF30" t="e">
        <f>#REF!+"$Cm=!|4"</f>
        <v>#REF!</v>
      </c>
      <c r="HG30" t="e">
        <f>#REF!+"$Cm=!|5"</f>
        <v>#REF!</v>
      </c>
      <c r="HH30" t="e">
        <f>#REF!+"$Cm=!|6"</f>
        <v>#REF!</v>
      </c>
      <c r="HI30" t="e">
        <f>#REF!+"$Cm=!|7"</f>
        <v>#REF!</v>
      </c>
      <c r="HJ30" t="e">
        <f>#REF!+"$Cm=!|8"</f>
        <v>#REF!</v>
      </c>
      <c r="HK30" t="e">
        <f>#REF!+"$Cm=!|9"</f>
        <v>#REF!</v>
      </c>
      <c r="HL30" t="e">
        <f>#REF!+"$Cm=!|:"</f>
        <v>#REF!</v>
      </c>
      <c r="HM30" t="e">
        <f>#REF!+"$Cm=!|;"</f>
        <v>#REF!</v>
      </c>
      <c r="HN30" t="e">
        <f>#REF!+"$Cm=!|&lt;"</f>
        <v>#REF!</v>
      </c>
      <c r="HO30" t="e">
        <f>#REF!+"$Cm=!|="</f>
        <v>#REF!</v>
      </c>
      <c r="HP30" t="e">
        <f>#REF!+"$Cm=!|&gt;"</f>
        <v>#REF!</v>
      </c>
      <c r="HQ30" t="e">
        <f>#REF!+"$Cm=!|?"</f>
        <v>#REF!</v>
      </c>
      <c r="HR30" t="e">
        <f>#REF!+"$Cm=!|@"</f>
        <v>#REF!</v>
      </c>
      <c r="HS30" t="e">
        <f>#REF!+"$Cm=!|A"</f>
        <v>#REF!</v>
      </c>
      <c r="HT30" t="e">
        <f>#REF!+"$Cm=!|B"</f>
        <v>#REF!</v>
      </c>
      <c r="HU30" t="e">
        <f>#REF!+"$Cm=!|C"</f>
        <v>#REF!</v>
      </c>
      <c r="HV30" t="e">
        <f>#REF!+"$Cm=!|D"</f>
        <v>#REF!</v>
      </c>
      <c r="HW30" t="e">
        <f>#REF!+"$Cm=!|E"</f>
        <v>#REF!</v>
      </c>
      <c r="HX30" t="e">
        <f>#REF!+"$Cm=!|F"</f>
        <v>#REF!</v>
      </c>
      <c r="HY30" t="e">
        <f>#REF!+"$Cm=!|G"</f>
        <v>#REF!</v>
      </c>
      <c r="HZ30" t="e">
        <f>#REF!+"$Cm=!|H"</f>
        <v>#REF!</v>
      </c>
      <c r="IA30" t="e">
        <f>#REF!+"$Cm=!|I"</f>
        <v>#REF!</v>
      </c>
      <c r="IB30" t="e">
        <f>#REF!+"$Cm=!|J"</f>
        <v>#REF!</v>
      </c>
      <c r="IC30" t="e">
        <f>#REF!+"$Cm=!|K"</f>
        <v>#REF!</v>
      </c>
      <c r="ID30" t="e">
        <f>#REF!+"$Cm=!|L"</f>
        <v>#REF!</v>
      </c>
      <c r="IE30" t="e">
        <f>#REF!+"$Cm=!|M"</f>
        <v>#REF!</v>
      </c>
      <c r="IF30" t="e">
        <f>#REF!+"$Cm=!|N"</f>
        <v>#REF!</v>
      </c>
      <c r="IG30" t="e">
        <f>#REF!+"$Cm=!|O"</f>
        <v>#REF!</v>
      </c>
      <c r="IH30" t="e">
        <f>#REF!+"$Cm=!|P"</f>
        <v>#REF!</v>
      </c>
      <c r="II30" t="e">
        <f>#REF!+"$Cm=!|Q"</f>
        <v>#REF!</v>
      </c>
      <c r="IJ30" t="e">
        <f>#REF!+"$Cm=!|R"</f>
        <v>#REF!</v>
      </c>
      <c r="IK30" t="e">
        <f>#REF!+"$Cm=!|S"</f>
        <v>#REF!</v>
      </c>
      <c r="IL30" t="e">
        <f>#REF!+"$Cm=!|T"</f>
        <v>#REF!</v>
      </c>
      <c r="IM30" t="e">
        <f>#REF!+"$Cm=!|U"</f>
        <v>#REF!</v>
      </c>
      <c r="IN30" t="e">
        <f>#REF!+"$Cm=!|V"</f>
        <v>#REF!</v>
      </c>
      <c r="IO30" t="e">
        <f>#REF!+"$Cm=!|W"</f>
        <v>#REF!</v>
      </c>
      <c r="IP30" t="e">
        <f>#REF!+"$Cm=!|X"</f>
        <v>#REF!</v>
      </c>
      <c r="IQ30" t="e">
        <f>#REF!+"$Cm=!|Y"</f>
        <v>#REF!</v>
      </c>
      <c r="IR30" t="e">
        <f>#REF!+"$Cm=!|Z"</f>
        <v>#REF!</v>
      </c>
      <c r="IS30" t="e">
        <f>#REF!+"$Cm=!|["</f>
        <v>#REF!</v>
      </c>
      <c r="IT30" t="e">
        <f>#REF!+"$Cm=!|\"</f>
        <v>#REF!</v>
      </c>
      <c r="IU30" t="e">
        <f>#REF!+"$Cm=!|]"</f>
        <v>#REF!</v>
      </c>
      <c r="IV30" t="e">
        <f>#REF!+"$Cm=!|^"</f>
        <v>#REF!</v>
      </c>
    </row>
    <row r="31" spans="6:256">
      <c r="F31" t="e">
        <f>#REF!+"$Cm=!|_"</f>
        <v>#REF!</v>
      </c>
      <c r="G31" t="e">
        <f>#REF!+"$Cm=!|`"</f>
        <v>#REF!</v>
      </c>
      <c r="H31" t="e">
        <f>#REF!+"$Cm=!|a"</f>
        <v>#REF!</v>
      </c>
      <c r="I31" t="e">
        <f>#REF!+"$Cm=!|b"</f>
        <v>#REF!</v>
      </c>
      <c r="J31" t="e">
        <f>#REF!+"$Cm=!|c"</f>
        <v>#REF!</v>
      </c>
      <c r="K31" t="e">
        <f>#REF!+"$Cm=!|d"</f>
        <v>#REF!</v>
      </c>
      <c r="L31" t="e">
        <f>#REF!+"$Cm=!|e"</f>
        <v>#REF!</v>
      </c>
      <c r="M31" t="e">
        <f>#REF!+"$Cm=!|f"</f>
        <v>#REF!</v>
      </c>
      <c r="N31" t="e">
        <f>#REF!+"$Cm=!|g"</f>
        <v>#REF!</v>
      </c>
      <c r="O31" t="e">
        <f>#REF!+"$Cm=!|h"</f>
        <v>#REF!</v>
      </c>
      <c r="P31" t="e">
        <f>#REF!+"$Cm=!|i"</f>
        <v>#REF!</v>
      </c>
      <c r="Q31" t="e">
        <f>#REF!+"$Cm=!|j"</f>
        <v>#REF!</v>
      </c>
      <c r="R31" t="e">
        <f>#REF!+"$Cm=!|k"</f>
        <v>#REF!</v>
      </c>
      <c r="S31" t="e">
        <f>#REF!+"$Cm=!|l"</f>
        <v>#REF!</v>
      </c>
      <c r="T31" t="e">
        <f>#REF!+"$Cm=!|m"</f>
        <v>#REF!</v>
      </c>
      <c r="U31" t="e">
        <f>#REF!+"$Cm=!|n"</f>
        <v>#REF!</v>
      </c>
      <c r="V31" t="e">
        <f>#REF!+"$Cm=!|o"</f>
        <v>#REF!</v>
      </c>
      <c r="W31" t="e">
        <f>#REF!+"$Cm=!|p"</f>
        <v>#REF!</v>
      </c>
      <c r="X31" t="e">
        <f>#REF!+"$Cm=!|q"</f>
        <v>#REF!</v>
      </c>
      <c r="Y31" t="e">
        <f>#REF!+"$Cm=!|r"</f>
        <v>#REF!</v>
      </c>
      <c r="Z31" t="e">
        <f>#REF!+"$Cm=!|s"</f>
        <v>#REF!</v>
      </c>
      <c r="AA31" t="e">
        <f>#REF!+"$Cm=!|t"</f>
        <v>#REF!</v>
      </c>
      <c r="AB31" t="e">
        <f>#REF!+"$Cm=!|u"</f>
        <v>#REF!</v>
      </c>
      <c r="AC31" t="e">
        <f>#REF!+"$Cm=!|v"</f>
        <v>#REF!</v>
      </c>
      <c r="AD31" t="e">
        <f>#REF!+"$Cm=!|w"</f>
        <v>#REF!</v>
      </c>
      <c r="AE31" t="e">
        <f>#REF!+"$Cm=!|x"</f>
        <v>#REF!</v>
      </c>
      <c r="AF31" t="e">
        <f>#REF!+"$Cm=!|y"</f>
        <v>#REF!</v>
      </c>
      <c r="AG31" t="e">
        <f>#REF!+"$Cm=!|z"</f>
        <v>#REF!</v>
      </c>
      <c r="AH31" t="e">
        <f>#REF!+"$Cm=!|{"</f>
        <v>#REF!</v>
      </c>
      <c r="AI31" t="e">
        <f>#REF!+"$Cm=!||"</f>
        <v>#REF!</v>
      </c>
      <c r="AJ31" t="e">
        <f>#REF!+"$Cm=!|}"</f>
        <v>#REF!</v>
      </c>
      <c r="AK31" t="e">
        <f>#REF!+"$Cm=!|~"</f>
        <v>#REF!</v>
      </c>
      <c r="AL31" t="e">
        <f>#REF!+"$Cm=!}#"</f>
        <v>#REF!</v>
      </c>
      <c r="AM31" t="e">
        <f>#REF!+"$Cm=!}$"</f>
        <v>#REF!</v>
      </c>
      <c r="AN31" t="e">
        <f>#REF!+"$Cm=!}%"</f>
        <v>#REF!</v>
      </c>
      <c r="AO31" t="e">
        <f>#REF!+"$Cm=!}&amp;"</f>
        <v>#REF!</v>
      </c>
      <c r="AP31" t="e">
        <f>#REF!+"$Cm=!}'"</f>
        <v>#REF!</v>
      </c>
      <c r="AQ31" t="e">
        <f>#REF!+"$Cm=!}("</f>
        <v>#REF!</v>
      </c>
      <c r="AR31" t="e">
        <f>#REF!+"$Cm=!})"</f>
        <v>#REF!</v>
      </c>
      <c r="AS31" t="e">
        <f>#REF!+"$Cm=!}."</f>
        <v>#REF!</v>
      </c>
      <c r="AT31" t="e">
        <f>#REF!+"$Cm=!}/"</f>
        <v>#REF!</v>
      </c>
      <c r="AU31" t="e">
        <f>#REF!+"$Cm=!}0"</f>
        <v>#REF!</v>
      </c>
      <c r="AV31" t="e">
        <f>#REF!+"$Cm=!}1"</f>
        <v>#REF!</v>
      </c>
      <c r="AW31" t="e">
        <f>#REF!+"$Cm=!}2"</f>
        <v>#REF!</v>
      </c>
      <c r="AX31" t="e">
        <f>#REF!+"$Cm=!}3"</f>
        <v>#REF!</v>
      </c>
      <c r="AY31" t="e">
        <f>#REF!+"$Cm=!}4"</f>
        <v>#REF!</v>
      </c>
      <c r="AZ31" t="e">
        <f>#REF!+"$Cm=!}5"</f>
        <v>#REF!</v>
      </c>
      <c r="BA31" t="e">
        <f>#REF!+"$Cm=!}6"</f>
        <v>#REF!</v>
      </c>
      <c r="BB31" t="e">
        <f>#REF!+"$Cm=!}7"</f>
        <v>#REF!</v>
      </c>
      <c r="BC31" t="e">
        <f>#REF!+"$Cm=!}8"</f>
        <v>#REF!</v>
      </c>
      <c r="BD31" t="e">
        <f>#REF!+"$Cm=!}9"</f>
        <v>#REF!</v>
      </c>
      <c r="BE31" t="e">
        <f>#REF!+"$Cm=!}:"</f>
        <v>#REF!</v>
      </c>
      <c r="BF31" t="e">
        <f>#REF!+"$Cm=!};"</f>
        <v>#REF!</v>
      </c>
      <c r="BG31" t="e">
        <f>#REF!+"$Cm=!}&lt;"</f>
        <v>#REF!</v>
      </c>
      <c r="BH31" t="e">
        <f>#REF!+"$Cm=!}="</f>
        <v>#REF!</v>
      </c>
      <c r="BI31" t="e">
        <f>#REF!+"$Cm=!}&gt;"</f>
        <v>#REF!</v>
      </c>
      <c r="BJ31" t="e">
        <f>#REF!+"$Cm=!}?"</f>
        <v>#REF!</v>
      </c>
      <c r="BK31" t="e">
        <f>#REF!+"$Cm=!}@"</f>
        <v>#REF!</v>
      </c>
      <c r="BL31" t="e">
        <f>#REF!+"$Cm=!}A"</f>
        <v>#REF!</v>
      </c>
      <c r="BM31" t="e">
        <f>#REF!+"$Cm=!}B"</f>
        <v>#REF!</v>
      </c>
      <c r="BN31" t="e">
        <f>#REF!+"$Cm=!}C"</f>
        <v>#REF!</v>
      </c>
      <c r="BO31" t="e">
        <f>#REF!+"$Cm=!}D"</f>
        <v>#REF!</v>
      </c>
      <c r="BP31" t="e">
        <f>#REF!+"$Cm=!}E"</f>
        <v>#REF!</v>
      </c>
      <c r="BQ31" t="e">
        <f>#REF!+"$Cm=!}F"</f>
        <v>#REF!</v>
      </c>
      <c r="BR31" t="e">
        <f>#REF!+"$Cm=!}G"</f>
        <v>#REF!</v>
      </c>
      <c r="BS31" t="e">
        <f>#REF!+"$Cm=!}H"</f>
        <v>#REF!</v>
      </c>
      <c r="BT31" t="e">
        <f>#REF!+"$Cm=!}I"</f>
        <v>#REF!</v>
      </c>
      <c r="BU31" t="e">
        <f>#REF!+"$Cm=!}J"</f>
        <v>#REF!</v>
      </c>
      <c r="BV31" t="e">
        <f>#REF!+"$Cm=!}K"</f>
        <v>#REF!</v>
      </c>
      <c r="BW31" t="e">
        <f>#REF!+"$Cm=!}L"</f>
        <v>#REF!</v>
      </c>
      <c r="BX31" t="e">
        <f>#REF!+"$Cm=!}M"</f>
        <v>#REF!</v>
      </c>
      <c r="BY31" t="e">
        <f>#REF!+"$Cm=!}N"</f>
        <v>#REF!</v>
      </c>
      <c r="BZ31" t="e">
        <f>#REF!+"$Cm=!}O"</f>
        <v>#REF!</v>
      </c>
      <c r="CA31" t="e">
        <f>#REF!+"$Cm=!}P"</f>
        <v>#REF!</v>
      </c>
      <c r="CB31" t="e">
        <f>#REF!+"$Cm=!}Q"</f>
        <v>#REF!</v>
      </c>
      <c r="CC31" t="e">
        <f>#REF!+"$Cm=!}R"</f>
        <v>#REF!</v>
      </c>
      <c r="CD31" t="e">
        <f>#REF!+"$Cm=!}S"</f>
        <v>#REF!</v>
      </c>
      <c r="CE31" t="e">
        <f>#REF!+"$Cm=!}T"</f>
        <v>#REF!</v>
      </c>
      <c r="CF31" t="e">
        <f>#REF!+"$Cm=!}U"</f>
        <v>#REF!</v>
      </c>
      <c r="CG31" t="e">
        <f>#REF!+"$Cm=!}V"</f>
        <v>#REF!</v>
      </c>
      <c r="CH31" t="e">
        <f>#REF!+"$Cm=!}W"</f>
        <v>#REF!</v>
      </c>
      <c r="CI31" t="e">
        <f>#REF!+"$Cm=!}X"</f>
        <v>#REF!</v>
      </c>
      <c r="CJ31" t="e">
        <f>#REF!+"$Cm=!}Y"</f>
        <v>#REF!</v>
      </c>
      <c r="CK31" t="e">
        <f>#REF!+"$Cm=!}Z"</f>
        <v>#REF!</v>
      </c>
      <c r="CL31" t="e">
        <f>#REF!+"$Cm=!}["</f>
        <v>#REF!</v>
      </c>
      <c r="CM31" t="e">
        <f>#REF!+"$Cm=!}\"</f>
        <v>#REF!</v>
      </c>
      <c r="CN31" t="e">
        <f>#REF!+"$Cm=!}]"</f>
        <v>#REF!</v>
      </c>
      <c r="CO31" t="e">
        <f>#REF!+"$Cm=!}^"</f>
        <v>#REF!</v>
      </c>
      <c r="CP31" t="e">
        <f>#REF!+"$Cm=!}_"</f>
        <v>#REF!</v>
      </c>
      <c r="CQ31" t="e">
        <f>#REF!+"$Cm=!}`"</f>
        <v>#REF!</v>
      </c>
      <c r="CR31" t="e">
        <f>#REF!+"$Cm=!}a"</f>
        <v>#REF!</v>
      </c>
      <c r="CS31" t="e">
        <f>#REF!+"$Cm=!}b"</f>
        <v>#REF!</v>
      </c>
      <c r="CT31" t="e">
        <f>#REF!+"$Cm=!}c"</f>
        <v>#REF!</v>
      </c>
      <c r="CU31" t="e">
        <f>#REF!+"$Cm=!}d"</f>
        <v>#REF!</v>
      </c>
      <c r="CV31" t="e">
        <f>#REF!+"$Cm=!}e"</f>
        <v>#REF!</v>
      </c>
      <c r="CW31" t="e">
        <f>#REF!+"$Cm=!}f"</f>
        <v>#REF!</v>
      </c>
      <c r="CX31" t="e">
        <f>#REF!+"$Cm=!}g"</f>
        <v>#REF!</v>
      </c>
      <c r="CY31" t="e">
        <f>#REF!+"$Cm=!}h"</f>
        <v>#REF!</v>
      </c>
      <c r="CZ31" t="e">
        <f>#REF!+"$Cm=!}i"</f>
        <v>#REF!</v>
      </c>
      <c r="DA31" t="e">
        <f>#REF!+"$Cm=!}j"</f>
        <v>#REF!</v>
      </c>
      <c r="DB31" t="e">
        <f>#REF!+"$Cm=!}k"</f>
        <v>#REF!</v>
      </c>
      <c r="DC31" t="e">
        <f>#REF!+"$Cm=!}l"</f>
        <v>#REF!</v>
      </c>
      <c r="DD31" t="e">
        <f>#REF!+"$Cm=!}m"</f>
        <v>#REF!</v>
      </c>
      <c r="DE31" t="e">
        <f>#REF!+"$Cm=!}n"</f>
        <v>#REF!</v>
      </c>
      <c r="DF31" t="e">
        <f>#REF!+"$Cm=!}o"</f>
        <v>#REF!</v>
      </c>
      <c r="DG31" t="e">
        <f>#REF!+"$Cm=!}p"</f>
        <v>#REF!</v>
      </c>
      <c r="DH31" t="e">
        <f>#REF!+"$Cm=!}q"</f>
        <v>#REF!</v>
      </c>
      <c r="DI31" t="e">
        <f>#REF!+"$Cm=!}r"</f>
        <v>#REF!</v>
      </c>
      <c r="DJ31" t="e">
        <f>#REF!+"$Cm=!}s"</f>
        <v>#REF!</v>
      </c>
      <c r="DK31" t="e">
        <f>#REF!+"$Cm=!}t"</f>
        <v>#REF!</v>
      </c>
      <c r="DL31" t="e">
        <f>#REF!+"$Cm=!}u"</f>
        <v>#REF!</v>
      </c>
      <c r="DM31" t="e">
        <f>#REF!+"$Cm=!}v"</f>
        <v>#REF!</v>
      </c>
      <c r="DN31" t="e">
        <f>#REF!+"$Cm=!}w"</f>
        <v>#REF!</v>
      </c>
      <c r="DO31" t="e">
        <f>#REF!+"$Cm=!}x"</f>
        <v>#REF!</v>
      </c>
      <c r="DP31" t="e">
        <f>#REF!+"$Cm=!}y"</f>
        <v>#REF!</v>
      </c>
      <c r="DQ31" t="e">
        <f>#REF!+"$Cm=!}z"</f>
        <v>#REF!</v>
      </c>
      <c r="DR31" t="e">
        <f>#REF!+"$Cm=!}{"</f>
        <v>#REF!</v>
      </c>
      <c r="DS31" t="e">
        <f>#REF!+"$Cm=!}|"</f>
        <v>#REF!</v>
      </c>
      <c r="DT31" t="e">
        <f>#REF!+"$Cm=!}}"</f>
        <v>#REF!</v>
      </c>
      <c r="DU31" t="e">
        <f>#REF!+"$Cm=!}~"</f>
        <v>#REF!</v>
      </c>
      <c r="DV31" t="e">
        <f>#REF!+"$Cm=!~#"</f>
        <v>#REF!</v>
      </c>
      <c r="DW31" t="e">
        <f>#REF!+"$Cm=!~$"</f>
        <v>#REF!</v>
      </c>
      <c r="DX31" t="e">
        <f>#REF!+"$Cm=!~%"</f>
        <v>#REF!</v>
      </c>
      <c r="DY31" t="e">
        <f>#REF!+"$Cm=!~&amp;"</f>
        <v>#REF!</v>
      </c>
      <c r="DZ31" t="e">
        <f>#REF!+"$Cm=!~'"</f>
        <v>#REF!</v>
      </c>
      <c r="EA31" t="e">
        <f>#REF!+"$Cm=!~("</f>
        <v>#REF!</v>
      </c>
      <c r="EB31" t="e">
        <f>#REF!+"$Cm=!~)"</f>
        <v>#REF!</v>
      </c>
      <c r="EC31" t="e">
        <f>#REF!+"$Cm=!~."</f>
        <v>#REF!</v>
      </c>
      <c r="ED31" t="e">
        <f>#REF!+"$Cm=!~/"</f>
        <v>#REF!</v>
      </c>
      <c r="EE31" t="e">
        <f>#REF!+"$Cm=!~0"</f>
        <v>#REF!</v>
      </c>
      <c r="EF31" t="e">
        <f>#REF!+"$Cm=!~1"</f>
        <v>#REF!</v>
      </c>
      <c r="EG31" t="e">
        <f>#REF!+"$Cm=!~2"</f>
        <v>#REF!</v>
      </c>
      <c r="EH31" t="e">
        <f>#REF!+"$Cm=!~3"</f>
        <v>#REF!</v>
      </c>
      <c r="EI31" t="e">
        <f>#REF!+"$Cm=!~4"</f>
        <v>#REF!</v>
      </c>
      <c r="EJ31" t="e">
        <f>#REF!+"$Cm=!~5"</f>
        <v>#REF!</v>
      </c>
      <c r="EK31" t="e">
        <f>#REF!+"$Cm=!~6"</f>
        <v>#REF!</v>
      </c>
      <c r="EL31" t="e">
        <f>#REF!+"$Cm=!~7"</f>
        <v>#REF!</v>
      </c>
      <c r="EM31" t="e">
        <f>#REF!+"$Cm=!~8"</f>
        <v>#REF!</v>
      </c>
      <c r="EN31" t="e">
        <f>#REF!+"$Cm=!~9"</f>
        <v>#REF!</v>
      </c>
      <c r="EO31" t="e">
        <f>#REF!+"$Cm=!~:"</f>
        <v>#REF!</v>
      </c>
      <c r="EP31" t="e">
        <f>#REF!+"$Cm=!~;"</f>
        <v>#REF!</v>
      </c>
      <c r="EQ31" t="e">
        <f>#REF!+"$Cm=!~&lt;"</f>
        <v>#REF!</v>
      </c>
      <c r="ER31" t="e">
        <f>#REF!+"$Cm=!~="</f>
        <v>#REF!</v>
      </c>
      <c r="ES31" t="e">
        <f>#REF!+"$Cm=!~&gt;"</f>
        <v>#REF!</v>
      </c>
      <c r="ET31" t="e">
        <f>#REF!+"$Cm=!~?"</f>
        <v>#REF!</v>
      </c>
      <c r="EU31" t="e">
        <f>#REF!+"$Cm=!~@"</f>
        <v>#REF!</v>
      </c>
      <c r="EV31" t="e">
        <f>#REF!+"$Cm=!~A"</f>
        <v>#REF!</v>
      </c>
      <c r="EW31" t="e">
        <f>#REF!+"$Cm=!~B"</f>
        <v>#REF!</v>
      </c>
      <c r="EX31" t="e">
        <f>#REF!+"$Cm=!~C"</f>
        <v>#REF!</v>
      </c>
      <c r="EY31" t="e">
        <f>#REF!+"$Cm=!~D"</f>
        <v>#REF!</v>
      </c>
      <c r="EZ31" t="e">
        <f>#REF!+"$Cm=!~E"</f>
        <v>#REF!</v>
      </c>
      <c r="FA31" t="e">
        <f>#REF!+"$Cm=!~F"</f>
        <v>#REF!</v>
      </c>
      <c r="FB31" t="e">
        <f>#REF!+"$Cm=!~G"</f>
        <v>#REF!</v>
      </c>
      <c r="FC31" t="e">
        <f>#REF!+"$Cm=!~H"</f>
        <v>#REF!</v>
      </c>
      <c r="FD31" t="e">
        <f>#REF!+"$Cm=!~I"</f>
        <v>#REF!</v>
      </c>
      <c r="FE31" t="e">
        <f>#REF!+"$Cm=!~J"</f>
        <v>#REF!</v>
      </c>
      <c r="FF31" t="e">
        <f>#REF!+"$Cm=!~K"</f>
        <v>#REF!</v>
      </c>
      <c r="FG31" t="e">
        <f>#REF!+"$Cm=!~L"</f>
        <v>#REF!</v>
      </c>
      <c r="FH31" t="e">
        <f>#REF!+"$Cm=!~M"</f>
        <v>#REF!</v>
      </c>
      <c r="FI31" t="e">
        <f>#REF!+"$Cm=!~N"</f>
        <v>#REF!</v>
      </c>
      <c r="FJ31" t="e">
        <f>#REF!+"$Cm=!~O"</f>
        <v>#REF!</v>
      </c>
      <c r="FK31" t="e">
        <f>#REF!+"$Cm=!~P"</f>
        <v>#REF!</v>
      </c>
      <c r="FL31" t="e">
        <f>#REF!+"$Cm=!~Q"</f>
        <v>#REF!</v>
      </c>
      <c r="FM31" t="e">
        <f>#REF!+"$Cm=!~R"</f>
        <v>#REF!</v>
      </c>
      <c r="FN31" t="e">
        <f>#REF!+"$Cm=!~S"</f>
        <v>#REF!</v>
      </c>
      <c r="FO31" t="e">
        <f>#REF!+"$Cm=!~T"</f>
        <v>#REF!</v>
      </c>
      <c r="FP31" t="e">
        <f>#REF!+"$Cm=!~U"</f>
        <v>#REF!</v>
      </c>
      <c r="FQ31" t="e">
        <f>#REF!+"$Cm=!~V"</f>
        <v>#REF!</v>
      </c>
      <c r="FR31" t="e">
        <f>#REF!+"$Cm=!~W"</f>
        <v>#REF!</v>
      </c>
      <c r="FS31" t="e">
        <f>#REF!+"$Cm=!~X"</f>
        <v>#REF!</v>
      </c>
      <c r="FT31" t="e">
        <f>#REF!+"$Cm=!~Y"</f>
        <v>#REF!</v>
      </c>
      <c r="FU31" t="e">
        <f>#REF!+"$Cm=!~Z"</f>
        <v>#REF!</v>
      </c>
      <c r="FV31" t="e">
        <f>#REF!+"$Cm=!~["</f>
        <v>#REF!</v>
      </c>
      <c r="FW31" t="e">
        <f>#REF!+"$Cm=!~\"</f>
        <v>#REF!</v>
      </c>
      <c r="FX31" t="e">
        <f>#REF!+"$Cm=!~]"</f>
        <v>#REF!</v>
      </c>
      <c r="FY31" t="e">
        <f>#REF!+"$Cm=!~^"</f>
        <v>#REF!</v>
      </c>
      <c r="FZ31" t="e">
        <f>#REF!+"$Cm=!~_"</f>
        <v>#REF!</v>
      </c>
      <c r="GA31" t="e">
        <f>#REF!+"$Cm=!~`"</f>
        <v>#REF!</v>
      </c>
      <c r="GB31" t="e">
        <f>#REF!+"$Cm=!~a"</f>
        <v>#REF!</v>
      </c>
      <c r="GC31" t="e">
        <f>#REF!+"$Cm=!~b"</f>
        <v>#REF!</v>
      </c>
      <c r="GD31" t="e">
        <f>#REF!+"$Cm=!~c"</f>
        <v>#REF!</v>
      </c>
      <c r="GE31" t="e">
        <f>#REF!+"$Cm=!~d"</f>
        <v>#REF!</v>
      </c>
      <c r="GF31" t="e">
        <f>#REF!+"$Cm=!~e"</f>
        <v>#REF!</v>
      </c>
      <c r="GG31" t="e">
        <f>#REF!+"$Cm=!~f"</f>
        <v>#REF!</v>
      </c>
      <c r="GH31" t="e">
        <f>#REF!+"$Cm=!~g"</f>
        <v>#REF!</v>
      </c>
      <c r="GI31" t="e">
        <f>#REF!+"$Cm=!~h"</f>
        <v>#REF!</v>
      </c>
      <c r="GJ31" t="e">
        <f>#REF!+"$Cm=!~i"</f>
        <v>#REF!</v>
      </c>
      <c r="GK31" t="e">
        <f>#REF!+"$Cm=!~j"</f>
        <v>#REF!</v>
      </c>
      <c r="GL31" t="e">
        <f>#REF!+"$Cm=!~k"</f>
        <v>#REF!</v>
      </c>
      <c r="GM31" t="e">
        <f>#REF!+"$Cm=!~l"</f>
        <v>#REF!</v>
      </c>
      <c r="GN31" t="e">
        <f>#REF!+"$Cm=!~m"</f>
        <v>#REF!</v>
      </c>
      <c r="GO31" t="e">
        <f>#REF!+"$Cm=!~n"</f>
        <v>#REF!</v>
      </c>
      <c r="GP31" t="e">
        <f>#REF!+"$Cm=!~o"</f>
        <v>#REF!</v>
      </c>
      <c r="GQ31" t="e">
        <f>#REF!+"$Cm=!~p"</f>
        <v>#REF!</v>
      </c>
      <c r="GR31" t="e">
        <f>#REF!+"$Cm=!~q"</f>
        <v>#REF!</v>
      </c>
      <c r="GS31" t="e">
        <f>#REF!+"$Cm=!~r"</f>
        <v>#REF!</v>
      </c>
      <c r="GT31" t="e">
        <f>#REF!+"$Cm=!~s"</f>
        <v>#REF!</v>
      </c>
      <c r="GU31" t="e">
        <f>#REF!+"$Cm=!~t"</f>
        <v>#REF!</v>
      </c>
      <c r="GV31" t="e">
        <f>#REF!+"$Cm=!~u"</f>
        <v>#REF!</v>
      </c>
      <c r="GW31" t="e">
        <f>#REF!+"$Cm=!~v"</f>
        <v>#REF!</v>
      </c>
      <c r="GX31" t="e">
        <f>#REF!+"$Cm=!~w"</f>
        <v>#REF!</v>
      </c>
      <c r="GY31" t="e">
        <f>#REF!+"$Cm=!~x"</f>
        <v>#REF!</v>
      </c>
      <c r="GZ31" t="e">
        <f>#REF!+"$Cm=!~y"</f>
        <v>#REF!</v>
      </c>
      <c r="HA31" t="e">
        <f>#REF!+"$Cm=!~z"</f>
        <v>#REF!</v>
      </c>
      <c r="HB31" t="e">
        <f>#REF!+"$Cm=!~{"</f>
        <v>#REF!</v>
      </c>
      <c r="HC31" t="e">
        <f>#REF!+"$Cm=!~|"</f>
        <v>#REF!</v>
      </c>
      <c r="HD31" t="e">
        <f>#REF!+"$Cm=!~}"</f>
        <v>#REF!</v>
      </c>
      <c r="HE31" t="e">
        <f>#REF!+"$Cm=!~~"</f>
        <v>#REF!</v>
      </c>
      <c r="HF31" t="e">
        <f>#REF!+"$Cm=!$##"</f>
        <v>#REF!</v>
      </c>
      <c r="HG31" t="e">
        <f>#REF!+"$Cm=!$#$"</f>
        <v>#REF!</v>
      </c>
      <c r="HH31" t="e">
        <f>#REF!+"$Cm=!$#%"</f>
        <v>#REF!</v>
      </c>
      <c r="HI31" t="e">
        <f>#REF!+"$Cm=!$#&amp;"</f>
        <v>#REF!</v>
      </c>
      <c r="HJ31" t="e">
        <f>#REF!+"$Cm=!$#'"</f>
        <v>#REF!</v>
      </c>
      <c r="HK31" t="e">
        <f>#REF!+"$Cm=!$#("</f>
        <v>#REF!</v>
      </c>
      <c r="HL31" t="e">
        <f>#REF!+"$Cm=!$#)"</f>
        <v>#REF!</v>
      </c>
      <c r="HM31" t="e">
        <f>#REF!+"$Cm=!$#."</f>
        <v>#REF!</v>
      </c>
      <c r="HN31" t="e">
        <f>#REF!+"$Cm=!$#/"</f>
        <v>#REF!</v>
      </c>
      <c r="HO31" t="e">
        <f>#REF!+"$Cm=!$#0"</f>
        <v>#REF!</v>
      </c>
      <c r="HP31" t="e">
        <f>#REF!+"$Cm=!$#1"</f>
        <v>#REF!</v>
      </c>
      <c r="HQ31" t="e">
        <f>#REF!+"$Cm=!$#2"</f>
        <v>#REF!</v>
      </c>
      <c r="HR31" t="e">
        <f>#REF!+"$Cm=!$#3"</f>
        <v>#REF!</v>
      </c>
      <c r="HS31" t="e">
        <f>#REF!+"$Cm=!$#4"</f>
        <v>#REF!</v>
      </c>
      <c r="HT31" t="e">
        <f>#REF!+"$Cm=!$#5"</f>
        <v>#REF!</v>
      </c>
      <c r="HU31" t="e">
        <f>#REF!+"$Cm=!$#6"</f>
        <v>#REF!</v>
      </c>
      <c r="HV31" t="e">
        <f>#REF!+"$Cm=!$#7"</f>
        <v>#REF!</v>
      </c>
      <c r="HW31" t="e">
        <f>#REF!+"$Cm=!$#8"</f>
        <v>#REF!</v>
      </c>
      <c r="HX31" t="e">
        <f>#REF!+"$Cm=!$#9"</f>
        <v>#REF!</v>
      </c>
      <c r="HY31" t="e">
        <f>#REF!+"$Cm=!$#:"</f>
        <v>#REF!</v>
      </c>
      <c r="HZ31" t="e">
        <f>#REF!+"$Cm=!$#;"</f>
        <v>#REF!</v>
      </c>
      <c r="IA31" t="e">
        <f>#REF!+"$Cm=!$#&lt;"</f>
        <v>#REF!</v>
      </c>
      <c r="IB31" t="e">
        <f>#REF!+"$Cm=!$#="</f>
        <v>#REF!</v>
      </c>
      <c r="IC31" t="e">
        <f>#REF!+"$Cm=!$#&gt;"</f>
        <v>#REF!</v>
      </c>
      <c r="ID31" t="e">
        <f>#REF!+"$Cm=!$#?"</f>
        <v>#REF!</v>
      </c>
      <c r="IE31" t="e">
        <f>#REF!+"$Cm=!$#@"</f>
        <v>#REF!</v>
      </c>
      <c r="IF31" t="e">
        <f>#REF!+"$Cm=!$#A"</f>
        <v>#REF!</v>
      </c>
      <c r="IG31" t="e">
        <f>#REF!+"$Cm=!$#B"</f>
        <v>#REF!</v>
      </c>
      <c r="IH31" t="e">
        <f>#REF!+"$Cm=!$#C"</f>
        <v>#REF!</v>
      </c>
      <c r="II31" t="e">
        <f>#REF!+"$Cm=!$#D"</f>
        <v>#REF!</v>
      </c>
      <c r="IJ31" t="e">
        <f>#REF!+"$Cm=!$#E"</f>
        <v>#REF!</v>
      </c>
      <c r="IK31" t="e">
        <f>#REF!+"$Cm=!$#F"</f>
        <v>#REF!</v>
      </c>
      <c r="IL31" t="e">
        <f>#REF!+"$Cm=!$#G"</f>
        <v>#REF!</v>
      </c>
      <c r="IM31" t="e">
        <f>#REF!+"$Cm=!$#H"</f>
        <v>#REF!</v>
      </c>
      <c r="IN31" t="e">
        <f>#REF!+"$Cm=!$#I"</f>
        <v>#REF!</v>
      </c>
      <c r="IO31" t="e">
        <f>#REF!+"$Cm=!$#J"</f>
        <v>#REF!</v>
      </c>
      <c r="IP31" t="e">
        <f>#REF!+"$Cm=!$#K"</f>
        <v>#REF!</v>
      </c>
      <c r="IQ31" t="e">
        <f>#REF!+"$Cm=!$#L"</f>
        <v>#REF!</v>
      </c>
      <c r="IR31" t="e">
        <f>#REF!+"$Cm=!$#M"</f>
        <v>#REF!</v>
      </c>
      <c r="IS31" t="e">
        <f>#REF!+"$Cm=!$#N"</f>
        <v>#REF!</v>
      </c>
      <c r="IT31" t="e">
        <f>#REF!+"$Cm=!$#O"</f>
        <v>#REF!</v>
      </c>
      <c r="IU31" t="e">
        <f>#REF!+"$Cm=!$#P"</f>
        <v>#REF!</v>
      </c>
      <c r="IV31" t="e">
        <f>#REF!+"$Cm=!$#Q"</f>
        <v>#REF!</v>
      </c>
    </row>
    <row r="32" spans="6:256">
      <c r="F32" t="e">
        <f>#REF!+"$Cm=!$#R"</f>
        <v>#REF!</v>
      </c>
      <c r="G32" t="e">
        <f>#REF!+"$Cm=!$#S"</f>
        <v>#REF!</v>
      </c>
      <c r="H32" t="e">
        <f>#REF!+"$Cm=!$#T"</f>
        <v>#REF!</v>
      </c>
      <c r="I32" t="e">
        <f>#REF!+"$Cm=!$#U"</f>
        <v>#REF!</v>
      </c>
      <c r="J32" t="e">
        <f>#REF!+"$Cm=!$#V"</f>
        <v>#REF!</v>
      </c>
      <c r="K32" t="e">
        <f>#REF!+"$Cm=!$#W"</f>
        <v>#REF!</v>
      </c>
      <c r="L32" t="e">
        <f>#REF!+"$Cm=!$#X"</f>
        <v>#REF!</v>
      </c>
      <c r="M32" t="e">
        <f>#REF!+"$Cm=!$#Y"</f>
        <v>#REF!</v>
      </c>
      <c r="N32" t="e">
        <f>#REF!+"$Cm=!$#Z"</f>
        <v>#REF!</v>
      </c>
      <c r="O32" t="e">
        <f>#REF!+"$Cm=!$#["</f>
        <v>#REF!</v>
      </c>
      <c r="P32" t="e">
        <f>#REF!+"$Cm=!$#\"</f>
        <v>#REF!</v>
      </c>
      <c r="Q32" t="e">
        <f>#REF!+"$Cm=!$#]"</f>
        <v>#REF!</v>
      </c>
      <c r="R32" t="e">
        <f>#REF!+"$Cm=!$#^"</f>
        <v>#REF!</v>
      </c>
      <c r="S32" t="e">
        <f>#REF!+"$Cm=!$#_"</f>
        <v>#REF!</v>
      </c>
      <c r="T32" t="e">
        <f>#REF!+"$Cm=!$#`"</f>
        <v>#REF!</v>
      </c>
      <c r="U32" t="e">
        <f>#REF!+"$Cm=!$#a"</f>
        <v>#REF!</v>
      </c>
      <c r="V32" t="e">
        <f>#REF!+"$Cm=!$#b"</f>
        <v>#REF!</v>
      </c>
      <c r="W32" t="e">
        <f>#REF!+"$Cm=!$#c"</f>
        <v>#REF!</v>
      </c>
      <c r="X32" t="e">
        <f>#REF!+"$Cm=!$#d"</f>
        <v>#REF!</v>
      </c>
      <c r="Y32" t="e">
        <f>#REF!+"$Cm=!$#e"</f>
        <v>#REF!</v>
      </c>
      <c r="Z32" t="e">
        <f>#REF!+"$Cm=!$#f"</f>
        <v>#REF!</v>
      </c>
      <c r="AA32" t="e">
        <f>#REF!+"$Cm=!$#g"</f>
        <v>#REF!</v>
      </c>
      <c r="AB32" t="e">
        <f>#REF!+"$Cm=!$#h"</f>
        <v>#REF!</v>
      </c>
      <c r="AC32" t="e">
        <f>#REF!+"$Cm=!$#i"</f>
        <v>#REF!</v>
      </c>
      <c r="AD32" t="e">
        <f>#REF!+"$Cm=!$#j"</f>
        <v>#REF!</v>
      </c>
      <c r="AE32" t="e">
        <f>#REF!+"$Cm=!$#k"</f>
        <v>#REF!</v>
      </c>
      <c r="AF32" t="e">
        <f>#REF!+"$Cm=!$#l"</f>
        <v>#REF!</v>
      </c>
      <c r="AG32" t="e">
        <f>#REF!+"$Cm=!$#m"</f>
        <v>#REF!</v>
      </c>
      <c r="AH32" t="e">
        <f>#REF!+"$Cm=!$#n"</f>
        <v>#REF!</v>
      </c>
      <c r="AI32" t="e">
        <f>#REF!+"$Cm=!$#o"</f>
        <v>#REF!</v>
      </c>
      <c r="AJ32" t="e">
        <f>#REF!+"$Cm=!$#p"</f>
        <v>#REF!</v>
      </c>
      <c r="AK32" t="e">
        <f>#REF!+"$Cm=!$#q"</f>
        <v>#REF!</v>
      </c>
      <c r="AL32" t="e">
        <f>#REF!+"$Cm=!$#r"</f>
        <v>#REF!</v>
      </c>
      <c r="AM32" t="e">
        <f>#REF!+"$Cm=!$#s"</f>
        <v>#REF!</v>
      </c>
      <c r="AN32" t="e">
        <f>#REF!+"$Cm=!$#t"</f>
        <v>#REF!</v>
      </c>
      <c r="AO32" t="e">
        <f>#REF!+"$Cm=!$#u"</f>
        <v>#REF!</v>
      </c>
      <c r="AP32" t="e">
        <f>#REF!+"$Cm=!$#v"</f>
        <v>#REF!</v>
      </c>
      <c r="AQ32" t="e">
        <f>#REF!+"$Cm=!$#w"</f>
        <v>#REF!</v>
      </c>
      <c r="AR32" t="e">
        <f>#REF!+"$Cm=!$#x"</f>
        <v>#REF!</v>
      </c>
      <c r="AS32" t="e">
        <f>#REF!+"$Cm=!$#y"</f>
        <v>#REF!</v>
      </c>
      <c r="AT32" t="e">
        <f>#REF!+"$Cm=!$#z"</f>
        <v>#REF!</v>
      </c>
      <c r="AU32" t="e">
        <f>#REF!+"$Cm=!$#{"</f>
        <v>#REF!</v>
      </c>
      <c r="AV32" t="e">
        <f>#REF!+"$Cm=!$#|"</f>
        <v>#REF!</v>
      </c>
      <c r="AW32" t="e">
        <f>#REF!+"$Cm=!$#}"</f>
        <v>#REF!</v>
      </c>
      <c r="AX32" t="e">
        <f>#REF!+"$Cm=!$#~"</f>
        <v>#REF!</v>
      </c>
      <c r="AY32" t="e">
        <f>#REF!+"$Cm=!$$#"</f>
        <v>#REF!</v>
      </c>
      <c r="AZ32" t="e">
        <f>#REF!+"$Cm=!$$$"</f>
        <v>#REF!</v>
      </c>
      <c r="BA32" t="e">
        <f>#REF!+"$Cm=!$$%"</f>
        <v>#REF!</v>
      </c>
      <c r="BB32" t="e">
        <f>#REF!+"$Cm=!$$&amp;"</f>
        <v>#REF!</v>
      </c>
      <c r="BC32" t="e">
        <f>#REF!+"$Cm=!$$'"</f>
        <v>#REF!</v>
      </c>
      <c r="BD32" t="e">
        <f>#REF!+"$Cm=!$$("</f>
        <v>#REF!</v>
      </c>
      <c r="BE32" t="e">
        <f>#REF!+"$Cm=!$$)"</f>
        <v>#REF!</v>
      </c>
      <c r="BF32" t="e">
        <f>#REF!+"$Cm=!$$."</f>
        <v>#REF!</v>
      </c>
      <c r="BG32" t="e">
        <f>#REF!+"$Cm=!$$/"</f>
        <v>#REF!</v>
      </c>
      <c r="BH32" t="e">
        <f>#REF!+"$Cm=!$$0"</f>
        <v>#REF!</v>
      </c>
      <c r="BI32" t="e">
        <f>#REF!+"$Cm=!$$1"</f>
        <v>#REF!</v>
      </c>
      <c r="BJ32" t="e">
        <f>#REF!+"$Cm=!$$2"</f>
        <v>#REF!</v>
      </c>
      <c r="BK32" t="e">
        <f>#REF!+"$Cm=!$$3"</f>
        <v>#REF!</v>
      </c>
      <c r="BL32" t="e">
        <f>#REF!+"$Cm=!$$4"</f>
        <v>#REF!</v>
      </c>
      <c r="BM32" t="e">
        <f>#REF!+"$Cm=!$$5"</f>
        <v>#REF!</v>
      </c>
      <c r="BN32" t="e">
        <f>#REF!+"$Cm=!$$6"</f>
        <v>#REF!</v>
      </c>
      <c r="BO32" t="e">
        <f>#REF!+"$Cm=!$$7"</f>
        <v>#REF!</v>
      </c>
      <c r="BP32" t="e">
        <f>#REF!+"$Cm=!$$8"</f>
        <v>#REF!</v>
      </c>
      <c r="BQ32" t="e">
        <f>#REF!+"$Cm=!$$9"</f>
        <v>#REF!</v>
      </c>
      <c r="BR32" t="e">
        <f>#REF!+"$Cm=!$$:"</f>
        <v>#REF!</v>
      </c>
      <c r="BS32" t="e">
        <f>#REF!+"$Cm=!$$;"</f>
        <v>#REF!</v>
      </c>
      <c r="BT32" t="e">
        <f>#REF!+"$Cm=!$$&lt;"</f>
        <v>#REF!</v>
      </c>
      <c r="BU32" t="e">
        <f>#REF!+"$Cm=!$$="</f>
        <v>#REF!</v>
      </c>
      <c r="BV32" t="e">
        <f>#REF!+"$Cm=!$$&gt;"</f>
        <v>#REF!</v>
      </c>
      <c r="BW32" t="e">
        <f>#REF!+"$Cm=!$$?"</f>
        <v>#REF!</v>
      </c>
      <c r="BX32" t="e">
        <f>#REF!+"$Cm=!$$@"</f>
        <v>#REF!</v>
      </c>
      <c r="BY32" t="e">
        <f>#REF!+"$Cm=!$$A"</f>
        <v>#REF!</v>
      </c>
      <c r="BZ32" t="e">
        <f>#REF!+"$Cm=!$$B"</f>
        <v>#REF!</v>
      </c>
      <c r="CA32" t="e">
        <f>#REF!+"$Cm=!$$C"</f>
        <v>#REF!</v>
      </c>
      <c r="CB32" t="e">
        <f>#REF!+"$Cm=!$$D"</f>
        <v>#REF!</v>
      </c>
      <c r="CC32" t="e">
        <f>#REF!+"$Cm=!$$E"</f>
        <v>#REF!</v>
      </c>
      <c r="CD32" t="e">
        <f>#REF!+"$Cm=!$$F"</f>
        <v>#REF!</v>
      </c>
      <c r="CE32" t="e">
        <f>#REF!+"$Cm=!$$G"</f>
        <v>#REF!</v>
      </c>
      <c r="CF32" t="e">
        <f>#REF!+"$Cm=!$$H"</f>
        <v>#REF!</v>
      </c>
      <c r="CG32" t="e">
        <f>#REF!+"$Cm=!$$I"</f>
        <v>#REF!</v>
      </c>
      <c r="CH32" t="e">
        <f>#REF!+"$Cm=!$$J"</f>
        <v>#REF!</v>
      </c>
      <c r="CI32" t="e">
        <f>#REF!+"$Cm=!$$K"</f>
        <v>#REF!</v>
      </c>
      <c r="CJ32" t="e">
        <f>#REF!+"$Cm=!$$L"</f>
        <v>#REF!</v>
      </c>
      <c r="CK32" t="e">
        <f>#REF!+"$Cm=!$$M"</f>
        <v>#REF!</v>
      </c>
      <c r="CL32" t="e">
        <f>#REF!+"$Cm=!$$N"</f>
        <v>#REF!</v>
      </c>
      <c r="CM32" t="e">
        <f>#REF!+"$Cm=!$$O"</f>
        <v>#REF!</v>
      </c>
      <c r="CN32" t="e">
        <f>#REF!+"$Cm=!$$P"</f>
        <v>#REF!</v>
      </c>
      <c r="CO32" t="e">
        <f>#REF!+"$Cm=!$$Q"</f>
        <v>#REF!</v>
      </c>
      <c r="CP32" t="e">
        <f>#REF!+"$Cm=!$$R"</f>
        <v>#REF!</v>
      </c>
      <c r="CQ32" t="e">
        <f>#REF!+"$Cm=!$$S"</f>
        <v>#REF!</v>
      </c>
      <c r="CR32" t="e">
        <f>#REF!+"$Cm=!$$T"</f>
        <v>#REF!</v>
      </c>
      <c r="CS32" t="e">
        <f>#REF!+"$Cm=!$$U"</f>
        <v>#REF!</v>
      </c>
      <c r="CT32" t="e">
        <f>#REF!+"$Cm=!$$V"</f>
        <v>#REF!</v>
      </c>
      <c r="CU32" t="e">
        <f>#REF!+"$Cm=!$$W"</f>
        <v>#REF!</v>
      </c>
      <c r="CV32" t="e">
        <f>#REF!+"$Cm=!$$X"</f>
        <v>#REF!</v>
      </c>
      <c r="CW32" t="e">
        <f>#REF!+"$Cm=!$$Y"</f>
        <v>#REF!</v>
      </c>
      <c r="CX32" t="e">
        <f>#REF!+"$Cm=!$$Z"</f>
        <v>#REF!</v>
      </c>
      <c r="CY32" t="e">
        <f>#REF!+"$Cm=!$$["</f>
        <v>#REF!</v>
      </c>
      <c r="CZ32" t="e">
        <f>#REF!+"$Cm=!$$\"</f>
        <v>#REF!</v>
      </c>
      <c r="DA32" t="e">
        <f>#REF!+"$Cm=!$$]"</f>
        <v>#REF!</v>
      </c>
      <c r="DB32" t="e">
        <f>#REF!+"$Cm=!$$^"</f>
        <v>#REF!</v>
      </c>
      <c r="DC32" t="e">
        <f>#REF!+"$Cm=!$$_"</f>
        <v>#REF!</v>
      </c>
      <c r="DD32" t="e">
        <f>#REF!+"$Cm=!$$`"</f>
        <v>#REF!</v>
      </c>
      <c r="DE32" t="e">
        <f>#REF!+"$Cm=!$$a"</f>
        <v>#REF!</v>
      </c>
      <c r="DF32" t="e">
        <f>#REF!+"$Cm=!$$b"</f>
        <v>#REF!</v>
      </c>
      <c r="DG32" t="e">
        <f>#REF!+"$Cm=!$$c"</f>
        <v>#REF!</v>
      </c>
      <c r="DH32" t="e">
        <f>#REF!+"$Cm=!$$d"</f>
        <v>#REF!</v>
      </c>
      <c r="DI32" t="e">
        <f>#REF!+"$Cm=!$$e"</f>
        <v>#REF!</v>
      </c>
      <c r="DJ32" t="e">
        <f>#REF!+"$Cm=!$$f"</f>
        <v>#REF!</v>
      </c>
      <c r="DK32" t="e">
        <f>#REF!+"$Cm=!$$g"</f>
        <v>#REF!</v>
      </c>
      <c r="DL32" t="e">
        <f>#REF!+"$Cm=!$$h"</f>
        <v>#REF!</v>
      </c>
      <c r="DM32" t="e">
        <f>#REF!+"$Cm=!$$i"</f>
        <v>#REF!</v>
      </c>
      <c r="DN32" t="e">
        <f>#REF!+"$Cm=!$$j"</f>
        <v>#REF!</v>
      </c>
      <c r="DO32" t="e">
        <f>#REF!+"$Cm=!$$k"</f>
        <v>#REF!</v>
      </c>
      <c r="DP32" t="e">
        <f>#REF!+"$Cm=!$$l"</f>
        <v>#REF!</v>
      </c>
      <c r="DQ32" t="e">
        <f>#REF!+"$Cm=!$$m"</f>
        <v>#REF!</v>
      </c>
      <c r="DR32" t="e">
        <f>#REF!+"$Cm=!$$n"</f>
        <v>#REF!</v>
      </c>
      <c r="DS32" t="e">
        <f>#REF!+"$Cm=!$$o"</f>
        <v>#REF!</v>
      </c>
      <c r="DT32" t="e">
        <f>#REF!+"$Cm=!$$p"</f>
        <v>#REF!</v>
      </c>
      <c r="DU32" t="e">
        <f>#REF!+"$Cm=!$$q"</f>
        <v>#REF!</v>
      </c>
      <c r="DV32" t="e">
        <f>#REF!+"$Cm=!$$r"</f>
        <v>#REF!</v>
      </c>
      <c r="DW32" t="e">
        <f>#REF!+"$Cm=!$$s"</f>
        <v>#REF!</v>
      </c>
      <c r="DX32" t="e">
        <f>#REF!+"$Cm=!$$t"</f>
        <v>#REF!</v>
      </c>
      <c r="DY32" t="e">
        <f>#REF!+"$Cm=!$$u"</f>
        <v>#REF!</v>
      </c>
      <c r="DZ32" t="e">
        <f>#REF!+"$Cm=!$$v"</f>
        <v>#REF!</v>
      </c>
      <c r="EA32" t="e">
        <f>#REF!+"$Cm=!$$w"</f>
        <v>#REF!</v>
      </c>
      <c r="EB32" t="e">
        <f>#REF!+"$Cm=!$$x"</f>
        <v>#REF!</v>
      </c>
      <c r="EC32" t="e">
        <f>#REF!+"$Cm=!$$y"</f>
        <v>#REF!</v>
      </c>
      <c r="ED32" t="e">
        <f>#REF!+"$Cm=!$$z"</f>
        <v>#REF!</v>
      </c>
      <c r="EE32" t="e">
        <f>#REF!+"$Cm=!$${"</f>
        <v>#REF!</v>
      </c>
      <c r="EF32" t="e">
        <f>#REF!+"$Cm=!$$|"</f>
        <v>#REF!</v>
      </c>
      <c r="EG32" t="e">
        <f>#REF!+"$Cm=!$$}"</f>
        <v>#REF!</v>
      </c>
      <c r="EH32" t="e">
        <f>#REF!+"$Cm=!$$~"</f>
        <v>#REF!</v>
      </c>
      <c r="EI32" t="e">
        <f>#REF!+"$Cm=!$%#"</f>
        <v>#REF!</v>
      </c>
      <c r="EJ32" t="e">
        <f>#REF!+"$Cm=!$%$"</f>
        <v>#REF!</v>
      </c>
      <c r="EK32" t="e">
        <f>#REF!+"$Cm=!$%%"</f>
        <v>#REF!</v>
      </c>
      <c r="EL32" t="e">
        <f>#REF!+"$Cm=!$%&amp;"</f>
        <v>#REF!</v>
      </c>
      <c r="EM32" t="e">
        <f>#REF!+"$Cm=!$%'"</f>
        <v>#REF!</v>
      </c>
      <c r="EN32" t="e">
        <f>#REF!+"$Cm=!$%("</f>
        <v>#REF!</v>
      </c>
      <c r="EO32" t="e">
        <f>#REF!+"$Cm=!$%)"</f>
        <v>#REF!</v>
      </c>
      <c r="EP32" t="e">
        <f>#REF!+"$Cm=!$%."</f>
        <v>#REF!</v>
      </c>
      <c r="EQ32" t="e">
        <f>#REF!+"$Cm=!$%/"</f>
        <v>#REF!</v>
      </c>
      <c r="ER32" t="e">
        <f>#REF!+"$Cm=!$%0"</f>
        <v>#REF!</v>
      </c>
      <c r="ES32" t="e">
        <f>#REF!+"$Cm=!$%1"</f>
        <v>#REF!</v>
      </c>
      <c r="ET32" t="e">
        <f>#REF!+"$Cm=!$%2"</f>
        <v>#REF!</v>
      </c>
      <c r="EU32" t="e">
        <f>#REF!+"$Cm=!$%3"</f>
        <v>#REF!</v>
      </c>
      <c r="EV32" t="e">
        <f>#REF!+"$Cm=!$%4"</f>
        <v>#REF!</v>
      </c>
      <c r="EW32" t="e">
        <f>#REF!+"$Cm=!$%5"</f>
        <v>#REF!</v>
      </c>
      <c r="EX32" t="e">
        <f>#REF!+"$Cm=!$%6"</f>
        <v>#REF!</v>
      </c>
      <c r="EY32" t="e">
        <f>#REF!+"$Cm=!$%7"</f>
        <v>#REF!</v>
      </c>
      <c r="EZ32" t="e">
        <f>#REF!+"$Cm=!$%8"</f>
        <v>#REF!</v>
      </c>
      <c r="FA32" t="e">
        <f>#REF!+"$Cm=!$%9"</f>
        <v>#REF!</v>
      </c>
      <c r="FB32" t="e">
        <f>#REF!+"$Cm=!$%:"</f>
        <v>#REF!</v>
      </c>
      <c r="FC32" t="e">
        <f>#REF!+"$Cm=!$%;"</f>
        <v>#REF!</v>
      </c>
      <c r="FD32" t="e">
        <f>#REF!+"$Cm=!$%&lt;"</f>
        <v>#REF!</v>
      </c>
      <c r="FE32" t="e">
        <f>#REF!+"$Cm=!$%="</f>
        <v>#REF!</v>
      </c>
      <c r="FF32" t="e">
        <f>#REF!+"$Cm=!$%&gt;"</f>
        <v>#REF!</v>
      </c>
      <c r="FG32" t="e">
        <f>#REF!+"$Cm=!$%?"</f>
        <v>#REF!</v>
      </c>
      <c r="FH32" t="e">
        <f>#REF!+"$Cm=!$%@"</f>
        <v>#REF!</v>
      </c>
      <c r="FI32" t="e">
        <f>#REF!+"$Cm=!$%A"</f>
        <v>#REF!</v>
      </c>
      <c r="FJ32" t="e">
        <f>#REF!+"$Cm=!$%B"</f>
        <v>#REF!</v>
      </c>
      <c r="FK32" t="e">
        <f>#REF!+"$Cm=!$%C"</f>
        <v>#REF!</v>
      </c>
      <c r="FL32" t="e">
        <f>#REF!+"$Cm=!$%D"</f>
        <v>#REF!</v>
      </c>
      <c r="FM32" t="e">
        <f>#REF!+"$Cm=!$%E"</f>
        <v>#REF!</v>
      </c>
      <c r="FN32" t="e">
        <f>#REF!+"$Cm=!$%F"</f>
        <v>#REF!</v>
      </c>
      <c r="FO32" t="e">
        <f>#REF!+"$Cm=!$%G"</f>
        <v>#REF!</v>
      </c>
      <c r="FP32" t="e">
        <f>#REF!+"$Cm=!$%H"</f>
        <v>#REF!</v>
      </c>
      <c r="FQ32" t="e">
        <f>#REF!+"$Cm=!$%I"</f>
        <v>#REF!</v>
      </c>
      <c r="FR32" t="e">
        <f>#REF!+"$Cm=!$%J"</f>
        <v>#REF!</v>
      </c>
      <c r="FS32" t="e">
        <f>#REF!+"$Cm=!$%K"</f>
        <v>#REF!</v>
      </c>
      <c r="FT32" t="e">
        <f>#REF!+"$Cm=!$%L"</f>
        <v>#REF!</v>
      </c>
      <c r="FU32" t="e">
        <f>#REF!+"$Cm=!$%M"</f>
        <v>#REF!</v>
      </c>
      <c r="FV32" t="e">
        <f>#REF!+"$Cm=!$%N"</f>
        <v>#REF!</v>
      </c>
      <c r="FW32" t="e">
        <f>#REF!+"$Cm=!$%O"</f>
        <v>#REF!</v>
      </c>
      <c r="FX32" t="e">
        <f>#REF!+"$Cm=!$%P"</f>
        <v>#REF!</v>
      </c>
      <c r="FY32" t="e">
        <f>#REF!+"$Cm=!$%Q"</f>
        <v>#REF!</v>
      </c>
      <c r="FZ32" t="e">
        <f>#REF!+"$Cm=!$%R"</f>
        <v>#REF!</v>
      </c>
      <c r="GA32" t="e">
        <f>#REF!+"$Cm=!$%S"</f>
        <v>#REF!</v>
      </c>
      <c r="GB32" t="e">
        <f>#REF!+"$Cm=!$%T"</f>
        <v>#REF!</v>
      </c>
      <c r="GC32" t="e">
        <f>#REF!+"$Cm=!$%U"</f>
        <v>#REF!</v>
      </c>
      <c r="GD32" t="e">
        <f>#REF!+"$Cm=!$%V"</f>
        <v>#REF!</v>
      </c>
      <c r="GE32" t="e">
        <f>#REF!+"$Cm=!$%W"</f>
        <v>#REF!</v>
      </c>
      <c r="GF32" t="e">
        <f>#REF!+"$Cm=!$%X"</f>
        <v>#REF!</v>
      </c>
      <c r="GG32" t="e">
        <f>#REF!+"$Cm=!$%Y"</f>
        <v>#REF!</v>
      </c>
      <c r="GH32" t="e">
        <f>#REF!+"$Cm=!$%Z"</f>
        <v>#REF!</v>
      </c>
      <c r="GI32" t="e">
        <f>#REF!+"$Cm=!$%["</f>
        <v>#REF!</v>
      </c>
      <c r="GJ32" t="e">
        <f>#REF!+"$Cm=!$%\"</f>
        <v>#REF!</v>
      </c>
      <c r="GK32" t="e">
        <f>#REF!+"$Cm=!$%]"</f>
        <v>#REF!</v>
      </c>
      <c r="GL32" t="e">
        <f>#REF!+"$Cm=!$%^"</f>
        <v>#REF!</v>
      </c>
      <c r="GM32" t="e">
        <f>#REF!+"$Cm=!$%_"</f>
        <v>#REF!</v>
      </c>
      <c r="GN32" t="e">
        <f>#REF!+"$Cm=!$%`"</f>
        <v>#REF!</v>
      </c>
      <c r="GO32" t="e">
        <f>#REF!+"$Cm=!$%a"</f>
        <v>#REF!</v>
      </c>
      <c r="GP32" t="e">
        <f>#REF!+"$Cm=!$%b"</f>
        <v>#REF!</v>
      </c>
      <c r="GQ32" t="e">
        <f>#REF!+"$Cm=!$%c"</f>
        <v>#REF!</v>
      </c>
      <c r="GR32" t="e">
        <f>#REF!+"$Cm=!$%d"</f>
        <v>#REF!</v>
      </c>
      <c r="GS32" t="e">
        <f>#REF!+"$Cm=!$%e"</f>
        <v>#REF!</v>
      </c>
      <c r="GT32" t="e">
        <f>#REF!+"$Cm=!$%f"</f>
        <v>#REF!</v>
      </c>
      <c r="GU32" t="e">
        <f>#REF!+"$Cm=!$%g"</f>
        <v>#REF!</v>
      </c>
      <c r="GV32" t="e">
        <f>#REF!+"$Cm=!$%h"</f>
        <v>#REF!</v>
      </c>
      <c r="GW32" t="e">
        <f>#REF!+"$Cm=!$%i"</f>
        <v>#REF!</v>
      </c>
      <c r="GX32" t="e">
        <f>#REF!+"$Cm=!$%j"</f>
        <v>#REF!</v>
      </c>
      <c r="GY32" t="e">
        <f>#REF!+"$Cm=!$%k"</f>
        <v>#REF!</v>
      </c>
      <c r="GZ32" t="e">
        <f>#REF!+"$Cm=!$%l"</f>
        <v>#REF!</v>
      </c>
      <c r="HA32" t="e">
        <f>#REF!+"$Cm=!$%m"</f>
        <v>#REF!</v>
      </c>
      <c r="HB32" t="e">
        <f>#REF!+"$Cm=!$%n"</f>
        <v>#REF!</v>
      </c>
      <c r="HC32" t="e">
        <f>#REF!+"$Cm=!$%o"</f>
        <v>#REF!</v>
      </c>
      <c r="HD32" t="e">
        <f>#REF!+"$Cm=!$%p"</f>
        <v>#REF!</v>
      </c>
      <c r="HE32" t="e">
        <f>#REF!+"$Cm=!$%q"</f>
        <v>#REF!</v>
      </c>
      <c r="HF32" t="e">
        <f>#REF!+"$Cm=!$%r"</f>
        <v>#REF!</v>
      </c>
      <c r="HG32" t="e">
        <f>#REF!+"$Cm=!$%s"</f>
        <v>#REF!</v>
      </c>
      <c r="HH32" t="e">
        <f>#REF!+"$Cm=!$%t"</f>
        <v>#REF!</v>
      </c>
      <c r="HI32" t="e">
        <f>#REF!+"$Cm=!$%u"</f>
        <v>#REF!</v>
      </c>
      <c r="HJ32" t="e">
        <f>#REF!+"$Cm=!$%v"</f>
        <v>#REF!</v>
      </c>
      <c r="HK32" t="e">
        <f>#REF!+"$Cm=!$%w"</f>
        <v>#REF!</v>
      </c>
      <c r="HL32" t="e">
        <f>#REF!+"$Cm=!$%x"</f>
        <v>#REF!</v>
      </c>
      <c r="HM32" t="e">
        <f>#REF!+"$Cm=!$%y"</f>
        <v>#REF!</v>
      </c>
      <c r="HN32" t="e">
        <f>#REF!+"$Cm=!$%z"</f>
        <v>#REF!</v>
      </c>
      <c r="HO32" t="e">
        <f>#REF!+"$Cm=!$%{"</f>
        <v>#REF!</v>
      </c>
      <c r="HP32" t="e">
        <f>#REF!+"$Cm=!$%|"</f>
        <v>#REF!</v>
      </c>
      <c r="HQ32" t="e">
        <f>#REF!+"$Cm=!$%}"</f>
        <v>#REF!</v>
      </c>
      <c r="HR32" t="e">
        <f>#REF!+"$Cm=!$%~"</f>
        <v>#REF!</v>
      </c>
      <c r="HS32" t="e">
        <f>#REF!+"$Cm=!$&amp;#"</f>
        <v>#REF!</v>
      </c>
      <c r="HT32" t="e">
        <f>#REF!+"$Cm=!$&amp;$"</f>
        <v>#REF!</v>
      </c>
      <c r="HU32" t="e">
        <f>#REF!+"$Cm=!$&amp;%"</f>
        <v>#REF!</v>
      </c>
      <c r="HV32" t="e">
        <f>#REF!+"$Cm=!$&amp;&amp;"</f>
        <v>#REF!</v>
      </c>
      <c r="HW32" t="e">
        <f>#REF!+"$Cm=!$&amp;'"</f>
        <v>#REF!</v>
      </c>
      <c r="HX32" t="e">
        <f>#REF!+"$Cm=!$&amp;("</f>
        <v>#REF!</v>
      </c>
      <c r="HY32" t="e">
        <f>#REF!+"$Cm=!$&amp;)"</f>
        <v>#REF!</v>
      </c>
      <c r="HZ32" t="e">
        <f>#REF!+"$Cm=!$&amp;."</f>
        <v>#REF!</v>
      </c>
      <c r="IA32" t="e">
        <f>#REF!+"$Cm=!$&amp;/"</f>
        <v>#REF!</v>
      </c>
      <c r="IB32" t="e">
        <f>#REF!+"$Cm=!$&amp;0"</f>
        <v>#REF!</v>
      </c>
      <c r="IC32" t="e">
        <f>#REF!+"$Cm=!$&amp;1"</f>
        <v>#REF!</v>
      </c>
      <c r="ID32" t="e">
        <f>#REF!+"$Cm=!$&amp;2"</f>
        <v>#REF!</v>
      </c>
      <c r="IE32" t="e">
        <f>#REF!+"$Cm=!$&amp;3"</f>
        <v>#REF!</v>
      </c>
      <c r="IF32" t="e">
        <f>#REF!+"$Cm=!$&amp;4"</f>
        <v>#REF!</v>
      </c>
      <c r="IG32" t="e">
        <f>#REF!+"$Cm=!$&amp;5"</f>
        <v>#REF!</v>
      </c>
      <c r="IH32" t="e">
        <f>#REF!+"$Cm=!$&amp;6"</f>
        <v>#REF!</v>
      </c>
      <c r="II32" t="e">
        <f>#REF!+"$Cm=!$&amp;7"</f>
        <v>#REF!</v>
      </c>
      <c r="IJ32" t="e">
        <f>#REF!+"$Cm=!$&amp;8"</f>
        <v>#REF!</v>
      </c>
      <c r="IK32" t="e">
        <f>#REF!+"$Cm=!$&amp;9"</f>
        <v>#REF!</v>
      </c>
      <c r="IL32" t="e">
        <f>#REF!+"$Cm=!$&amp;:"</f>
        <v>#REF!</v>
      </c>
      <c r="IM32" t="e">
        <f>#REF!+"$Cm=!$&amp;;"</f>
        <v>#REF!</v>
      </c>
      <c r="IN32" t="e">
        <f>#REF!+"$Cm=!$&amp;&lt;"</f>
        <v>#REF!</v>
      </c>
      <c r="IO32" t="e">
        <f>#REF!+"$Cm=!$&amp;="</f>
        <v>#REF!</v>
      </c>
      <c r="IP32" t="e">
        <f>#REF!+"$Cm=!$&amp;&gt;"</f>
        <v>#REF!</v>
      </c>
      <c r="IQ32" t="e">
        <f>#REF!+"$Cm=!$&amp;?"</f>
        <v>#REF!</v>
      </c>
      <c r="IR32" t="e">
        <f>#REF!+"$Cm=!$&amp;@"</f>
        <v>#REF!</v>
      </c>
      <c r="IS32" t="e">
        <f>#REF!+"$Cm=!$&amp;A"</f>
        <v>#REF!</v>
      </c>
      <c r="IT32" t="e">
        <f>#REF!+"$Cm=!$&amp;B"</f>
        <v>#REF!</v>
      </c>
      <c r="IU32" t="e">
        <f>#REF!+"$Cm=!$&amp;C"</f>
        <v>#REF!</v>
      </c>
      <c r="IV32" t="e">
        <f>#REF!+"$Cm=!$&amp;D"</f>
        <v>#REF!</v>
      </c>
    </row>
    <row r="33" spans="6:256">
      <c r="F33" t="e">
        <f>#REF!+"$Cm=!$&amp;E"</f>
        <v>#REF!</v>
      </c>
      <c r="G33" t="e">
        <f>#REF!+"$Cm=!$&amp;F"</f>
        <v>#REF!</v>
      </c>
      <c r="H33" t="e">
        <f>#REF!+"$Cm=!$&amp;G"</f>
        <v>#REF!</v>
      </c>
      <c r="I33" t="e">
        <f>#REF!+"$Cm=!$&amp;H"</f>
        <v>#REF!</v>
      </c>
      <c r="J33" t="e">
        <f>#REF!+"$Cm=!$&amp;I"</f>
        <v>#REF!</v>
      </c>
      <c r="K33" t="e">
        <f>#REF!+"$Cm=!$&amp;J"</f>
        <v>#REF!</v>
      </c>
      <c r="L33" t="e">
        <f>#REF!+"$Cm=!$&amp;K"</f>
        <v>#REF!</v>
      </c>
      <c r="M33" t="e">
        <f>#REF!+"$Cm=!$&amp;L"</f>
        <v>#REF!</v>
      </c>
      <c r="N33" t="e">
        <f>#REF!+"$Cm=!$&amp;M"</f>
        <v>#REF!</v>
      </c>
      <c r="O33" t="e">
        <f>#REF!+"$Cm=!$&amp;N"</f>
        <v>#REF!</v>
      </c>
      <c r="P33" t="e">
        <f>#REF!+"$Cm=!$&amp;O"</f>
        <v>#REF!</v>
      </c>
      <c r="Q33" t="e">
        <f>#REF!+"$Cm=!$&amp;P"</f>
        <v>#REF!</v>
      </c>
      <c r="R33" t="e">
        <f>#REF!+"$Cm=!$&amp;Q"</f>
        <v>#REF!</v>
      </c>
      <c r="S33" t="e">
        <f>#REF!+"$Cm=!$&amp;R"</f>
        <v>#REF!</v>
      </c>
      <c r="T33" t="e">
        <f>#REF!+"$Cm=!$&amp;S"</f>
        <v>#REF!</v>
      </c>
      <c r="U33" t="e">
        <f>#REF!+"$Cm=!$&amp;T"</f>
        <v>#REF!</v>
      </c>
      <c r="V33" t="e">
        <f>#REF!+"$Cm=!$&amp;U"</f>
        <v>#REF!</v>
      </c>
      <c r="W33" t="e">
        <f>#REF!+"$Cm=!$&amp;V"</f>
        <v>#REF!</v>
      </c>
      <c r="X33" t="e">
        <f>#REF!+"$Cm=!$&amp;W"</f>
        <v>#REF!</v>
      </c>
      <c r="Y33" t="e">
        <f>#REF!+"$Cm=!$&amp;X"</f>
        <v>#REF!</v>
      </c>
      <c r="Z33" t="e">
        <f>#REF!+"$Cm=!$&amp;Y"</f>
        <v>#REF!</v>
      </c>
      <c r="AA33" t="e">
        <f>#REF!+"$Cm=!$&amp;Z"</f>
        <v>#REF!</v>
      </c>
      <c r="AB33" t="e">
        <f>#REF!+"$Cm=!$&amp;["</f>
        <v>#REF!</v>
      </c>
      <c r="AC33" t="e">
        <f>#REF!+"$Cm=!$&amp;\"</f>
        <v>#REF!</v>
      </c>
      <c r="AD33" t="e">
        <f>#REF!+"$Cm=!$&amp;]"</f>
        <v>#REF!</v>
      </c>
      <c r="AE33" t="e">
        <f>#REF!+"$Cm=!$&amp;^"</f>
        <v>#REF!</v>
      </c>
      <c r="AF33" t="e">
        <f>#REF!+"$Cm=!$&amp;_"</f>
        <v>#REF!</v>
      </c>
      <c r="AG33" t="e">
        <f>#REF!+"$Cm=!$&amp;`"</f>
        <v>#REF!</v>
      </c>
      <c r="AH33" t="e">
        <f>#REF!+"$Cm=!$&amp;a"</f>
        <v>#REF!</v>
      </c>
      <c r="AI33" t="e">
        <f>#REF!+"$Cm=!$&amp;b"</f>
        <v>#REF!</v>
      </c>
      <c r="AJ33" t="e">
        <f>#REF!+"$Cm=!$&amp;c"</f>
        <v>#REF!</v>
      </c>
      <c r="AK33" t="e">
        <f>#REF!+"$Cm=!$&amp;d"</f>
        <v>#REF!</v>
      </c>
      <c r="AL33" t="e">
        <f>#REF!+"$Cm=!$&amp;e"</f>
        <v>#REF!</v>
      </c>
      <c r="AM33" t="e">
        <f>#REF!+"$Cm=!$&amp;f"</f>
        <v>#REF!</v>
      </c>
      <c r="AN33" t="e">
        <f>#REF!+"$Cm=!$&amp;g"</f>
        <v>#REF!</v>
      </c>
      <c r="AO33" t="e">
        <f>#REF!+"$Cm=!$&amp;h"</f>
        <v>#REF!</v>
      </c>
      <c r="AP33" t="e">
        <f>#REF!+"$Cm=!$&amp;i"</f>
        <v>#REF!</v>
      </c>
      <c r="AQ33" t="e">
        <f>#REF!+"$Cm=!$&amp;j"</f>
        <v>#REF!</v>
      </c>
      <c r="AR33" t="e">
        <f>#REF!+"$Cm=!$&amp;k"</f>
        <v>#REF!</v>
      </c>
      <c r="AS33" t="e">
        <f>#REF!+"$Cm=!$&amp;l"</f>
        <v>#REF!</v>
      </c>
      <c r="AT33" t="e">
        <f>#REF!+"$Cm=!$&amp;m"</f>
        <v>#REF!</v>
      </c>
      <c r="AU33" t="e">
        <f>#REF!+"$Cm=!$&amp;n"</f>
        <v>#REF!</v>
      </c>
      <c r="AV33" t="e">
        <f>#REF!+"$Cm=!$&amp;o"</f>
        <v>#REF!</v>
      </c>
      <c r="AW33" t="e">
        <f>#REF!+"$Cm=!$&amp;p"</f>
        <v>#REF!</v>
      </c>
      <c r="AX33" t="e">
        <f>#REF!+"$Cm=!$&amp;q"</f>
        <v>#REF!</v>
      </c>
      <c r="AY33" t="e">
        <f>#REF!+"$Cm=!$&amp;r"</f>
        <v>#REF!</v>
      </c>
      <c r="AZ33" t="e">
        <f>#REF!+"$Cm=!$&amp;s"</f>
        <v>#REF!</v>
      </c>
      <c r="BA33" t="e">
        <f>#REF!+"$Cm=!$&amp;t"</f>
        <v>#REF!</v>
      </c>
      <c r="BB33" t="e">
        <f>#REF!+"$Cm=!$&amp;u"</f>
        <v>#REF!</v>
      </c>
      <c r="BC33" t="e">
        <f>#REF!+"$Cm=!$&amp;v"</f>
        <v>#REF!</v>
      </c>
      <c r="BD33" t="e">
        <f>#REF!+"$Cm=!$&amp;w"</f>
        <v>#REF!</v>
      </c>
      <c r="BE33" t="e">
        <f>#REF!+"$Cm=!$&amp;x"</f>
        <v>#REF!</v>
      </c>
      <c r="BF33" t="e">
        <f>#REF!+"$Cm=!$&amp;y"</f>
        <v>#REF!</v>
      </c>
      <c r="BG33" t="e">
        <f>#REF!+"$Cm=!$&amp;z"</f>
        <v>#REF!</v>
      </c>
      <c r="BH33" t="e">
        <f>#REF!+"$Cm=!$&amp;{"</f>
        <v>#REF!</v>
      </c>
      <c r="BI33" t="e">
        <f>#REF!+"$Cm=!$&amp;|"</f>
        <v>#REF!</v>
      </c>
      <c r="BJ33" t="e">
        <f>#REF!+"$Cm=!$&amp;}"</f>
        <v>#REF!</v>
      </c>
      <c r="BK33" t="e">
        <f>#REF!+"$Cm=!$&amp;~"</f>
        <v>#REF!</v>
      </c>
      <c r="BL33" t="e">
        <f>#REF!+"$Cm=!$'#"</f>
        <v>#REF!</v>
      </c>
      <c r="BM33" t="e">
        <f>#REF!+"$Cm=!$'$"</f>
        <v>#REF!</v>
      </c>
      <c r="BN33" t="e">
        <f>#REF!+"$Cm=!$'%"</f>
        <v>#REF!</v>
      </c>
      <c r="BO33" t="e">
        <f>#REF!+"$Cm=!$'&amp;"</f>
        <v>#REF!</v>
      </c>
      <c r="BP33" t="e">
        <f>#REF!+"$Cm=!$''"</f>
        <v>#REF!</v>
      </c>
      <c r="BQ33" t="e">
        <f>#REF!+"$Cm=!$'("</f>
        <v>#REF!</v>
      </c>
      <c r="BR33" t="e">
        <f>#REF!+"$Cm=!$')"</f>
        <v>#REF!</v>
      </c>
      <c r="BS33" t="e">
        <f>#REF!+"$Cm=!$'."</f>
        <v>#REF!</v>
      </c>
      <c r="BT33" t="e">
        <f>#REF!+"$Cm=!$'/"</f>
        <v>#REF!</v>
      </c>
      <c r="BU33" t="e">
        <f>#REF!+"$Cm=!$'0"</f>
        <v>#REF!</v>
      </c>
      <c r="BV33" t="e">
        <f>#REF!+"$Cm=!$'1"</f>
        <v>#REF!</v>
      </c>
      <c r="BW33" t="e">
        <f>#REF!+"$Cm=!$'2"</f>
        <v>#REF!</v>
      </c>
      <c r="BX33" t="e">
        <f>#REF!+"$Cm=!$'3"</f>
        <v>#REF!</v>
      </c>
      <c r="BY33" t="e">
        <f>#REF!+"$Cm=!$'4"</f>
        <v>#REF!</v>
      </c>
      <c r="BZ33" t="e">
        <f>#REF!+"$Cm=!$'5"</f>
        <v>#REF!</v>
      </c>
      <c r="CA33" t="e">
        <f>#REF!+"$Cm=!$'6"</f>
        <v>#REF!</v>
      </c>
      <c r="CB33" t="e">
        <f>#REF!+"$Cm=!$'7"</f>
        <v>#REF!</v>
      </c>
      <c r="CC33" t="e">
        <f>#REF!+"$Cm=!$'8"</f>
        <v>#REF!</v>
      </c>
      <c r="CD33" t="e">
        <f>#REF!+"$Cm=!$'9"</f>
        <v>#REF!</v>
      </c>
      <c r="CE33" t="e">
        <f>#REF!+"$Cm=!$':"</f>
        <v>#REF!</v>
      </c>
      <c r="CF33" t="e">
        <f>#REF!+"$Cm=!$';"</f>
        <v>#REF!</v>
      </c>
      <c r="CG33" t="e">
        <f>#REF!+"$Cm=!$'&lt;"</f>
        <v>#REF!</v>
      </c>
      <c r="CH33" t="e">
        <f>#REF!+"$Cm=!$'="</f>
        <v>#REF!</v>
      </c>
      <c r="CI33" t="e">
        <f>#REF!+"$Cm=!$'&gt;"</f>
        <v>#REF!</v>
      </c>
      <c r="CJ33" t="e">
        <f>#REF!+"$Cm=!$'?"</f>
        <v>#REF!</v>
      </c>
      <c r="CK33" t="e">
        <f>#REF!+"$Cm=!$'@"</f>
        <v>#REF!</v>
      </c>
      <c r="CL33" t="e">
        <f>#REF!+"$Cm=!$'A"</f>
        <v>#REF!</v>
      </c>
      <c r="CM33" t="e">
        <f>#REF!+"$Cm=!$'B"</f>
        <v>#REF!</v>
      </c>
      <c r="CN33" t="e">
        <f>#REF!+"$Cm=!$'C"</f>
        <v>#REF!</v>
      </c>
      <c r="CO33" t="e">
        <f>#REF!+"$Cm=!$'D"</f>
        <v>#REF!</v>
      </c>
      <c r="CP33" t="e">
        <f>#REF!+"$Cm=!$'E"</f>
        <v>#REF!</v>
      </c>
      <c r="CQ33" t="e">
        <f>#REF!+"$Cm=!$'F"</f>
        <v>#REF!</v>
      </c>
      <c r="CR33" t="e">
        <f>#REF!+"$Cm=!$'G"</f>
        <v>#REF!</v>
      </c>
      <c r="CS33" t="e">
        <f>#REF!+"$Cm=!$'H"</f>
        <v>#REF!</v>
      </c>
      <c r="CT33" t="e">
        <f>#REF!+"$Cm=!$'I"</f>
        <v>#REF!</v>
      </c>
      <c r="CU33" t="e">
        <f>#REF!+"$Cm=!$'J"</f>
        <v>#REF!</v>
      </c>
      <c r="CV33" t="e">
        <f>#REF!+"$Cm=!$'K"</f>
        <v>#REF!</v>
      </c>
      <c r="CW33" t="e">
        <f>#REF!+"$Cm=!$'L"</f>
        <v>#REF!</v>
      </c>
      <c r="CX33" t="e">
        <f>#REF!+"$Cm=!$'M"</f>
        <v>#REF!</v>
      </c>
      <c r="CY33" t="e">
        <f>#REF!+"$Cm=!$'N"</f>
        <v>#REF!</v>
      </c>
      <c r="CZ33" t="e">
        <f>#REF!+"$Cm=!$'O"</f>
        <v>#REF!</v>
      </c>
      <c r="DA33" t="e">
        <f>#REF!+"$Cm=!$'P"</f>
        <v>#REF!</v>
      </c>
      <c r="DB33" t="e">
        <f>#REF!+"$Cm=!$'Q"</f>
        <v>#REF!</v>
      </c>
      <c r="DC33" t="e">
        <f>#REF!+"$Cm=!$'R"</f>
        <v>#REF!</v>
      </c>
      <c r="DD33" t="e">
        <f>#REF!+"$Cm=!$'S"</f>
        <v>#REF!</v>
      </c>
      <c r="DE33" t="e">
        <f>#REF!+"$Cm=!$'T"</f>
        <v>#REF!</v>
      </c>
      <c r="DF33" t="e">
        <f>#REF!+"$Cm=!$'U"</f>
        <v>#REF!</v>
      </c>
      <c r="DG33" t="e">
        <f>#REF!+"$Cm=!$'V"</f>
        <v>#REF!</v>
      </c>
      <c r="DH33" t="e">
        <f>#REF!+"$Cm=!$'W"</f>
        <v>#REF!</v>
      </c>
      <c r="DI33" t="e">
        <f>#REF!+"$Cm=!$'X"</f>
        <v>#REF!</v>
      </c>
      <c r="DJ33" t="e">
        <f>#REF!+"$Cm=!$'Y"</f>
        <v>#REF!</v>
      </c>
      <c r="DK33" t="e">
        <f>#REF!+"$Cm=!$'Z"</f>
        <v>#REF!</v>
      </c>
      <c r="DL33" t="e">
        <f>#REF!+"$Cm=!$'["</f>
        <v>#REF!</v>
      </c>
      <c r="DM33" t="e">
        <f>#REF!+"$Cm=!$'\"</f>
        <v>#REF!</v>
      </c>
      <c r="DN33" t="e">
        <f>#REF!+"$Cm=!$']"</f>
        <v>#REF!</v>
      </c>
      <c r="DO33" t="e">
        <f>#REF!+"$Cm=!$'^"</f>
        <v>#REF!</v>
      </c>
      <c r="DP33" t="e">
        <f>#REF!+"$Cm=!$'_"</f>
        <v>#REF!</v>
      </c>
      <c r="DQ33" t="e">
        <f>#REF!+"$Cm=!$'`"</f>
        <v>#REF!</v>
      </c>
      <c r="DR33" t="e">
        <f>#REF!+"$Cm=!$'a"</f>
        <v>#REF!</v>
      </c>
      <c r="DS33" t="e">
        <f>#REF!+"$Cm=!$'b"</f>
        <v>#REF!</v>
      </c>
      <c r="DT33" t="e">
        <f>#REF!+"$Cm=!$'c"</f>
        <v>#REF!</v>
      </c>
      <c r="DU33" t="e">
        <f>#REF!+"$Cm=!$'d"</f>
        <v>#REF!</v>
      </c>
      <c r="DV33" t="e">
        <f>#REF!+"$Cm=!$'e"</f>
        <v>#REF!</v>
      </c>
      <c r="DW33" t="e">
        <f>#REF!+"$Cm=!$'f"</f>
        <v>#REF!</v>
      </c>
      <c r="DX33" t="e">
        <f>#REF!+"$Cm=!$'g"</f>
        <v>#REF!</v>
      </c>
      <c r="DY33" t="e">
        <f>#REF!+"$Cm=!$'h"</f>
        <v>#REF!</v>
      </c>
      <c r="DZ33" t="e">
        <f>#REF!+"$Cm=!$'i"</f>
        <v>#REF!</v>
      </c>
      <c r="EA33" t="e">
        <f>#REF!+"$Cm=!$'j"</f>
        <v>#REF!</v>
      </c>
      <c r="EB33" t="e">
        <f>#REF!+"$Cm=!$'k"</f>
        <v>#REF!</v>
      </c>
      <c r="EC33" t="e">
        <f>#REF!+"$Cm=!$'l"</f>
        <v>#REF!</v>
      </c>
      <c r="ED33" t="e">
        <f>#REF!+"$Cm=!$'m"</f>
        <v>#REF!</v>
      </c>
      <c r="EE33" t="e">
        <f>#REF!+"$Cm=!$'n"</f>
        <v>#REF!</v>
      </c>
      <c r="EF33" t="e">
        <f>#REF!+"$Cm=!$'o"</f>
        <v>#REF!</v>
      </c>
      <c r="EG33" t="e">
        <f>#REF!+"$Cm=!$'p"</f>
        <v>#REF!</v>
      </c>
      <c r="EH33" t="e">
        <f>#REF!+"$Cm=!$'q"</f>
        <v>#REF!</v>
      </c>
      <c r="EI33" t="e">
        <f>#REF!+"$Cm=!$'r"</f>
        <v>#REF!</v>
      </c>
      <c r="EJ33" t="e">
        <f>#REF!+"$Cm=!$'s"</f>
        <v>#REF!</v>
      </c>
      <c r="EK33" t="e">
        <f>#REF!+"$Cm=!$'t"</f>
        <v>#REF!</v>
      </c>
      <c r="EL33" t="e">
        <f>#REF!+"$Cm=!$'u"</f>
        <v>#REF!</v>
      </c>
      <c r="EM33" t="e">
        <f>#REF!+"$Cm=!$'v"</f>
        <v>#REF!</v>
      </c>
      <c r="EN33" t="e">
        <f>#REF!+"$Cm=!$'w"</f>
        <v>#REF!</v>
      </c>
      <c r="EO33" t="e">
        <f>#REF!+"$Cm=!$'x"</f>
        <v>#REF!</v>
      </c>
      <c r="EP33" t="e">
        <f>#REF!+"$Cm=!$'y"</f>
        <v>#REF!</v>
      </c>
      <c r="EQ33" t="e">
        <f>#REF!+"$Cm=!$'z"</f>
        <v>#REF!</v>
      </c>
      <c r="ER33" t="e">
        <f>#REF!+"$Cm=!$'{"</f>
        <v>#REF!</v>
      </c>
      <c r="ES33" t="e">
        <f>#REF!+"$Cm=!$'|"</f>
        <v>#REF!</v>
      </c>
      <c r="ET33" t="e">
        <f>#REF!+"$Cm=!$'}"</f>
        <v>#REF!</v>
      </c>
      <c r="EU33" t="e">
        <f>#REF!+"$Cm=!$'~"</f>
        <v>#REF!</v>
      </c>
      <c r="EV33" t="e">
        <f>#REF!+"$Cm=!$(#"</f>
        <v>#REF!</v>
      </c>
      <c r="EW33" t="e">
        <f>#REF!+"$Cm=!$($"</f>
        <v>#REF!</v>
      </c>
      <c r="EX33" t="e">
        <f>#REF!+"$Cm=!$(%"</f>
        <v>#REF!</v>
      </c>
      <c r="EY33" t="e">
        <f>#REF!+"$Cm=!$(&amp;"</f>
        <v>#REF!</v>
      </c>
      <c r="EZ33" t="e">
        <f>#REF!+"$Cm=!$('"</f>
        <v>#REF!</v>
      </c>
      <c r="FA33" t="e">
        <f>#REF!+"$Cm=!$(("</f>
        <v>#REF!</v>
      </c>
      <c r="FB33" t="e">
        <f>#REF!+"$Cm=!$()"</f>
        <v>#REF!</v>
      </c>
      <c r="FC33" t="e">
        <f>#REF!+"$Cm=!$(."</f>
        <v>#REF!</v>
      </c>
      <c r="FD33" t="e">
        <f>#REF!+"$Cm=!$(/"</f>
        <v>#REF!</v>
      </c>
      <c r="FE33" t="e">
        <f>#REF!+"$Cm=!$(0"</f>
        <v>#REF!</v>
      </c>
      <c r="FF33" t="e">
        <f>#REF!+"$Cm=!$(1"</f>
        <v>#REF!</v>
      </c>
      <c r="FG33" t="e">
        <f>#REF!+"$Cm=!$(2"</f>
        <v>#REF!</v>
      </c>
      <c r="FH33" t="e">
        <f>#REF!+"$Cm=!$(3"</f>
        <v>#REF!</v>
      </c>
      <c r="FI33" t="e">
        <f>#REF!+"$Cm=!$(4"</f>
        <v>#REF!</v>
      </c>
      <c r="FJ33" t="e">
        <f>#REF!+"$Cm=!$(5"</f>
        <v>#REF!</v>
      </c>
      <c r="FK33" t="e">
        <f>#REF!+"$Cm=!$(6"</f>
        <v>#REF!</v>
      </c>
      <c r="FL33" t="e">
        <f>#REF!+"$Cm=!$(7"</f>
        <v>#REF!</v>
      </c>
      <c r="FM33" t="e">
        <f>#REF!+"$Cm=!$(8"</f>
        <v>#REF!</v>
      </c>
      <c r="FN33" t="e">
        <f>#REF!+"$Cm=!$(9"</f>
        <v>#REF!</v>
      </c>
      <c r="FO33" t="e">
        <f>#REF!+"$Cm=!$(:"</f>
        <v>#REF!</v>
      </c>
      <c r="FP33" t="e">
        <f>#REF!+"$Cm=!$(;"</f>
        <v>#REF!</v>
      </c>
      <c r="FQ33" t="e">
        <f>#REF!+"$Cm=!$(&lt;"</f>
        <v>#REF!</v>
      </c>
      <c r="FR33" t="e">
        <f>#REF!+"$Cm=!$(="</f>
        <v>#REF!</v>
      </c>
      <c r="FS33" t="e">
        <f>#REF!+"$Cm=!$(&gt;"</f>
        <v>#REF!</v>
      </c>
      <c r="FT33" t="e">
        <f>#REF!+"$Cm=!$(?"</f>
        <v>#REF!</v>
      </c>
      <c r="FU33" t="e">
        <f>#REF!+"$Cm=!$(@"</f>
        <v>#REF!</v>
      </c>
      <c r="FV33" t="e">
        <f>#REF!+"$Cm=!$(A"</f>
        <v>#REF!</v>
      </c>
      <c r="FW33" t="e">
        <f>#REF!+"$Cm=!$(B"</f>
        <v>#REF!</v>
      </c>
      <c r="FX33" t="e">
        <f>#REF!+"$Cm=!$(C"</f>
        <v>#REF!</v>
      </c>
      <c r="FY33" t="e">
        <f>#REF!+"$Cm=!$(D"</f>
        <v>#REF!</v>
      </c>
      <c r="FZ33" t="e">
        <f>#REF!+"$Cm=!$(E"</f>
        <v>#REF!</v>
      </c>
      <c r="GA33" t="e">
        <f>#REF!+"$Cm=!$(F"</f>
        <v>#REF!</v>
      </c>
      <c r="GB33" t="e">
        <f>#REF!+"$Cm=!$(G"</f>
        <v>#REF!</v>
      </c>
      <c r="GC33" t="e">
        <f>#REF!+"$Cm=!$(H"</f>
        <v>#REF!</v>
      </c>
      <c r="GD33" t="e">
        <f>#REF!+"$Cm=!$(I"</f>
        <v>#REF!</v>
      </c>
      <c r="GE33" t="e">
        <f>#REF!+"$Cm=!$(J"</f>
        <v>#REF!</v>
      </c>
      <c r="GF33" t="e">
        <f>#REF!+"$Cm=!$(K"</f>
        <v>#REF!</v>
      </c>
      <c r="GG33" t="e">
        <f>#REF!+"$Cm=!$(L"</f>
        <v>#REF!</v>
      </c>
      <c r="GH33" t="e">
        <f>#REF!+"$Cm=!$(M"</f>
        <v>#REF!</v>
      </c>
      <c r="GI33" t="e">
        <f>#REF!+"$Cm=!$(N"</f>
        <v>#REF!</v>
      </c>
      <c r="GJ33" t="e">
        <f>#REF!+"$Cm=!$(O"</f>
        <v>#REF!</v>
      </c>
      <c r="GK33" t="e">
        <f>#REF!+"$Cm=!$(P"</f>
        <v>#REF!</v>
      </c>
      <c r="GL33" t="e">
        <f>#REF!+"$Cm=!$(Q"</f>
        <v>#REF!</v>
      </c>
      <c r="GM33" t="e">
        <f>#REF!+"$Cm=!$(R"</f>
        <v>#REF!</v>
      </c>
      <c r="GN33" t="e">
        <f>#REF!+"$Cm=!$(S"</f>
        <v>#REF!</v>
      </c>
      <c r="GO33" t="e">
        <f>#REF!+"$Cm=!$(T"</f>
        <v>#REF!</v>
      </c>
      <c r="GP33" t="e">
        <f>#REF!+"$Cm=!$(U"</f>
        <v>#REF!</v>
      </c>
      <c r="GQ33" t="e">
        <f>#REF!+"$Cm=!$(V"</f>
        <v>#REF!</v>
      </c>
      <c r="GR33" t="e">
        <f>#REF!+"$Cm=!$(W"</f>
        <v>#REF!</v>
      </c>
      <c r="GS33" t="e">
        <f>#REF!+"$Cm=!$(X"</f>
        <v>#REF!</v>
      </c>
      <c r="GT33" t="e">
        <f>#REF!+"$Cm=!$(Y"</f>
        <v>#REF!</v>
      </c>
      <c r="GU33" t="e">
        <f>#REF!+"$Cm=!$(Z"</f>
        <v>#REF!</v>
      </c>
      <c r="GV33" t="e">
        <f>#REF!+"$Cm=!$(["</f>
        <v>#REF!</v>
      </c>
      <c r="GW33" t="e">
        <f>#REF!+"$Cm=!$(\"</f>
        <v>#REF!</v>
      </c>
      <c r="GX33" t="e">
        <f>#REF!+"$Cm=!$(]"</f>
        <v>#REF!</v>
      </c>
      <c r="GY33" t="e">
        <f>#REF!+"$Cm=!$(^"</f>
        <v>#REF!</v>
      </c>
      <c r="GZ33" t="e">
        <f>#REF!+"$Cm=!$(_"</f>
        <v>#REF!</v>
      </c>
      <c r="HA33" t="e">
        <f>#REF!+"$Cm=!$(`"</f>
        <v>#REF!</v>
      </c>
      <c r="HB33" t="e">
        <f>#REF!+"$Cm=!$(a"</f>
        <v>#REF!</v>
      </c>
      <c r="HC33" t="e">
        <f>#REF!+"$Cm=!$(b"</f>
        <v>#REF!</v>
      </c>
      <c r="HD33" t="e">
        <f>#REF!+"$Cm=!$(c"</f>
        <v>#REF!</v>
      </c>
      <c r="HE33" t="e">
        <f>#REF!+"$Cm=!$(d"</f>
        <v>#REF!</v>
      </c>
      <c r="HF33" t="e">
        <f>#REF!+"$Cm=!$(e"</f>
        <v>#REF!</v>
      </c>
      <c r="HG33" t="e">
        <f>#REF!+"$Cm=!$(f"</f>
        <v>#REF!</v>
      </c>
      <c r="HH33" t="e">
        <f>#REF!+"$Cm=!$(g"</f>
        <v>#REF!</v>
      </c>
      <c r="HI33" t="e">
        <f>#REF!+"$Cm=!$(h"</f>
        <v>#REF!</v>
      </c>
      <c r="HJ33" t="e">
        <f>#REF!+"$Cm=!$(i"</f>
        <v>#REF!</v>
      </c>
      <c r="HK33" t="e">
        <f>#REF!+"$Cm=!$(j"</f>
        <v>#REF!</v>
      </c>
      <c r="HL33" t="e">
        <f>#REF!+"$Cm=!$(k"</f>
        <v>#REF!</v>
      </c>
      <c r="HM33" t="e">
        <f>#REF!+"$Cm=!$(l"</f>
        <v>#REF!</v>
      </c>
      <c r="HN33" t="e">
        <f>#REF!+"$Cm=!$(m"</f>
        <v>#REF!</v>
      </c>
      <c r="HO33" t="e">
        <f>#REF!+"$Cm=!$(n"</f>
        <v>#REF!</v>
      </c>
      <c r="HP33" t="e">
        <f>#REF!+"$Cm=!$(o"</f>
        <v>#REF!</v>
      </c>
      <c r="HQ33" t="e">
        <f>#REF!+"$Cm=!$(p"</f>
        <v>#REF!</v>
      </c>
      <c r="HR33" t="e">
        <f>#REF!+"$Cm=!$(q"</f>
        <v>#REF!</v>
      </c>
      <c r="HS33" t="e">
        <f>#REF!+"$Cm=!$(r"</f>
        <v>#REF!</v>
      </c>
      <c r="HT33" t="e">
        <f>#REF!+"$Cm=!$(s"</f>
        <v>#REF!</v>
      </c>
      <c r="HU33" t="e">
        <f>#REF!+"$Cm=!$(t"</f>
        <v>#REF!</v>
      </c>
      <c r="HV33" t="e">
        <f>#REF!+"$Cm=!$(u"</f>
        <v>#REF!</v>
      </c>
      <c r="HW33" t="e">
        <f>#REF!+"$Cm=!$(v"</f>
        <v>#REF!</v>
      </c>
      <c r="HX33" t="e">
        <f>#REF!+"$Cm=!$(w"</f>
        <v>#REF!</v>
      </c>
      <c r="HY33" t="e">
        <f>#REF!+"$Cm=!$(x"</f>
        <v>#REF!</v>
      </c>
      <c r="HZ33" t="e">
        <f>#REF!+"$Cm=!$(y"</f>
        <v>#REF!</v>
      </c>
      <c r="IA33" t="e">
        <f>#REF!+"$Cm=!$(z"</f>
        <v>#REF!</v>
      </c>
      <c r="IB33" t="e">
        <f>#REF!+"$Cm=!$({"</f>
        <v>#REF!</v>
      </c>
      <c r="IC33" t="e">
        <f>#REF!+"$Cm=!$(|"</f>
        <v>#REF!</v>
      </c>
      <c r="ID33" t="e">
        <f>#REF!+"$Cm=!$(}"</f>
        <v>#REF!</v>
      </c>
      <c r="IE33" t="e">
        <f>#REF!+"$Cm=!$(~"</f>
        <v>#REF!</v>
      </c>
      <c r="IF33" t="e">
        <f>#REF!+"$Cm=!$)#"</f>
        <v>#REF!</v>
      </c>
      <c r="IG33" t="e">
        <f>#REF!+"$Cm=!$)$"</f>
        <v>#REF!</v>
      </c>
      <c r="IH33" t="e">
        <f>#REF!+"$Cm=!$)%"</f>
        <v>#REF!</v>
      </c>
      <c r="II33" t="e">
        <f>#REF!+"$Cm=!$)&amp;"</f>
        <v>#REF!</v>
      </c>
      <c r="IJ33" t="e">
        <f>#REF!+"$Cm=!$)'"</f>
        <v>#REF!</v>
      </c>
      <c r="IK33" t="e">
        <f>#REF!+"$Cm=!$)("</f>
        <v>#REF!</v>
      </c>
      <c r="IL33" t="e">
        <f>#REF!+"$Cm=!$))"</f>
        <v>#REF!</v>
      </c>
      <c r="IM33" t="e">
        <f>#REF!+"$Cm=!$)."</f>
        <v>#REF!</v>
      </c>
      <c r="IN33" t="e">
        <f>#REF!+"$Cm=!$)/"</f>
        <v>#REF!</v>
      </c>
      <c r="IO33" t="e">
        <f>#REF!+"$Cm=!$)0"</f>
        <v>#REF!</v>
      </c>
      <c r="IP33" t="e">
        <f>#REF!+"$Cm=!$)1"</f>
        <v>#REF!</v>
      </c>
      <c r="IQ33" t="e">
        <f>#REF!+"$Cm=!$)2"</f>
        <v>#REF!</v>
      </c>
      <c r="IR33" t="e">
        <f>#REF!+"$Cm=!$)3"</f>
        <v>#REF!</v>
      </c>
      <c r="IS33" t="e">
        <f>#REF!+"$Cm=!$)4"</f>
        <v>#REF!</v>
      </c>
      <c r="IT33" t="e">
        <f>#REF!+"$Cm=!$)5"</f>
        <v>#REF!</v>
      </c>
      <c r="IU33" t="e">
        <f>#REF!+"$Cm=!$)6"</f>
        <v>#REF!</v>
      </c>
      <c r="IV33" t="e">
        <f>#REF!+"$Cm=!$)7"</f>
        <v>#REF!</v>
      </c>
    </row>
    <row r="34" spans="6:256">
      <c r="F34" t="e">
        <f>#REF!+"$Cm=!$)8"</f>
        <v>#REF!</v>
      </c>
      <c r="G34" t="e">
        <f>#REF!+"$Cm=!$)9"</f>
        <v>#REF!</v>
      </c>
      <c r="H34" t="e">
        <f>#REF!+"$Cm=!$):"</f>
        <v>#REF!</v>
      </c>
      <c r="I34" t="e">
        <f>#REF!+"$Cm=!$);"</f>
        <v>#REF!</v>
      </c>
      <c r="J34" t="e">
        <f>#REF!+"$Cm=!$)&lt;"</f>
        <v>#REF!</v>
      </c>
      <c r="K34" t="e">
        <f>#REF!+"$Cm=!$)="</f>
        <v>#REF!</v>
      </c>
      <c r="L34" t="e">
        <f>#REF!+"$Cm=!$)&gt;"</f>
        <v>#REF!</v>
      </c>
      <c r="M34" t="e">
        <f>#REF!+"$Cm=!$)?"</f>
        <v>#REF!</v>
      </c>
      <c r="N34" t="e">
        <f>#REF!+"$Cm=!$)@"</f>
        <v>#REF!</v>
      </c>
      <c r="O34" t="e">
        <f>#REF!+"$Cm=!$)A"</f>
        <v>#REF!</v>
      </c>
      <c r="P34" t="e">
        <f>#REF!+"$Cm=!$)B"</f>
        <v>#REF!</v>
      </c>
      <c r="Q34" t="e">
        <f>#REF!+"$Cm=!$)C"</f>
        <v>#REF!</v>
      </c>
      <c r="R34" t="e">
        <f>#REF!+"$Cm=!$)D"</f>
        <v>#REF!</v>
      </c>
      <c r="S34" t="e">
        <f>#REF!+"$Cm=!$)E"</f>
        <v>#REF!</v>
      </c>
      <c r="T34" t="e">
        <f>#REF!+"$Cm=!$)F"</f>
        <v>#REF!</v>
      </c>
      <c r="U34" t="e">
        <f>#REF!+"$Cm=!$)G"</f>
        <v>#REF!</v>
      </c>
      <c r="V34" t="e">
        <f>#REF!+"$Cm=!$)H"</f>
        <v>#REF!</v>
      </c>
      <c r="W34" t="e">
        <f>#REF!+"$Cm=!$)I"</f>
        <v>#REF!</v>
      </c>
      <c r="X34" t="e">
        <f>#REF!+"$Cm=!$)J"</f>
        <v>#REF!</v>
      </c>
      <c r="Y34" t="e">
        <f>#REF!+"$Cm=!$)K"</f>
        <v>#REF!</v>
      </c>
      <c r="Z34" t="e">
        <f>#REF!+"$Cm=!$)L"</f>
        <v>#REF!</v>
      </c>
      <c r="AA34" t="e">
        <f>#REF!+"$Cm=!$)M"</f>
        <v>#REF!</v>
      </c>
      <c r="AB34" t="e">
        <f>#REF!+"$Cm=!$)N"</f>
        <v>#REF!</v>
      </c>
      <c r="AC34" t="e">
        <f>#REF!+"$Cm=!$)O"</f>
        <v>#REF!</v>
      </c>
      <c r="AD34" t="e">
        <f>#REF!+"$Cm=!$)P"</f>
        <v>#REF!</v>
      </c>
      <c r="AE34" t="e">
        <f>#REF!+"$Cm=!$)Q"</f>
        <v>#REF!</v>
      </c>
      <c r="AF34" t="e">
        <f>#REF!+"$Cm=!$)R"</f>
        <v>#REF!</v>
      </c>
      <c r="AG34" t="e">
        <f>#REF!+"$Cm=!$)S"</f>
        <v>#REF!</v>
      </c>
      <c r="AH34" t="e">
        <f>#REF!+"$Cm=!$)T"</f>
        <v>#REF!</v>
      </c>
      <c r="AI34" t="e">
        <f>#REF!+"$Cm=!$)U"</f>
        <v>#REF!</v>
      </c>
      <c r="AJ34" t="e">
        <f>#REF!+"$Cm=!$)V"</f>
        <v>#REF!</v>
      </c>
      <c r="AK34" t="e">
        <f>#REF!+"$Cm=!$)W"</f>
        <v>#REF!</v>
      </c>
      <c r="AL34" t="e">
        <f>#REF!+"$Cm=!$)X"</f>
        <v>#REF!</v>
      </c>
      <c r="AM34" t="e">
        <f>#REF!+"$Cm=!$)Y"</f>
        <v>#REF!</v>
      </c>
      <c r="AN34" t="e">
        <f>#REF!+"$Cm=!$)Z"</f>
        <v>#REF!</v>
      </c>
      <c r="AO34" t="e">
        <f>#REF!+"$Cm=!$)["</f>
        <v>#REF!</v>
      </c>
      <c r="AP34" t="e">
        <f>#REF!+"$Cm=!$)\"</f>
        <v>#REF!</v>
      </c>
      <c r="AQ34" t="e">
        <f>#REF!+"$Cm=!$)]"</f>
        <v>#REF!</v>
      </c>
      <c r="AR34" t="e">
        <f>#REF!+"$Cm=!$)^"</f>
        <v>#REF!</v>
      </c>
      <c r="AS34" t="e">
        <f>#REF!+"$Cm=!$)_"</f>
        <v>#REF!</v>
      </c>
      <c r="AT34" t="e">
        <f>#REF!+"$Cm=!$)`"</f>
        <v>#REF!</v>
      </c>
      <c r="AU34" t="e">
        <f>#REF!+"$Cm=!$)a"</f>
        <v>#REF!</v>
      </c>
      <c r="AV34" t="e">
        <f>#REF!+"$Cm=!$)b"</f>
        <v>#REF!</v>
      </c>
      <c r="AW34" t="e">
        <f>#REF!+"$Cm=!$)c"</f>
        <v>#REF!</v>
      </c>
      <c r="AX34" t="e">
        <f>#REF!+"$Cm=!$)d"</f>
        <v>#REF!</v>
      </c>
      <c r="AY34" t="e">
        <f>#REF!+"$Cm=!$)e"</f>
        <v>#REF!</v>
      </c>
      <c r="AZ34" t="e">
        <f>#REF!+"$Cm=!$)f"</f>
        <v>#REF!</v>
      </c>
      <c r="BA34" t="e">
        <f>#REF!+"$Cm=!$)g"</f>
        <v>#REF!</v>
      </c>
      <c r="BB34" t="e">
        <f>#REF!+"$Cm=!$)h"</f>
        <v>#REF!</v>
      </c>
      <c r="BC34" t="e">
        <f>#REF!+"$Cm=!$)i"</f>
        <v>#REF!</v>
      </c>
      <c r="BD34" t="e">
        <f>#REF!+"$Cm=!$)j"</f>
        <v>#REF!</v>
      </c>
      <c r="BE34" t="e">
        <f>#REF!+"$Cm=!$)k"</f>
        <v>#REF!</v>
      </c>
      <c r="BF34" t="e">
        <f>#REF!+"$Cm=!$)l"</f>
        <v>#REF!</v>
      </c>
      <c r="BG34" t="e">
        <f>#REF!+"$Cm=!$)m"</f>
        <v>#REF!</v>
      </c>
      <c r="BH34" t="e">
        <f>#REF!+"$Cm=!$)n"</f>
        <v>#REF!</v>
      </c>
      <c r="BI34" t="e">
        <f>#REF!+"$Cm=!$)o"</f>
        <v>#REF!</v>
      </c>
      <c r="BJ34" t="e">
        <f>#REF!+"$Cm=!$)p"</f>
        <v>#REF!</v>
      </c>
      <c r="BK34" t="e">
        <f>#REF!+"$Cm=!$)q"</f>
        <v>#REF!</v>
      </c>
      <c r="BL34" t="e">
        <f>#REF!+"$Cm=!$)r"</f>
        <v>#REF!</v>
      </c>
      <c r="BM34" t="e">
        <f>#REF!+"$Cm=!$)s"</f>
        <v>#REF!</v>
      </c>
      <c r="BN34" t="e">
        <f>#REF!+"$Cm=!$)t"</f>
        <v>#REF!</v>
      </c>
      <c r="BO34" t="e">
        <f>#REF!+"$Cm=!$)u"</f>
        <v>#REF!</v>
      </c>
      <c r="BP34" t="e">
        <f>#REF!+"$Cm=!$)v"</f>
        <v>#REF!</v>
      </c>
      <c r="BQ34" t="e">
        <f>#REF!+"$Cm=!$)w"</f>
        <v>#REF!</v>
      </c>
      <c r="BR34" t="e">
        <f>#REF!+"$Cm=!$)x"</f>
        <v>#REF!</v>
      </c>
      <c r="BS34" t="e">
        <f>#REF!+"$Cm=!$)y"</f>
        <v>#REF!</v>
      </c>
      <c r="BT34" t="e">
        <f>#REF!+"$Cm=!$)z"</f>
        <v>#REF!</v>
      </c>
      <c r="BU34" t="e">
        <f>#REF!+"$Cm=!$){"</f>
        <v>#REF!</v>
      </c>
      <c r="BV34" t="e">
        <f>#REF!+"$Cm=!$)|"</f>
        <v>#REF!</v>
      </c>
      <c r="BW34" t="e">
        <f>#REF!+"$Cm=!$)}"</f>
        <v>#REF!</v>
      </c>
      <c r="BX34" t="e">
        <f>#REF!+"$Cm=!$)~"</f>
        <v>#REF!</v>
      </c>
      <c r="BY34" t="e">
        <f>#REF!+"$Cm=!$.#"</f>
        <v>#REF!</v>
      </c>
      <c r="BZ34" t="e">
        <f>#REF!+"$Cm=!$.$"</f>
        <v>#REF!</v>
      </c>
      <c r="CA34" t="e">
        <f>#REF!+"$Cm=!$.%"</f>
        <v>#REF!</v>
      </c>
      <c r="CB34" t="e">
        <f>#REF!+"$Cm=!$.&amp;"</f>
        <v>#REF!</v>
      </c>
      <c r="CC34" t="e">
        <f>#REF!+"$Cm=!$.'"</f>
        <v>#REF!</v>
      </c>
      <c r="CD34" t="e">
        <f>#REF!+"$Cm=!$.("</f>
        <v>#REF!</v>
      </c>
      <c r="CE34" t="e">
        <f>#REF!+"$Cm=!$.)"</f>
        <v>#REF!</v>
      </c>
      <c r="CF34" t="e">
        <f>#REF!+"$Cm=!$.."</f>
        <v>#REF!</v>
      </c>
      <c r="CG34" t="e">
        <f>#REF!+"$Cm=!$./"</f>
        <v>#REF!</v>
      </c>
      <c r="CH34" t="e">
        <f>#REF!+"$Cm=!$.0"</f>
        <v>#REF!</v>
      </c>
      <c r="CI34" t="e">
        <f>#REF!+"$Cm=!$.1"</f>
        <v>#REF!</v>
      </c>
      <c r="CJ34" t="e">
        <f>#REF!+"$Cm=!$.2"</f>
        <v>#REF!</v>
      </c>
      <c r="CK34" t="e">
        <f>#REF!+"$Cm=!$.3"</f>
        <v>#REF!</v>
      </c>
      <c r="CL34" t="e">
        <f>#REF!+"$Cm=!$.4"</f>
        <v>#REF!</v>
      </c>
      <c r="CM34" t="e">
        <f>#REF!+"$Cm=!$.5"</f>
        <v>#REF!</v>
      </c>
      <c r="CN34" t="e">
        <f>#REF!+"$Cm=!$.6"</f>
        <v>#REF!</v>
      </c>
      <c r="CO34" t="e">
        <f>#REF!+"$Cm=!$.7"</f>
        <v>#REF!</v>
      </c>
      <c r="CP34" t="e">
        <f>#REF!+"$Cm=!$.8"</f>
        <v>#REF!</v>
      </c>
      <c r="CQ34" t="e">
        <f>#REF!+"$Cm=!$.9"</f>
        <v>#REF!</v>
      </c>
      <c r="CR34" t="e">
        <f>#REF!+"$Cm=!$.:"</f>
        <v>#REF!</v>
      </c>
      <c r="CS34" t="e">
        <f>#REF!+"$Cm=!$.;"</f>
        <v>#REF!</v>
      </c>
      <c r="CT34" t="e">
        <f>#REF!+"$Cm=!$.&lt;"</f>
        <v>#REF!</v>
      </c>
      <c r="CU34" t="e">
        <f>#REF!+"$Cm=!$.="</f>
        <v>#REF!</v>
      </c>
      <c r="CV34" t="e">
        <f>#REF!+"$Cm=!$.&gt;"</f>
        <v>#REF!</v>
      </c>
      <c r="CW34" t="e">
        <f>#REF!+"$Cm=!$.?"</f>
        <v>#REF!</v>
      </c>
      <c r="CX34" t="e">
        <f>#REF!+"$Cm=!$.@"</f>
        <v>#REF!</v>
      </c>
      <c r="CY34" t="e">
        <f>#REF!+"$Cm=!$.A"</f>
        <v>#REF!</v>
      </c>
      <c r="CZ34" t="e">
        <f>#REF!+"$Cm=!$.B"</f>
        <v>#REF!</v>
      </c>
      <c r="DA34" t="e">
        <f>#REF!+"$Cm=!$.C"</f>
        <v>#REF!</v>
      </c>
      <c r="DB34" t="e">
        <f>#REF!+"$Cm=!$.D"</f>
        <v>#REF!</v>
      </c>
      <c r="DC34" t="e">
        <f>#REF!+"$Cm=!$.E"</f>
        <v>#REF!</v>
      </c>
      <c r="DD34" t="e">
        <f>#REF!+"$Cm=!$.F"</f>
        <v>#REF!</v>
      </c>
      <c r="DE34" t="e">
        <f>#REF!+"$Cm=!$.G"</f>
        <v>#REF!</v>
      </c>
      <c r="DF34" t="e">
        <f>#REF!+"$Cm=!$.H"</f>
        <v>#REF!</v>
      </c>
      <c r="DG34" t="e">
        <f>#REF!+"$Cm=!$.I"</f>
        <v>#REF!</v>
      </c>
      <c r="DH34" t="e">
        <f>#REF!+"$Cm=!$.J"</f>
        <v>#REF!</v>
      </c>
      <c r="DI34" t="e">
        <f>#REF!+"$Cm=!$.K"</f>
        <v>#REF!</v>
      </c>
      <c r="DJ34" t="e">
        <f>#REF!+"$Cm=!$.L"</f>
        <v>#REF!</v>
      </c>
      <c r="DK34" t="e">
        <f>#REF!+"$Cm=!$.M"</f>
        <v>#REF!</v>
      </c>
      <c r="DL34" t="e">
        <f>#REF!+"$Cm=!$.N"</f>
        <v>#REF!</v>
      </c>
      <c r="DM34" t="e">
        <f>#REF!+"$Cm=!$.O"</f>
        <v>#REF!</v>
      </c>
      <c r="DN34" t="e">
        <f>#REF!+"$Cm=!$.P"</f>
        <v>#REF!</v>
      </c>
      <c r="DO34" t="e">
        <f>#REF!+"$Cm=!$.Q"</f>
        <v>#REF!</v>
      </c>
      <c r="DP34" t="e">
        <f>#REF!+"$Cm=!$.R"</f>
        <v>#REF!</v>
      </c>
      <c r="DQ34" t="e">
        <f>#REF!+"$Cm=!$.S"</f>
        <v>#REF!</v>
      </c>
      <c r="DR34" t="e">
        <f>#REF!+"$Cm=!$.T"</f>
        <v>#REF!</v>
      </c>
      <c r="DS34" t="e">
        <f>#REF!+"$Cm=!$.U"</f>
        <v>#REF!</v>
      </c>
      <c r="DT34" t="e">
        <f>#REF!+"$Cm=!$.V"</f>
        <v>#REF!</v>
      </c>
      <c r="DU34" t="e">
        <f>#REF!+"$Cm=!$.W"</f>
        <v>#REF!</v>
      </c>
      <c r="DV34" t="e">
        <f>#REF!+"$Cm=!$.X"</f>
        <v>#REF!</v>
      </c>
      <c r="DW34" t="e">
        <f>#REF!+"$Cm=!$.Y"</f>
        <v>#REF!</v>
      </c>
      <c r="DX34" t="e">
        <f>#REF!+"$Cm=!$.Z"</f>
        <v>#REF!</v>
      </c>
      <c r="DY34" t="e">
        <f>#REF!+"$Cm=!$.["</f>
        <v>#REF!</v>
      </c>
      <c r="DZ34" t="e">
        <f>#REF!+"$Cm=!$.\"</f>
        <v>#REF!</v>
      </c>
      <c r="EA34" t="e">
        <f>#REF!+"$Cm=!$.]"</f>
        <v>#REF!</v>
      </c>
      <c r="EB34" t="e">
        <f>#REF!+"$Cm=!$.^"</f>
        <v>#REF!</v>
      </c>
      <c r="EC34" t="e">
        <f>#REF!+"$Cm=!$._"</f>
        <v>#REF!</v>
      </c>
      <c r="ED34" t="e">
        <f>#REF!+"$Cm=!$.`"</f>
        <v>#REF!</v>
      </c>
      <c r="EE34" t="e">
        <f>#REF!+"$Cm=!$.a"</f>
        <v>#REF!</v>
      </c>
      <c r="EF34" t="e">
        <f>#REF!+"$Cm=!$.b"</f>
        <v>#REF!</v>
      </c>
      <c r="EG34" t="e">
        <f>#REF!+"$Cm=!$.c"</f>
        <v>#REF!</v>
      </c>
      <c r="EH34" t="e">
        <f>#REF!+"$Cm=!$.d"</f>
        <v>#REF!</v>
      </c>
      <c r="EI34" t="e">
        <f>#REF!+"$Cm=!$.e"</f>
        <v>#REF!</v>
      </c>
      <c r="EJ34" t="e">
        <f>#REF!+"$Cm=!$.f"</f>
        <v>#REF!</v>
      </c>
      <c r="EK34" t="e">
        <f>#REF!+"$Cm=!$.g"</f>
        <v>#REF!</v>
      </c>
      <c r="EL34" t="e">
        <f>#REF!+"$Cm=!$.h"</f>
        <v>#REF!</v>
      </c>
      <c r="EM34" t="e">
        <f>#REF!+"$Cm=!$.i"</f>
        <v>#REF!</v>
      </c>
      <c r="EN34" t="e">
        <f>#REF!+"$Cm=!$.j"</f>
        <v>#REF!</v>
      </c>
      <c r="EO34" t="e">
        <f>#REF!+"$Cm=!$.k"</f>
        <v>#REF!</v>
      </c>
      <c r="EP34" t="e">
        <f>#REF!+"$Cm=!$.l"</f>
        <v>#REF!</v>
      </c>
      <c r="EQ34" t="e">
        <f>#REF!+"$Cm=!$.m"</f>
        <v>#REF!</v>
      </c>
      <c r="ER34" t="e">
        <f>#REF!+"$Cm=!$.n"</f>
        <v>#REF!</v>
      </c>
      <c r="ES34" t="e">
        <f>#REF!+"$Cm=!$.o"</f>
        <v>#REF!</v>
      </c>
      <c r="ET34" t="e">
        <f>#REF!+"$Cm=!$.p"</f>
        <v>#REF!</v>
      </c>
      <c r="EU34" t="e">
        <f>#REF!+"$Cm=!$.q"</f>
        <v>#REF!</v>
      </c>
      <c r="EV34" t="e">
        <f>#REF!+"$Cm=!$.r"</f>
        <v>#REF!</v>
      </c>
      <c r="EW34" t="e">
        <f>#REF!+"$Cm=!$.s"</f>
        <v>#REF!</v>
      </c>
      <c r="EX34" t="e">
        <f>#REF!+"$Cm=!$.t"</f>
        <v>#REF!</v>
      </c>
      <c r="EY34" t="e">
        <f>#REF!+"$Cm=!$.u"</f>
        <v>#REF!</v>
      </c>
      <c r="EZ34" t="e">
        <f>#REF!+"$Cm=!$.v"</f>
        <v>#REF!</v>
      </c>
      <c r="FA34" t="e">
        <f>#REF!+"$Cm=!$.w"</f>
        <v>#REF!</v>
      </c>
      <c r="FB34" t="e">
        <f>#REF!+"$Cm=!$.x"</f>
        <v>#REF!</v>
      </c>
      <c r="FC34" t="e">
        <f>#REF!+"$Cm=!$.y"</f>
        <v>#REF!</v>
      </c>
      <c r="FD34" t="e">
        <f>#REF!+"$Cm=!$.z"</f>
        <v>#REF!</v>
      </c>
      <c r="FE34" t="e">
        <f>#REF!+"$Cm=!$.{"</f>
        <v>#REF!</v>
      </c>
      <c r="FF34" t="e">
        <f>#REF!+"$Cm=!$.|"</f>
        <v>#REF!</v>
      </c>
      <c r="FG34" t="e">
        <f>#REF!+"$Cm=!$.}"</f>
        <v>#REF!</v>
      </c>
      <c r="FH34" t="e">
        <f>#REF!+"$Cm=!$.~"</f>
        <v>#REF!</v>
      </c>
      <c r="FI34" t="e">
        <f>#REF!+"$Cm=!$/#"</f>
        <v>#REF!</v>
      </c>
      <c r="FJ34" t="e">
        <f>#REF!+"$Cm=!$/$"</f>
        <v>#REF!</v>
      </c>
      <c r="FK34" t="e">
        <f>#REF!+"$Cm=!$/%"</f>
        <v>#REF!</v>
      </c>
      <c r="FL34" t="e">
        <f>#REF!+"$Cm=!$/&amp;"</f>
        <v>#REF!</v>
      </c>
      <c r="FM34" t="e">
        <f>#REF!+"$Cm=!$/'"</f>
        <v>#REF!</v>
      </c>
      <c r="FN34" t="e">
        <f>#REF!+"$Cm=!$/("</f>
        <v>#REF!</v>
      </c>
      <c r="FO34" t="e">
        <f>#REF!+"$Cm=!$/)"</f>
        <v>#REF!</v>
      </c>
      <c r="FP34" t="e">
        <f>#REF!+"$Cm=!$/."</f>
        <v>#REF!</v>
      </c>
      <c r="FQ34" t="e">
        <f>#REF!+"$Cm=!$//"</f>
        <v>#REF!</v>
      </c>
      <c r="FR34" t="e">
        <f>#REF!+"$Cm=!$/0"</f>
        <v>#REF!</v>
      </c>
      <c r="FS34" t="e">
        <f>#REF!+"$Cm=!$/1"</f>
        <v>#REF!</v>
      </c>
      <c r="FT34" t="e">
        <f>#REF!+"$Cm=!$/2"</f>
        <v>#REF!</v>
      </c>
      <c r="FU34" t="e">
        <f>#REF!+"$Cm=!$/3"</f>
        <v>#REF!</v>
      </c>
      <c r="FV34" t="e">
        <f>#REF!+"$Cm=!$/4"</f>
        <v>#REF!</v>
      </c>
      <c r="FW34" t="e">
        <f>#REF!+"$Cm=!$/5"</f>
        <v>#REF!</v>
      </c>
      <c r="FX34" t="e">
        <f>#REF!+"$Cm=!$/6"</f>
        <v>#REF!</v>
      </c>
      <c r="FY34" t="e">
        <f>#REF!+"$Cm=!$/7"</f>
        <v>#REF!</v>
      </c>
      <c r="FZ34" t="e">
        <f>#REF!+"$Cm=!$/8"</f>
        <v>#REF!</v>
      </c>
      <c r="GA34" t="e">
        <f>#REF!+"$Cm=!$/9"</f>
        <v>#REF!</v>
      </c>
      <c r="GB34" t="e">
        <f>#REF!+"$Cm=!$/:"</f>
        <v>#REF!</v>
      </c>
      <c r="GC34" t="e">
        <f>#REF!+"$Cm=!$/;"</f>
        <v>#REF!</v>
      </c>
      <c r="GD34" t="e">
        <f>#REF!+"$Cm=!$/&lt;"</f>
        <v>#REF!</v>
      </c>
      <c r="GE34" t="e">
        <f>#REF!+"$Cm=!$/="</f>
        <v>#REF!</v>
      </c>
      <c r="GF34" t="e">
        <f>#REF!+"$Cm=!$/&gt;"</f>
        <v>#REF!</v>
      </c>
      <c r="GG34" t="e">
        <f>#REF!+"$Cm=!$/?"</f>
        <v>#REF!</v>
      </c>
      <c r="GH34" t="e">
        <f>#REF!+"$Cm=!$/@"</f>
        <v>#REF!</v>
      </c>
      <c r="GI34" t="e">
        <f>#REF!+"$Cm=!$/A"</f>
        <v>#REF!</v>
      </c>
      <c r="GJ34" t="e">
        <f>#REF!+"$Cm=!$/B"</f>
        <v>#REF!</v>
      </c>
      <c r="GK34" t="e">
        <f>#REF!+"$Cm=!$/C"</f>
        <v>#REF!</v>
      </c>
      <c r="GL34" t="e">
        <f>#REF!+"$Cm=!$/D"</f>
        <v>#REF!</v>
      </c>
      <c r="GM34" t="e">
        <f>#REF!+"$Cm=!$/E"</f>
        <v>#REF!</v>
      </c>
      <c r="GN34" t="e">
        <f>#REF!+"$Cm=!$/F"</f>
        <v>#REF!</v>
      </c>
      <c r="GO34" t="e">
        <f>#REF!+"$Cm=!$/G"</f>
        <v>#REF!</v>
      </c>
      <c r="GP34" t="e">
        <f>#REF!+"$Cm=!$/H"</f>
        <v>#REF!</v>
      </c>
      <c r="GQ34" t="e">
        <f>#REF!+"$Cm=!$/I"</f>
        <v>#REF!</v>
      </c>
      <c r="GR34" t="e">
        <f>#REF!+"$Cm=!$/J"</f>
        <v>#REF!</v>
      </c>
      <c r="GS34" t="e">
        <f>#REF!+"$Cm=!$/K"</f>
        <v>#REF!</v>
      </c>
      <c r="GT34" t="e">
        <f>#REF!+"$Cm=!$/L"</f>
        <v>#REF!</v>
      </c>
      <c r="GU34" t="e">
        <f>#REF!+"$Cm=!$/M"</f>
        <v>#REF!</v>
      </c>
      <c r="GV34" t="e">
        <f>#REF!+"$Cm=!$/N"</f>
        <v>#REF!</v>
      </c>
      <c r="GW34" t="e">
        <f>#REF!+"$Cm=!$/O"</f>
        <v>#REF!</v>
      </c>
      <c r="GX34" t="e">
        <f>#REF!+"$Cm=!$/P"</f>
        <v>#REF!</v>
      </c>
      <c r="GY34" t="e">
        <f>#REF!+"$Cm=!$/Q"</f>
        <v>#REF!</v>
      </c>
      <c r="GZ34" t="e">
        <f>#REF!+"$Cm=!$/R"</f>
        <v>#REF!</v>
      </c>
      <c r="HA34" t="e">
        <f>#REF!+"$Cm=!$/S"</f>
        <v>#REF!</v>
      </c>
      <c r="HB34" t="e">
        <f>#REF!+"$Cm=!$/T"</f>
        <v>#REF!</v>
      </c>
      <c r="HC34" t="e">
        <f>#REF!+"$Cm=!$/U"</f>
        <v>#REF!</v>
      </c>
      <c r="HD34" t="e">
        <f>#REF!+"$Cm=!$/V"</f>
        <v>#REF!</v>
      </c>
      <c r="HE34" t="e">
        <f>#REF!+"$Cm=!$/W"</f>
        <v>#REF!</v>
      </c>
      <c r="HF34" t="e">
        <f>#REF!+"$Cm=!$/X"</f>
        <v>#REF!</v>
      </c>
      <c r="HG34" t="e">
        <f>#REF!+"$Cm=!$/Y"</f>
        <v>#REF!</v>
      </c>
      <c r="HH34" t="e">
        <f>#REF!+"$Cm=!$/Z"</f>
        <v>#REF!</v>
      </c>
      <c r="HI34" t="e">
        <f>#REF!+"$Cm=!$/["</f>
        <v>#REF!</v>
      </c>
      <c r="HJ34" t="e">
        <f>#REF!+"$Cm=!$/\"</f>
        <v>#REF!</v>
      </c>
      <c r="HK34" t="e">
        <f>#REF!+"$Cm=!$/]"</f>
        <v>#REF!</v>
      </c>
      <c r="HL34" t="e">
        <f>#REF!+"$Cm=!$/^"</f>
        <v>#REF!</v>
      </c>
      <c r="HM34" t="e">
        <f>#REF!+"$Cm=!$/_"</f>
        <v>#REF!</v>
      </c>
      <c r="HN34" t="e">
        <f>#REF!+"$Cm=!$/`"</f>
        <v>#REF!</v>
      </c>
      <c r="HO34" t="e">
        <f>#REF!+"$Cm=!$/a"</f>
        <v>#REF!</v>
      </c>
      <c r="HP34" t="e">
        <f>#REF!+"$Cm=!$/b"</f>
        <v>#REF!</v>
      </c>
      <c r="HQ34" t="e">
        <f>#REF!+"$Cm=!$/c"</f>
        <v>#REF!</v>
      </c>
      <c r="HR34" t="e">
        <f>#REF!+"$Cm=!$/d"</f>
        <v>#REF!</v>
      </c>
      <c r="HS34" t="e">
        <f>#REF!+"$Cm=!$/e"</f>
        <v>#REF!</v>
      </c>
      <c r="HT34" t="e">
        <f>#REF!+"$Cm=!$/f"</f>
        <v>#REF!</v>
      </c>
      <c r="HU34" t="e">
        <f>#REF!+"$Cm=!$/g"</f>
        <v>#REF!</v>
      </c>
      <c r="HV34" t="e">
        <f>#REF!+"$Cm=!$/h"</f>
        <v>#REF!</v>
      </c>
      <c r="HW34" t="e">
        <f>#REF!+"$Cm=!$/i"</f>
        <v>#REF!</v>
      </c>
      <c r="HX34" t="e">
        <f>#REF!+"$Cm=!$/j"</f>
        <v>#REF!</v>
      </c>
      <c r="HY34" t="e">
        <f>#REF!+"$Cm=!$/k"</f>
        <v>#REF!</v>
      </c>
      <c r="HZ34" t="e">
        <f>#REF!+"$Cm=!$/l"</f>
        <v>#REF!</v>
      </c>
      <c r="IA34" t="e">
        <f>#REF!+"$Cm=!$/m"</f>
        <v>#REF!</v>
      </c>
      <c r="IB34" t="e">
        <f>#REF!+"$Cm=!$/n"</f>
        <v>#REF!</v>
      </c>
      <c r="IC34" t="e">
        <f>#REF!+"$Cm=!$/o"</f>
        <v>#REF!</v>
      </c>
      <c r="ID34" t="e">
        <f>#REF!+"$Cm=!$/p"</f>
        <v>#REF!</v>
      </c>
      <c r="IE34" t="e">
        <f>#REF!+"$Cm=!$/q"</f>
        <v>#REF!</v>
      </c>
      <c r="IF34" t="e">
        <f>#REF!+"$Cm=!$/r"</f>
        <v>#REF!</v>
      </c>
      <c r="IG34" t="e">
        <f>#REF!+"$Cm=!$/s"</f>
        <v>#REF!</v>
      </c>
      <c r="IH34" t="e">
        <f>#REF!+"$Cm=!$/t"</f>
        <v>#REF!</v>
      </c>
      <c r="II34" t="e">
        <f>#REF!+"$Cm=!$/u"</f>
        <v>#REF!</v>
      </c>
      <c r="IJ34" t="e">
        <f>#REF!+"$Cm=!$/v"</f>
        <v>#REF!</v>
      </c>
      <c r="IK34" t="e">
        <f>#REF!+"$Cm=!$/w"</f>
        <v>#REF!</v>
      </c>
      <c r="IL34" t="e">
        <f>#REF!+"$Cm=!$/x"</f>
        <v>#REF!</v>
      </c>
      <c r="IM34" t="e">
        <f>#REF!+"$Cm=!$/y"</f>
        <v>#REF!</v>
      </c>
      <c r="IN34" t="e">
        <f>#REF!+"$Cm=!$/z"</f>
        <v>#REF!</v>
      </c>
      <c r="IO34" t="e">
        <f>#REF!+"$Cm=!$/{"</f>
        <v>#REF!</v>
      </c>
      <c r="IP34" t="e">
        <f>#REF!+"$Cm=!$/|"</f>
        <v>#REF!</v>
      </c>
      <c r="IQ34" t="e">
        <f>#REF!+"$Cm=!$/}"</f>
        <v>#REF!</v>
      </c>
      <c r="IR34" t="e">
        <f>#REF!+"$Cm=!$/~"</f>
        <v>#REF!</v>
      </c>
      <c r="IS34" t="e">
        <f>#REF!+"$Cm=!$0#"</f>
        <v>#REF!</v>
      </c>
      <c r="IT34" t="e">
        <f>#REF!+"$Cm=!$0$"</f>
        <v>#REF!</v>
      </c>
      <c r="IU34" t="e">
        <f>#REF!+"$Cm=!$0%"</f>
        <v>#REF!</v>
      </c>
      <c r="IV34" t="e">
        <f>#REF!+"$Cm=!$0&amp;"</f>
        <v>#REF!</v>
      </c>
    </row>
    <row r="35" spans="6:256">
      <c r="F35" t="e">
        <f>#REF!+"$Cm=!$0'"</f>
        <v>#REF!</v>
      </c>
      <c r="G35" t="e">
        <f>#REF!+"$Cm=!$0("</f>
        <v>#REF!</v>
      </c>
      <c r="H35" t="e">
        <f>#REF!+"$Cm=!$0)"</f>
        <v>#REF!</v>
      </c>
      <c r="I35" t="e">
        <f>#REF!+"$Cm=!$0."</f>
        <v>#REF!</v>
      </c>
      <c r="J35" t="e">
        <f>#REF!+"$Cm=!$0/"</f>
        <v>#REF!</v>
      </c>
      <c r="K35" t="e">
        <f>#REF!+"$Cm=!$00"</f>
        <v>#REF!</v>
      </c>
      <c r="L35" t="e">
        <f>#REF!+"$Cm=!$01"</f>
        <v>#REF!</v>
      </c>
      <c r="M35" t="e">
        <f>#REF!+"$Cm=!$02"</f>
        <v>#REF!</v>
      </c>
      <c r="N35" t="e">
        <f>#REF!+"$Cm=!$03"</f>
        <v>#REF!</v>
      </c>
      <c r="O35" t="e">
        <f>#REF!+"$Cm=!$04"</f>
        <v>#REF!</v>
      </c>
      <c r="P35" t="e">
        <f>#REF!+"$Cm=!$05"</f>
        <v>#REF!</v>
      </c>
      <c r="Q35" t="e">
        <f>#REF!+"$Cm=!$06"</f>
        <v>#REF!</v>
      </c>
      <c r="R35" t="e">
        <f>#REF!+"$Cm=!$07"</f>
        <v>#REF!</v>
      </c>
      <c r="S35" t="e">
        <f>#REF!+"$Cm=!$08"</f>
        <v>#REF!</v>
      </c>
      <c r="T35" t="e">
        <f>#REF!+"$Cm=!$09"</f>
        <v>#REF!</v>
      </c>
      <c r="U35" t="e">
        <f>#REF!+"$Cm=!$0:"</f>
        <v>#REF!</v>
      </c>
      <c r="V35" t="e">
        <f>#REF!+"$Cm=!$0;"</f>
        <v>#REF!</v>
      </c>
      <c r="W35" t="e">
        <f>#REF!+"$Cm=!$0&lt;"</f>
        <v>#REF!</v>
      </c>
      <c r="X35" t="e">
        <f>#REF!+"$Cm=!$0="</f>
        <v>#REF!</v>
      </c>
      <c r="Y35" t="e">
        <f>#REF!+"$Cm=!$0&gt;"</f>
        <v>#REF!</v>
      </c>
      <c r="Z35" t="e">
        <f>#REF!+"$Cm=!$0?"</f>
        <v>#REF!</v>
      </c>
      <c r="AA35" t="e">
        <f>#REF!+"$Cm=!$0@"</f>
        <v>#REF!</v>
      </c>
      <c r="AB35" t="e">
        <f>#REF!+"$Cm=!$0A"</f>
        <v>#REF!</v>
      </c>
      <c r="AC35" t="e">
        <f>#REF!+"$Cm=!$0B"</f>
        <v>#REF!</v>
      </c>
      <c r="AD35" t="e">
        <f>#REF!+"$Cm=!$0C"</f>
        <v>#REF!</v>
      </c>
      <c r="AE35" t="e">
        <f>#REF!+"$Cm=!$0D"</f>
        <v>#REF!</v>
      </c>
      <c r="AF35" t="e">
        <f>#REF!+"$Cm=!$0E"</f>
        <v>#REF!</v>
      </c>
      <c r="AG35" t="e">
        <f>#REF!+"$Cm=!$0F"</f>
        <v>#REF!</v>
      </c>
      <c r="AH35" t="e">
        <f>#REF!+"$Cm=!$0G"</f>
        <v>#REF!</v>
      </c>
      <c r="AI35" t="e">
        <f>#REF!+"$Cm=!$0H"</f>
        <v>#REF!</v>
      </c>
      <c r="AJ35" t="e">
        <f>#REF!+"$Cm=!$0I"</f>
        <v>#REF!</v>
      </c>
      <c r="AK35" t="e">
        <f>#REF!+"$Cm=!$0J"</f>
        <v>#REF!</v>
      </c>
      <c r="AL35" t="e">
        <f>#REF!+"$Cm=!$0K"</f>
        <v>#REF!</v>
      </c>
      <c r="AM35" t="e">
        <f>#REF!+"$Cm=!$0L"</f>
        <v>#REF!</v>
      </c>
      <c r="AN35" t="e">
        <f>#REF!+"$Cm=!$0M"</f>
        <v>#REF!</v>
      </c>
      <c r="AO35" t="e">
        <f>#REF!+"$Cm=!$0N"</f>
        <v>#REF!</v>
      </c>
      <c r="AP35" t="e">
        <f>#REF!+"$Cm=!$0O"</f>
        <v>#REF!</v>
      </c>
      <c r="AQ35" t="e">
        <f>#REF!+"$Cm=!$0P"</f>
        <v>#REF!</v>
      </c>
      <c r="AR35" t="e">
        <f>#REF!+"$Cm=!$0Q"</f>
        <v>#REF!</v>
      </c>
      <c r="AS35" t="e">
        <f>#REF!+"$Cm=!$0R"</f>
        <v>#REF!</v>
      </c>
      <c r="AT35" t="e">
        <f>#REF!+"$Cm=!$0S"</f>
        <v>#REF!</v>
      </c>
      <c r="AU35" t="e">
        <f>#REF!+"$Cm=!$0T"</f>
        <v>#REF!</v>
      </c>
      <c r="AV35" t="e">
        <f>#REF!+"$Cm=!$0U"</f>
        <v>#REF!</v>
      </c>
      <c r="AW35" t="e">
        <f>#REF!+"$Cm=!$0V"</f>
        <v>#REF!</v>
      </c>
      <c r="AX35" t="e">
        <f>#REF!+"$Cm=!$0W"</f>
        <v>#REF!</v>
      </c>
      <c r="AY35" t="e">
        <f>#REF!+"$Cm=!$0X"</f>
        <v>#REF!</v>
      </c>
      <c r="AZ35" t="e">
        <f>#REF!+"$Cm=!$0Y"</f>
        <v>#REF!</v>
      </c>
      <c r="BA35" t="e">
        <f>#REF!+"$Cm=!$0Z"</f>
        <v>#REF!</v>
      </c>
      <c r="BB35" t="e">
        <f>#REF!+"$Cm=!$0["</f>
        <v>#REF!</v>
      </c>
      <c r="BC35" t="e">
        <f>#REF!+"$Cm=!$0\"</f>
        <v>#REF!</v>
      </c>
      <c r="BD35" t="e">
        <f>#REF!+"$Cm=!$0]"</f>
        <v>#REF!</v>
      </c>
      <c r="BE35" t="e">
        <f>#REF!+"$Cm=!$0^"</f>
        <v>#REF!</v>
      </c>
      <c r="BF35" t="e">
        <f>#REF!+"$Cm=!$0_"</f>
        <v>#REF!</v>
      </c>
      <c r="BG35" t="e">
        <f>#REF!+"$Cm=!$0`"</f>
        <v>#REF!</v>
      </c>
      <c r="BH35" t="e">
        <f>#REF!+"$Cm=!$0a"</f>
        <v>#REF!</v>
      </c>
      <c r="BI35" t="e">
        <f>#REF!+"$Cm=!$0b"</f>
        <v>#REF!</v>
      </c>
      <c r="BJ35" t="e">
        <f>#REF!+"$Cm=!$0c"</f>
        <v>#REF!</v>
      </c>
      <c r="BK35" t="e">
        <f>#REF!+"$Cm=!$0d"</f>
        <v>#REF!</v>
      </c>
      <c r="BL35" t="e">
        <f>#REF!+"$Cm=!$0e"</f>
        <v>#REF!</v>
      </c>
      <c r="BM35" t="e">
        <f>#REF!+"$Cm=!$0f"</f>
        <v>#REF!</v>
      </c>
      <c r="BN35" t="e">
        <f>#REF!+"$Cm=!$0g"</f>
        <v>#REF!</v>
      </c>
      <c r="BO35" t="e">
        <f>#REF!+"$Cm=!$0h"</f>
        <v>#REF!</v>
      </c>
      <c r="BP35" t="e">
        <f>#REF!+"$Cm=!$0i"</f>
        <v>#REF!</v>
      </c>
      <c r="BQ35" t="e">
        <f>#REF!+"$Cm=!$0j"</f>
        <v>#REF!</v>
      </c>
      <c r="BR35" t="e">
        <f>#REF!+"$Cm=!$0k"</f>
        <v>#REF!</v>
      </c>
      <c r="BS35" t="e">
        <f>#REF!+"$Cm=!$0l"</f>
        <v>#REF!</v>
      </c>
      <c r="BT35" t="e">
        <f>#REF!+"$Cm=!$0m"</f>
        <v>#REF!</v>
      </c>
      <c r="BU35" t="e">
        <f>#REF!+"$Cm=!$0n"</f>
        <v>#REF!</v>
      </c>
      <c r="BV35" t="e">
        <f>#REF!+"$Cm=!$0o"</f>
        <v>#REF!</v>
      </c>
      <c r="BW35" t="e">
        <f>#REF!+"$Cm=!$0p"</f>
        <v>#REF!</v>
      </c>
      <c r="BX35" t="e">
        <f>#REF!+"$Cm=!$0q"</f>
        <v>#REF!</v>
      </c>
      <c r="BY35" t="e">
        <f>#REF!+"$Cm=!$0r"</f>
        <v>#REF!</v>
      </c>
      <c r="BZ35" t="e">
        <f>#REF!+"$Cm=!$0s"</f>
        <v>#REF!</v>
      </c>
      <c r="CA35" t="e">
        <f>#REF!+"$Cm=!$0t"</f>
        <v>#REF!</v>
      </c>
      <c r="CB35" t="e">
        <f>#REF!+"$Cm=!$0u"</f>
        <v>#REF!</v>
      </c>
      <c r="CC35" t="e">
        <f>#REF!+"$Cm=!$0v"</f>
        <v>#REF!</v>
      </c>
      <c r="CD35" t="e">
        <f>#REF!+"$Cm=!$0w"</f>
        <v>#REF!</v>
      </c>
      <c r="CE35" t="e">
        <f>#REF!+"$Cm=!$0x"</f>
        <v>#REF!</v>
      </c>
      <c r="CF35" t="e">
        <f>#REF!+"$Cm=!$0y"</f>
        <v>#REF!</v>
      </c>
      <c r="CG35" t="e">
        <f>#REF!+"$Cm=!$0z"</f>
        <v>#REF!</v>
      </c>
      <c r="CH35" t="e">
        <f>#REF!+"$Cm=!$0{"</f>
        <v>#REF!</v>
      </c>
      <c r="CI35" t="e">
        <f>#REF!+"$Cm=!$0|"</f>
        <v>#REF!</v>
      </c>
      <c r="CJ35" t="e">
        <f>#REF!+"$Cm=!$0}"</f>
        <v>#REF!</v>
      </c>
      <c r="CK35" t="e">
        <f>#REF!+"$Cm=!$0~"</f>
        <v>#REF!</v>
      </c>
      <c r="CL35" t="e">
        <f>#REF!+"$Cm=!$1#"</f>
        <v>#REF!</v>
      </c>
      <c r="CM35" t="e">
        <f>#REF!+"$Cm=!$1$"</f>
        <v>#REF!</v>
      </c>
      <c r="CN35" t="e">
        <f>#REF!+"$Cm=!$1%"</f>
        <v>#REF!</v>
      </c>
      <c r="CO35" t="e">
        <f>#REF!+"$Cm=!$1&amp;"</f>
        <v>#REF!</v>
      </c>
      <c r="CP35" t="e">
        <f>#REF!+"$Cm=!$1'"</f>
        <v>#REF!</v>
      </c>
      <c r="CQ35" t="e">
        <f>#REF!+"$Cm=!$1("</f>
        <v>#REF!</v>
      </c>
      <c r="CR35" t="e">
        <f>#REF!+"$Cm=!$1)"</f>
        <v>#REF!</v>
      </c>
      <c r="CS35" t="e">
        <f>#REF!+"$Cm=!$1."</f>
        <v>#REF!</v>
      </c>
      <c r="CT35" t="e">
        <f>#REF!+"$Cm=!$1/"</f>
        <v>#REF!</v>
      </c>
      <c r="CU35" t="e">
        <f>#REF!+"$Cm=!$10"</f>
        <v>#REF!</v>
      </c>
      <c r="CV35" t="e">
        <f>#REF!+"$Cm=!$11"</f>
        <v>#REF!</v>
      </c>
      <c r="CW35" t="e">
        <f>#REF!+"$Cm=!$12"</f>
        <v>#REF!</v>
      </c>
      <c r="CX35" t="e">
        <f>#REF!+"$Cm=!$13"</f>
        <v>#REF!</v>
      </c>
      <c r="CY35" t="e">
        <f>#REF!+"$Cm=!$14"</f>
        <v>#REF!</v>
      </c>
      <c r="CZ35" t="e">
        <f>#REF!+"$Cm=!$15"</f>
        <v>#REF!</v>
      </c>
      <c r="DA35" t="e">
        <f>#REF!+"$Cm=!$16"</f>
        <v>#REF!</v>
      </c>
      <c r="DB35" t="e">
        <f>#REF!+"$Cm=!$17"</f>
        <v>#REF!</v>
      </c>
      <c r="DC35" t="e">
        <f>#REF!+"$Cm=!$18"</f>
        <v>#REF!</v>
      </c>
      <c r="DD35" t="e">
        <f>#REF!+"$Cm=!$19"</f>
        <v>#REF!</v>
      </c>
      <c r="DE35" t="e">
        <f>#REF!+"$Cm=!$1:"</f>
        <v>#REF!</v>
      </c>
      <c r="DF35" t="e">
        <f>#REF!+"$Cm=!$1;"</f>
        <v>#REF!</v>
      </c>
      <c r="DG35" t="e">
        <f>#REF!+"$Cm=!$1&lt;"</f>
        <v>#REF!</v>
      </c>
      <c r="DH35" t="e">
        <f>#REF!+"$Cm=!$1="</f>
        <v>#REF!</v>
      </c>
      <c r="DI35" t="e">
        <f>#REF!+"$Cm=!$1&gt;"</f>
        <v>#REF!</v>
      </c>
      <c r="DJ35" t="e">
        <f>#REF!+"$Cm=!$1?"</f>
        <v>#REF!</v>
      </c>
      <c r="DK35" t="e">
        <f>#REF!+"$Cm=!$1@"</f>
        <v>#REF!</v>
      </c>
      <c r="DL35" t="e">
        <f>#REF!+"$Cm=!$1A"</f>
        <v>#REF!</v>
      </c>
      <c r="DM35" t="e">
        <f>#REF!+"$Cm=!$1B"</f>
        <v>#REF!</v>
      </c>
      <c r="DN35" t="e">
        <f>#REF!+"$Cm=!$1C"</f>
        <v>#REF!</v>
      </c>
      <c r="DO35" t="e">
        <f>#REF!+"$Cm=!$1D"</f>
        <v>#REF!</v>
      </c>
      <c r="DP35" t="e">
        <f>#REF!+"$Cm=!$1E"</f>
        <v>#REF!</v>
      </c>
      <c r="DQ35" t="e">
        <f>#REF!+"$Cm=!$1F"</f>
        <v>#REF!</v>
      </c>
      <c r="DR35" t="e">
        <f>#REF!+"$Cm=!$1G"</f>
        <v>#REF!</v>
      </c>
      <c r="DS35" t="e">
        <f>#REF!+"$Cm=!$1H"</f>
        <v>#REF!</v>
      </c>
      <c r="DT35" t="e">
        <f>#REF!+"$Cm=!$1I"</f>
        <v>#REF!</v>
      </c>
      <c r="DU35" t="e">
        <f>#REF!+"$Cm=!$1J"</f>
        <v>#REF!</v>
      </c>
      <c r="DV35" t="e">
        <f>#REF!+"$Cm=!$1K"</f>
        <v>#REF!</v>
      </c>
      <c r="DW35" t="e">
        <f>#REF!+"$Cm=!$1L"</f>
        <v>#REF!</v>
      </c>
      <c r="DX35" t="e">
        <f>#REF!+"$Cm=!$1M"</f>
        <v>#REF!</v>
      </c>
      <c r="DY35" t="e">
        <f>#REF!+"$Cm=!$1N"</f>
        <v>#REF!</v>
      </c>
      <c r="DZ35" t="e">
        <f>#REF!+"$Cm=!$1O"</f>
        <v>#REF!</v>
      </c>
      <c r="EA35" t="e">
        <f>#REF!+"$Cm=!$1P"</f>
        <v>#REF!</v>
      </c>
      <c r="EB35" t="e">
        <f>#REF!+"$Cm=!$1Q"</f>
        <v>#REF!</v>
      </c>
      <c r="EC35" t="e">
        <f>#REF!+"$Cm=!$1R"</f>
        <v>#REF!</v>
      </c>
      <c r="ED35" t="e">
        <f>#REF!+"$Cm=!$1S"</f>
        <v>#REF!</v>
      </c>
      <c r="EE35" t="e">
        <f>#REF!+"$Cm=!$1T"</f>
        <v>#REF!</v>
      </c>
      <c r="EF35" t="e">
        <f>#REF!+"$Cm=!$1U"</f>
        <v>#REF!</v>
      </c>
      <c r="EG35" t="e">
        <f>#REF!+"$Cm=!$1V"</f>
        <v>#REF!</v>
      </c>
      <c r="EH35" t="e">
        <f>#REF!+"$Cm=!$1W"</f>
        <v>#REF!</v>
      </c>
      <c r="EI35" t="e">
        <f>#REF!+"$Cm=!$1X"</f>
        <v>#REF!</v>
      </c>
      <c r="EJ35" t="e">
        <f>#REF!+"$Cm=!$1Y"</f>
        <v>#REF!</v>
      </c>
      <c r="EK35" t="e">
        <f>#REF!+"$Cm=!$1Z"</f>
        <v>#REF!</v>
      </c>
      <c r="EL35" t="e">
        <f>#REF!+"$Cm=!$1["</f>
        <v>#REF!</v>
      </c>
      <c r="EM35" t="e">
        <f>#REF!+"$Cm=!$1\"</f>
        <v>#REF!</v>
      </c>
      <c r="EN35" t="e">
        <f>#REF!+"$Cm=!$1]"</f>
        <v>#REF!</v>
      </c>
      <c r="EO35" t="e">
        <f>#REF!+"$Cm=!$1^"</f>
        <v>#REF!</v>
      </c>
      <c r="EP35" t="e">
        <f>#REF!+"$Cm=!$1_"</f>
        <v>#REF!</v>
      </c>
      <c r="EQ35" t="e">
        <f>#REF!+"$Cm=!$1`"</f>
        <v>#REF!</v>
      </c>
      <c r="ER35" t="e">
        <f>#REF!+"$Cm=!$1a"</f>
        <v>#REF!</v>
      </c>
      <c r="ES35" t="e">
        <f>#REF!+"$Cm=!$1b"</f>
        <v>#REF!</v>
      </c>
      <c r="ET35" t="e">
        <f>#REF!+"$Cm=!$1c"</f>
        <v>#REF!</v>
      </c>
      <c r="EU35" t="e">
        <f>#REF!+"$Cm=!$1d"</f>
        <v>#REF!</v>
      </c>
      <c r="EV35" t="e">
        <f>#REF!+"$Cm=!$1e"</f>
        <v>#REF!</v>
      </c>
      <c r="EW35" t="e">
        <f>#REF!+"$Cm=!$1f"</f>
        <v>#REF!</v>
      </c>
      <c r="EX35" t="e">
        <f>#REF!+"$Cm=!$1g"</f>
        <v>#REF!</v>
      </c>
      <c r="EY35" t="e">
        <f>#REF!+"$Cm=!$1h"</f>
        <v>#REF!</v>
      </c>
      <c r="EZ35" t="e">
        <f>#REF!+"$Cm=!$1i"</f>
        <v>#REF!</v>
      </c>
      <c r="FA35" t="e">
        <f>#REF!+"$Cm=!$1j"</f>
        <v>#REF!</v>
      </c>
      <c r="FB35" t="e">
        <f>#REF!+"$Cm=!$1k"</f>
        <v>#REF!</v>
      </c>
      <c r="FC35" t="e">
        <f>#REF!+"$Cm=!$1l"</f>
        <v>#REF!</v>
      </c>
      <c r="FD35" t="e">
        <f>#REF!+"$Cm=!$1m"</f>
        <v>#REF!</v>
      </c>
      <c r="FE35" t="e">
        <f>#REF!+"$Cm=!$1n"</f>
        <v>#REF!</v>
      </c>
      <c r="FF35" t="e">
        <f>#REF!+"$Cm=!$1o"</f>
        <v>#REF!</v>
      </c>
      <c r="FG35" t="e">
        <f>#REF!+"$Cm=!$1p"</f>
        <v>#REF!</v>
      </c>
      <c r="FH35" t="e">
        <f>#REF!+"$Cm=!$1q"</f>
        <v>#REF!</v>
      </c>
      <c r="FI35" t="e">
        <f>#REF!+"$Cm=!$1r"</f>
        <v>#REF!</v>
      </c>
      <c r="FJ35" t="e">
        <f>#REF!+"$Cm=!$1s"</f>
        <v>#REF!</v>
      </c>
      <c r="FK35" t="e">
        <f>#REF!+"$Cm=!$1t"</f>
        <v>#REF!</v>
      </c>
      <c r="FL35" t="e">
        <f>#REF!+"$Cm=!$1u"</f>
        <v>#REF!</v>
      </c>
      <c r="FM35" t="e">
        <f>#REF!+"$Cm=!$1v"</f>
        <v>#REF!</v>
      </c>
      <c r="FN35" t="e">
        <f>#REF!+"$Cm=!$1w"</f>
        <v>#REF!</v>
      </c>
      <c r="FO35" t="e">
        <f>#REF!+"$Cm=!$1x"</f>
        <v>#REF!</v>
      </c>
      <c r="FP35" t="e">
        <f>#REF!+"$Cm=!$1y"</f>
        <v>#REF!</v>
      </c>
      <c r="FQ35" t="e">
        <f>#REF!+"$Cm=!$1z"</f>
        <v>#REF!</v>
      </c>
      <c r="FR35" t="e">
        <f>#REF!+"$Cm=!$1{"</f>
        <v>#REF!</v>
      </c>
      <c r="FS35" t="e">
        <f>#REF!+"$Cm=!$1|"</f>
        <v>#REF!</v>
      </c>
      <c r="FT35" t="e">
        <f>#REF!+"$Cm=!$1}"</f>
        <v>#REF!</v>
      </c>
      <c r="FU35" t="e">
        <f>#REF!+"$Cm=!$1~"</f>
        <v>#REF!</v>
      </c>
      <c r="FV35" t="e">
        <f>#REF!+"$Cm=!$2#"</f>
        <v>#REF!</v>
      </c>
      <c r="FW35" t="e">
        <f>#REF!+"$Cm=!$2$"</f>
        <v>#REF!</v>
      </c>
      <c r="FX35" t="e">
        <f>#REF!+"$Cm=!$2%"</f>
        <v>#REF!</v>
      </c>
      <c r="FY35" t="e">
        <f>#REF!+"$Cm=!$2&amp;"</f>
        <v>#REF!</v>
      </c>
      <c r="FZ35" t="e">
        <f>#REF!+"$Cm=!$2'"</f>
        <v>#REF!</v>
      </c>
      <c r="GA35" t="e">
        <f>#REF!+"$Cm=!$2("</f>
        <v>#REF!</v>
      </c>
      <c r="GB35" t="e">
        <f>#REF!+"$Cm=!$2)"</f>
        <v>#REF!</v>
      </c>
      <c r="GC35" t="e">
        <f>#REF!+"$Cm=!$2."</f>
        <v>#REF!</v>
      </c>
      <c r="GD35" t="e">
        <f>#REF!+"$Cm=!$2/"</f>
        <v>#REF!</v>
      </c>
      <c r="GE35" t="e">
        <f>#REF!+"$Cm=!$20"</f>
        <v>#REF!</v>
      </c>
      <c r="GF35" t="e">
        <f>#REF!+"$Cm=!$21"</f>
        <v>#REF!</v>
      </c>
      <c r="GG35" t="e">
        <f>#REF!+"$Cm=!$22"</f>
        <v>#REF!</v>
      </c>
      <c r="GH35" t="e">
        <f>#REF!+"$Cm=!$23"</f>
        <v>#REF!</v>
      </c>
      <c r="GI35" t="e">
        <f>#REF!+"$Cm=!$24"</f>
        <v>#REF!</v>
      </c>
      <c r="GJ35" t="e">
        <f>#REF!+"$Cm=!$25"</f>
        <v>#REF!</v>
      </c>
      <c r="GK35" t="e">
        <f>#REF!+"$Cm=!$26"</f>
        <v>#REF!</v>
      </c>
      <c r="GL35" t="e">
        <f>#REF!+"$Cm=!$27"</f>
        <v>#REF!</v>
      </c>
      <c r="GM35" t="e">
        <f>#REF!+"$Cm=!$28"</f>
        <v>#REF!</v>
      </c>
      <c r="GN35" t="e">
        <f>#REF!+"$Cm=!$29"</f>
        <v>#REF!</v>
      </c>
      <c r="GO35" t="e">
        <f>#REF!+"$Cm=!$2:"</f>
        <v>#REF!</v>
      </c>
      <c r="GP35" t="e">
        <f>#REF!+"$Cm=!$2;"</f>
        <v>#REF!</v>
      </c>
      <c r="GQ35" t="e">
        <f>#REF!+"$Cm=!$2&lt;"</f>
        <v>#REF!</v>
      </c>
      <c r="GR35" t="e">
        <f>#REF!+"$Cm=!$2="</f>
        <v>#REF!</v>
      </c>
      <c r="GS35" t="e">
        <f>#REF!+"$Cm=!$2&gt;"</f>
        <v>#REF!</v>
      </c>
      <c r="GT35" t="e">
        <f>#REF!+"$Cm=!$2?"</f>
        <v>#REF!</v>
      </c>
      <c r="GU35" t="e">
        <f>#REF!+"$Cm=!$2@"</f>
        <v>#REF!</v>
      </c>
      <c r="GV35" t="e">
        <f>#REF!+"$Cm=!$2A"</f>
        <v>#REF!</v>
      </c>
      <c r="GW35" t="e">
        <f>#REF!+"$Cm=!$2B"</f>
        <v>#REF!</v>
      </c>
      <c r="GX35" t="e">
        <f>#REF!+"$Cm=!$2C"</f>
        <v>#REF!</v>
      </c>
      <c r="GY35" t="e">
        <f>#REF!+"$Cm=!$2D"</f>
        <v>#REF!</v>
      </c>
      <c r="GZ35" t="e">
        <f>#REF!+"$Cm=!$2E"</f>
        <v>#REF!</v>
      </c>
      <c r="HA35" t="e">
        <f>#REF!+"$Cm=!$2F"</f>
        <v>#REF!</v>
      </c>
      <c r="HB35" t="e">
        <f>#REF!+"$Cm=!$2G"</f>
        <v>#REF!</v>
      </c>
      <c r="HC35" t="e">
        <f>#REF!+"$Cm=!$2H"</f>
        <v>#REF!</v>
      </c>
      <c r="HD35" t="e">
        <f>#REF!+"$Cm=!$2I"</f>
        <v>#REF!</v>
      </c>
      <c r="HE35" t="e">
        <f>#REF!+"$Cm=!$2J"</f>
        <v>#REF!</v>
      </c>
      <c r="HF35" t="e">
        <f>#REF!+"$Cm=!$2K"</f>
        <v>#REF!</v>
      </c>
      <c r="HG35" t="e">
        <f>#REF!+"$Cm=!$2L"</f>
        <v>#REF!</v>
      </c>
      <c r="HH35" t="e">
        <f>#REF!+"$Cm=!$2M"</f>
        <v>#REF!</v>
      </c>
      <c r="HI35" t="e">
        <f>#REF!+"$Cm=!$2N"</f>
        <v>#REF!</v>
      </c>
      <c r="HJ35" t="e">
        <f>#REF!+"$Cm=!$2O"</f>
        <v>#REF!</v>
      </c>
      <c r="HK35" t="e">
        <f>#REF!+"$Cm=!$2P"</f>
        <v>#REF!</v>
      </c>
      <c r="HL35" t="e">
        <f>#REF!+"$Cm=!$2Q"</f>
        <v>#REF!</v>
      </c>
      <c r="HM35" t="e">
        <f>#REF!+"$Cm=!$2R"</f>
        <v>#REF!</v>
      </c>
      <c r="HN35" t="e">
        <f>#REF!+"$Cm=!$2S"</f>
        <v>#REF!</v>
      </c>
      <c r="HO35" t="e">
        <f>#REF!+"$Cm=!$2T"</f>
        <v>#REF!</v>
      </c>
      <c r="HP35" t="e">
        <f>#REF!+"$Cm=!$2U"</f>
        <v>#REF!</v>
      </c>
      <c r="HQ35" t="e">
        <f>#REF!+"$Cm=!$2V"</f>
        <v>#REF!</v>
      </c>
      <c r="HR35" t="e">
        <f>#REF!+"$Cm=!$2W"</f>
        <v>#REF!</v>
      </c>
      <c r="HS35" t="e">
        <f>#REF!+"$Cm=!$2X"</f>
        <v>#REF!</v>
      </c>
      <c r="HT35" t="e">
        <f>#REF!+"$Cm=!$2Y"</f>
        <v>#REF!</v>
      </c>
      <c r="HU35" t="e">
        <f>#REF!+"$Cm=!$2Z"</f>
        <v>#REF!</v>
      </c>
      <c r="HV35" t="e">
        <f>#REF!+"$Cm=!$2["</f>
        <v>#REF!</v>
      </c>
      <c r="HW35" t="e">
        <f>#REF!+"$Cm=!$2\"</f>
        <v>#REF!</v>
      </c>
      <c r="HX35" t="e">
        <f>#REF!+"$Cm=!$2]"</f>
        <v>#REF!</v>
      </c>
      <c r="HY35" t="e">
        <f>#REF!+"$Cm=!$2^"</f>
        <v>#REF!</v>
      </c>
      <c r="HZ35" t="e">
        <f>#REF!+"$Cm=!$2_"</f>
        <v>#REF!</v>
      </c>
      <c r="IA35" t="e">
        <f>#REF!+"$Cm=!$2`"</f>
        <v>#REF!</v>
      </c>
      <c r="IB35" t="e">
        <f>#REF!+"$Cm=!$2a"</f>
        <v>#REF!</v>
      </c>
      <c r="IC35" t="e">
        <f>#REF!+"$Cm=!$2b"</f>
        <v>#REF!</v>
      </c>
      <c r="ID35" t="e">
        <f>#REF!+"$Cm=!$2c"</f>
        <v>#REF!</v>
      </c>
      <c r="IE35" t="e">
        <f>#REF!+"$Cm=!$2d"</f>
        <v>#REF!</v>
      </c>
      <c r="IF35" t="e">
        <f>#REF!+"$Cm=!$2e"</f>
        <v>#REF!</v>
      </c>
      <c r="IG35" t="e">
        <f>#REF!+"$Cm=!$2f"</f>
        <v>#REF!</v>
      </c>
      <c r="IH35" t="e">
        <f>#REF!+"$Cm=!$2g"</f>
        <v>#REF!</v>
      </c>
      <c r="II35" t="e">
        <f>#REF!+"$Cm=!$2h"</f>
        <v>#REF!</v>
      </c>
      <c r="IJ35" t="e">
        <f>#REF!+"$Cm=!$2i"</f>
        <v>#REF!</v>
      </c>
      <c r="IK35" t="e">
        <f>#REF!+"$Cm=!$2j"</f>
        <v>#REF!</v>
      </c>
      <c r="IL35" t="e">
        <f>#REF!+"$Cm=!$2k"</f>
        <v>#REF!</v>
      </c>
      <c r="IM35" t="e">
        <f>#REF!+"$Cm=!$2l"</f>
        <v>#REF!</v>
      </c>
      <c r="IN35" t="e">
        <f>#REF!+"$Cm=!$2m"</f>
        <v>#REF!</v>
      </c>
      <c r="IO35" t="e">
        <f>#REF!+"$Cm=!$2n"</f>
        <v>#REF!</v>
      </c>
      <c r="IP35" t="e">
        <f>#REF!+"$Cm=!$2o"</f>
        <v>#REF!</v>
      </c>
      <c r="IQ35" t="e">
        <f>#REF!+"$Cm=!$2p"</f>
        <v>#REF!</v>
      </c>
      <c r="IR35" t="e">
        <f>#REF!+"$Cm=!$2q"</f>
        <v>#REF!</v>
      </c>
      <c r="IS35" t="e">
        <f>#REF!+"$Cm=!$2r"</f>
        <v>#REF!</v>
      </c>
      <c r="IT35" t="e">
        <f>#REF!+"$Cm=!$2s"</f>
        <v>#REF!</v>
      </c>
      <c r="IU35" t="e">
        <f>#REF!+"$Cm=!$2t"</f>
        <v>#REF!</v>
      </c>
      <c r="IV35" t="e">
        <f>#REF!+"$Cm=!$2u"</f>
        <v>#REF!</v>
      </c>
    </row>
    <row r="36" spans="6:256">
      <c r="F36" t="e">
        <f>#REF!+"$Cm=!$2v"</f>
        <v>#REF!</v>
      </c>
      <c r="G36" t="e">
        <f>#REF!+"$Cm=!$2w"</f>
        <v>#REF!</v>
      </c>
      <c r="H36" t="e">
        <f>#REF!+"$Cm=!$2x"</f>
        <v>#REF!</v>
      </c>
      <c r="I36" t="e">
        <f>#REF!+"$Cm=!$2y"</f>
        <v>#REF!</v>
      </c>
      <c r="J36" t="e">
        <f>#REF!+"$Cm=!$2z"</f>
        <v>#REF!</v>
      </c>
      <c r="K36" t="e">
        <f>#REF!+"$Cm=!$2{"</f>
        <v>#REF!</v>
      </c>
      <c r="L36" t="e">
        <f>#REF!+"$Cm=!$2|"</f>
        <v>#REF!</v>
      </c>
      <c r="M36" t="e">
        <f>#REF!+"$Cm=!$2}"</f>
        <v>#REF!</v>
      </c>
      <c r="N36" t="e">
        <f>#REF!+"$Cm=!$2~"</f>
        <v>#REF!</v>
      </c>
      <c r="O36" t="e">
        <f>#REF!+"$Cm=!$3#"</f>
        <v>#REF!</v>
      </c>
      <c r="P36" t="e">
        <f>#REF!+"$Cm=!$3$"</f>
        <v>#REF!</v>
      </c>
      <c r="Q36" t="e">
        <f>#REF!+"$Cm=!$3%"</f>
        <v>#REF!</v>
      </c>
      <c r="R36" t="e">
        <f>#REF!+"$Cm=!$3&amp;"</f>
        <v>#REF!</v>
      </c>
      <c r="S36" t="e">
        <f>#REF!+"$Cm=!$3'"</f>
        <v>#REF!</v>
      </c>
      <c r="T36" t="e">
        <f>#REF!+"$Cm=!$3("</f>
        <v>#REF!</v>
      </c>
      <c r="U36" t="e">
        <f>#REF!+"$Cm=!$3)"</f>
        <v>#REF!</v>
      </c>
      <c r="V36" t="e">
        <f>#REF!+"$Cm=!$3."</f>
        <v>#REF!</v>
      </c>
      <c r="W36" t="e">
        <f>#REF!+"$Cm=!$3/"</f>
        <v>#REF!</v>
      </c>
      <c r="X36" t="e">
        <f>#REF!+"$Cm=!$30"</f>
        <v>#REF!</v>
      </c>
      <c r="Y36" t="e">
        <f>#REF!+"$Cm=!$31"</f>
        <v>#REF!</v>
      </c>
      <c r="Z36" t="e">
        <f>#REF!+"$Cm=!$32"</f>
        <v>#REF!</v>
      </c>
      <c r="AA36" t="e">
        <f>#REF!+"$Cm=!$33"</f>
        <v>#REF!</v>
      </c>
      <c r="AB36" t="e">
        <f>#REF!+"$Cm=!$34"</f>
        <v>#REF!</v>
      </c>
      <c r="AC36" t="e">
        <f>#REF!+"$Cm=!$35"</f>
        <v>#REF!</v>
      </c>
      <c r="AD36" t="e">
        <f>#REF!+"$Cm=!$36"</f>
        <v>#REF!</v>
      </c>
      <c r="AE36" t="e">
        <f>#REF!+"$Cm=!$37"</f>
        <v>#REF!</v>
      </c>
      <c r="AF36" t="e">
        <f>#REF!+"$Cm=!$38"</f>
        <v>#REF!</v>
      </c>
      <c r="AG36" t="e">
        <f>#REF!+"$Cm=!$39"</f>
        <v>#REF!</v>
      </c>
      <c r="AH36" t="e">
        <f>#REF!+"$Cm=!$3:"</f>
        <v>#REF!</v>
      </c>
      <c r="AI36" t="e">
        <f>#REF!+"$Cm=!$3;"</f>
        <v>#REF!</v>
      </c>
      <c r="AJ36" t="e">
        <f>#REF!+"$Cm=!$3&lt;"</f>
        <v>#REF!</v>
      </c>
      <c r="AK36" t="e">
        <f>#REF!+"$Cm=!$3="</f>
        <v>#REF!</v>
      </c>
      <c r="AL36" t="e">
        <f>#REF!+"$Cm=!$3&gt;"</f>
        <v>#REF!</v>
      </c>
      <c r="AM36" t="e">
        <f>#REF!+"$Cm=!$3?"</f>
        <v>#REF!</v>
      </c>
      <c r="AN36" t="e">
        <f>#REF!+"$Cm=!$3@"</f>
        <v>#REF!</v>
      </c>
      <c r="AO36" t="e">
        <f>#REF!+"$Cm=!$3A"</f>
        <v>#REF!</v>
      </c>
      <c r="AP36" t="e">
        <f>#REF!+"$Cm=!$3B"</f>
        <v>#REF!</v>
      </c>
      <c r="AQ36" t="e">
        <f>#REF!+"$Cm=!$3C"</f>
        <v>#REF!</v>
      </c>
      <c r="AR36" t="e">
        <f>#REF!+"$Cm=!$3D"</f>
        <v>#REF!</v>
      </c>
      <c r="AS36" t="e">
        <f>#REF!+"$Cm=!$3E"</f>
        <v>#REF!</v>
      </c>
      <c r="AT36" t="e">
        <f>#REF!+"$Cm=!$3F"</f>
        <v>#REF!</v>
      </c>
      <c r="AU36" t="e">
        <f>#REF!+"$Cm=!$3G"</f>
        <v>#REF!</v>
      </c>
      <c r="AV36" t="e">
        <f>#REF!+"$Cm=!$3H"</f>
        <v>#REF!</v>
      </c>
      <c r="AW36" t="e">
        <f>#REF!+"$Cm=!$3I"</f>
        <v>#REF!</v>
      </c>
      <c r="AX36" t="e">
        <f>#REF!+"$Cm=!$3J"</f>
        <v>#REF!</v>
      </c>
      <c r="AY36" t="e">
        <f>#REF!+"$Cm=!$3K"</f>
        <v>#REF!</v>
      </c>
      <c r="AZ36" t="e">
        <f>#REF!+"$Cm=!$3L"</f>
        <v>#REF!</v>
      </c>
      <c r="BA36" t="e">
        <f>#REF!+"$Cm=!$3M"</f>
        <v>#REF!</v>
      </c>
      <c r="BB36" t="e">
        <f>#REF!+"$Cm=!$3N"</f>
        <v>#REF!</v>
      </c>
      <c r="BC36" t="e">
        <f>#REF!+"$Cm=!$3O"</f>
        <v>#REF!</v>
      </c>
      <c r="BD36" t="e">
        <f>#REF!+"$Cm=!$3P"</f>
        <v>#REF!</v>
      </c>
      <c r="BE36" t="e">
        <f>#REF!+"$Cm=!$3Q"</f>
        <v>#REF!</v>
      </c>
      <c r="BF36" t="e">
        <f>#REF!+"$Cm=!$3R"</f>
        <v>#REF!</v>
      </c>
      <c r="BG36" t="e">
        <f>#REF!+"$Cm=!$3S"</f>
        <v>#REF!</v>
      </c>
      <c r="BH36" t="e">
        <f>#REF!+"$Cm=!$3T"</f>
        <v>#REF!</v>
      </c>
      <c r="BI36" t="e">
        <f>#REF!+"$Cm=!$3U"</f>
        <v>#REF!</v>
      </c>
      <c r="BJ36" t="e">
        <f>#REF!+"$Cm=!$3V"</f>
        <v>#REF!</v>
      </c>
      <c r="BK36" t="e">
        <f>#REF!+"$Cm=!$3W"</f>
        <v>#REF!</v>
      </c>
      <c r="BL36" t="e">
        <f>#REF!+"$Cm=!$3X"</f>
        <v>#REF!</v>
      </c>
      <c r="BM36" t="e">
        <f>#REF!+"$Cm=!$3Y"</f>
        <v>#REF!</v>
      </c>
      <c r="BN36" t="e">
        <f>#REF!+"$Cm=!$3Z"</f>
        <v>#REF!</v>
      </c>
      <c r="BO36" t="e">
        <f>#REF!+"$Cm=!$3["</f>
        <v>#REF!</v>
      </c>
      <c r="BP36" t="e">
        <f>#REF!+"$Cm=!$3\"</f>
        <v>#REF!</v>
      </c>
      <c r="BQ36" t="e">
        <f>#REF!+"$Cm=!$3]"</f>
        <v>#REF!</v>
      </c>
      <c r="BR36" t="e">
        <f>#REF!+"$Cm=!$3^"</f>
        <v>#REF!</v>
      </c>
      <c r="BS36" t="e">
        <f>#REF!+"$Cm=!$3_"</f>
        <v>#REF!</v>
      </c>
      <c r="BT36" t="e">
        <f>#REF!+"$Cm=!$3`"</f>
        <v>#REF!</v>
      </c>
      <c r="BU36" t="e">
        <f>#REF!+"$Cm=!$3a"</f>
        <v>#REF!</v>
      </c>
      <c r="BV36" t="e">
        <f>#REF!+"$Cm=!$3b"</f>
        <v>#REF!</v>
      </c>
      <c r="BW36" t="e">
        <f>#REF!+"$Cm=!$3c"</f>
        <v>#REF!</v>
      </c>
      <c r="BX36" t="e">
        <f>#REF!+"$Cm=!$3d"</f>
        <v>#REF!</v>
      </c>
      <c r="BY36" t="e">
        <f>#REF!+"$Cm=!$3e"</f>
        <v>#REF!</v>
      </c>
      <c r="BZ36" t="e">
        <f>#REF!+"$Cm=!$3f"</f>
        <v>#REF!</v>
      </c>
      <c r="CA36" t="e">
        <f>#REF!+"$Cm=!$3g"</f>
        <v>#REF!</v>
      </c>
      <c r="CB36" t="e">
        <f>#REF!+"$Cm=!$3h"</f>
        <v>#REF!</v>
      </c>
      <c r="CC36" t="e">
        <f>#REF!+"$Cm=!$3i"</f>
        <v>#REF!</v>
      </c>
      <c r="CD36" t="e">
        <f>#REF!+"$Cm=!$3j"</f>
        <v>#REF!</v>
      </c>
      <c r="CE36" t="e">
        <f>#REF!+"$Cm=!$3k"</f>
        <v>#REF!</v>
      </c>
      <c r="CF36" t="e">
        <f>#REF!+"$Cm=!$3l"</f>
        <v>#REF!</v>
      </c>
      <c r="CG36" t="e">
        <f>#REF!+"$Cm=!$3m"</f>
        <v>#REF!</v>
      </c>
      <c r="CH36" t="e">
        <f>#REF!+"$Cm=!$3n"</f>
        <v>#REF!</v>
      </c>
      <c r="CI36" t="e">
        <f>#REF!+"$Cm=!$3o"</f>
        <v>#REF!</v>
      </c>
      <c r="CJ36" t="e">
        <f>#REF!+"$Cm=!$3p"</f>
        <v>#REF!</v>
      </c>
      <c r="CK36" t="e">
        <f>#REF!+"$Cm=!$3q"</f>
        <v>#REF!</v>
      </c>
      <c r="CL36" t="e">
        <f>#REF!+"$Cm=!$3r"</f>
        <v>#REF!</v>
      </c>
      <c r="CM36" t="e">
        <f>#REF!+"$Cm=!$3s"</f>
        <v>#REF!</v>
      </c>
      <c r="CN36" t="e">
        <f>#REF!+"$Cm=!$3t"</f>
        <v>#REF!</v>
      </c>
      <c r="CO36" t="e">
        <f>#REF!+"$Cm=!$3u"</f>
        <v>#REF!</v>
      </c>
      <c r="CP36" t="e">
        <f>#REF!+"$Cm=!$3v"</f>
        <v>#REF!</v>
      </c>
      <c r="CQ36" t="e">
        <f>#REF!+"$Cm=!$3w"</f>
        <v>#REF!</v>
      </c>
      <c r="CR36" t="e">
        <f>#REF!+"$Cm=!$3x"</f>
        <v>#REF!</v>
      </c>
      <c r="CS36" t="e">
        <f>#REF!+"$Cm=!$3y"</f>
        <v>#REF!</v>
      </c>
      <c r="CT36" t="e">
        <f>#REF!+"$Cm=!$3z"</f>
        <v>#REF!</v>
      </c>
      <c r="CU36" t="e">
        <f>#REF!+"$Cm=!$3{"</f>
        <v>#REF!</v>
      </c>
      <c r="CV36" t="e">
        <f>#REF!+"$Cm=!$3|"</f>
        <v>#REF!</v>
      </c>
      <c r="CW36" t="e">
        <f>#REF!+"$Cm=!$3}"</f>
        <v>#REF!</v>
      </c>
      <c r="CX36" t="e">
        <f>#REF!+"$Cm=!$3~"</f>
        <v>#REF!</v>
      </c>
      <c r="CY36" t="e">
        <f>#REF!+"$Cm=!$4#"</f>
        <v>#REF!</v>
      </c>
      <c r="CZ36" t="e">
        <f>#REF!+"$Cm=!$4$"</f>
        <v>#REF!</v>
      </c>
      <c r="DA36" t="e">
        <f>#REF!+"$Cm=!$4%"</f>
        <v>#REF!</v>
      </c>
      <c r="DB36" t="e">
        <f>#REF!+"$Cm=!$4&amp;"</f>
        <v>#REF!</v>
      </c>
      <c r="DC36" t="e">
        <f>#REF!+"$Cm=!$4'"</f>
        <v>#REF!</v>
      </c>
      <c r="DD36" t="e">
        <f>#REF!+"$Cm=!$4("</f>
        <v>#REF!</v>
      </c>
      <c r="DE36" t="e">
        <f>#REF!+"$Cm=!$4)"</f>
        <v>#REF!</v>
      </c>
      <c r="DF36" t="e">
        <f>#REF!+"$Cm=!$4."</f>
        <v>#REF!</v>
      </c>
      <c r="DG36" t="e">
        <f>#REF!+"$Cm=!$4/"</f>
        <v>#REF!</v>
      </c>
      <c r="DH36" t="e">
        <f>#REF!+"$Cm=!$40"</f>
        <v>#REF!</v>
      </c>
      <c r="DI36" t="e">
        <f>#REF!+"$Cm=!$41"</f>
        <v>#REF!</v>
      </c>
      <c r="DJ36" t="e">
        <f>#REF!+"$Cm=!$42"</f>
        <v>#REF!</v>
      </c>
      <c r="DK36" t="e">
        <f>#REF!+"$Cm=!$43"</f>
        <v>#REF!</v>
      </c>
      <c r="DL36" t="e">
        <f>#REF!+"$Cm=!$44"</f>
        <v>#REF!</v>
      </c>
      <c r="DM36" t="e">
        <f>#REF!+"$Cm=!$45"</f>
        <v>#REF!</v>
      </c>
      <c r="DN36" t="e">
        <f>#REF!+"$Cm=!$46"</f>
        <v>#REF!</v>
      </c>
      <c r="DO36" t="e">
        <f>#REF!+"$Cm=!$47"</f>
        <v>#REF!</v>
      </c>
      <c r="DP36" t="e">
        <f>#REF!+"$Cm=!$48"</f>
        <v>#REF!</v>
      </c>
      <c r="DQ36" t="e">
        <f>#REF!+"$Cm=!$49"</f>
        <v>#REF!</v>
      </c>
      <c r="DR36" t="e">
        <f>#REF!+"$Cm=!$4:"</f>
        <v>#REF!</v>
      </c>
      <c r="DS36" t="e">
        <f>#REF!+"$Cm=!$4;"</f>
        <v>#REF!</v>
      </c>
      <c r="DT36" t="e">
        <f>#REF!+"$Cm=!$4&lt;"</f>
        <v>#REF!</v>
      </c>
      <c r="DU36" t="e">
        <f>#REF!+"$Cm=!$4="</f>
        <v>#REF!</v>
      </c>
      <c r="DV36" t="e">
        <f>#REF!+"$Cm=!$4&gt;"</f>
        <v>#REF!</v>
      </c>
      <c r="DW36" t="e">
        <f>#REF!+"$Cm=!$4?"</f>
        <v>#REF!</v>
      </c>
      <c r="DX36" t="e">
        <f>#REF!+"$Cm=!$4@"</f>
        <v>#REF!</v>
      </c>
      <c r="DY36" t="e">
        <f>#REF!+"$Cm=!$4A"</f>
        <v>#REF!</v>
      </c>
      <c r="DZ36" t="e">
        <f>#REF!+"$Cm=!$4B"</f>
        <v>#REF!</v>
      </c>
      <c r="EA36" t="e">
        <f>#REF!+"$Cm=!$4C"</f>
        <v>#REF!</v>
      </c>
      <c r="EB36" t="e">
        <f>#REF!+"$Cm=!$4D"</f>
        <v>#REF!</v>
      </c>
      <c r="EC36" t="e">
        <f>#REF!+"$Cm=!$4E"</f>
        <v>#REF!</v>
      </c>
      <c r="ED36" t="e">
        <f>#REF!+"$Cm=!$4F"</f>
        <v>#REF!</v>
      </c>
      <c r="EE36" t="e">
        <f>#REF!+"$Cm=!$4G"</f>
        <v>#REF!</v>
      </c>
      <c r="EF36" t="e">
        <f>#REF!+"$Cm=!$4H"</f>
        <v>#REF!</v>
      </c>
      <c r="EG36" t="e">
        <f>#REF!+"$Cm=!$4I"</f>
        <v>#REF!</v>
      </c>
      <c r="EH36" t="e">
        <f>#REF!+"$Cm=!$4J"</f>
        <v>#REF!</v>
      </c>
      <c r="EI36" t="e">
        <f>#REF!+"$Cm=!$4K"</f>
        <v>#REF!</v>
      </c>
      <c r="EJ36" t="e">
        <f>#REF!+"$Cm=!$4L"</f>
        <v>#REF!</v>
      </c>
      <c r="EK36" t="e">
        <f>#REF!+"$Cm=!$4M"</f>
        <v>#REF!</v>
      </c>
      <c r="EL36" t="e">
        <f>#REF!+"$Cm=!$4N"</f>
        <v>#REF!</v>
      </c>
      <c r="EM36" t="e">
        <f>#REF!+"$Cm=!$4O"</f>
        <v>#REF!</v>
      </c>
      <c r="EN36" t="e">
        <f>#REF!+"$Cm=!$4P"</f>
        <v>#REF!</v>
      </c>
      <c r="EO36" t="e">
        <f>#REF!+"$Cm=!$4Q"</f>
        <v>#REF!</v>
      </c>
      <c r="EP36" t="e">
        <f>#REF!+"$Cm=!$4R"</f>
        <v>#REF!</v>
      </c>
      <c r="EQ36" t="e">
        <f>#REF!+"$Cm=!$4S"</f>
        <v>#REF!</v>
      </c>
      <c r="ER36" t="e">
        <f>#REF!+"$Cm=!$4T"</f>
        <v>#REF!</v>
      </c>
      <c r="ES36" t="e">
        <f>#REF!+"$Cm=!$4U"</f>
        <v>#REF!</v>
      </c>
      <c r="ET36" t="e">
        <f>#REF!+"$Cm=!$4V"</f>
        <v>#REF!</v>
      </c>
      <c r="EU36" t="e">
        <f>#REF!+"$Cm=!$4W"</f>
        <v>#REF!</v>
      </c>
      <c r="EV36" t="e">
        <f>#REF!+"$Cm=!$4X"</f>
        <v>#REF!</v>
      </c>
      <c r="EW36" t="e">
        <f>#REF!+"$Cm=!$4Y"</f>
        <v>#REF!</v>
      </c>
      <c r="EX36" t="e">
        <f>#REF!+"$Cm=!$4Z"</f>
        <v>#REF!</v>
      </c>
      <c r="EY36" t="e">
        <f>#REF!+"$Cm=!$4["</f>
        <v>#REF!</v>
      </c>
      <c r="EZ36" t="e">
        <f>#REF!+"$Cm=!$4\"</f>
        <v>#REF!</v>
      </c>
      <c r="FA36" t="e">
        <f>#REF!+"$Cm=!$4]"</f>
        <v>#REF!</v>
      </c>
      <c r="FB36" t="e">
        <f>#REF!+"$Cm=!$4^"</f>
        <v>#REF!</v>
      </c>
      <c r="FC36" t="e">
        <f>#REF!+"$Cm=!$4_"</f>
        <v>#REF!</v>
      </c>
      <c r="FD36" t="e">
        <f>#REF!+"$Cm=!$4`"</f>
        <v>#REF!</v>
      </c>
      <c r="FE36" t="e">
        <f>#REF!+"$Cm=!$4a"</f>
        <v>#REF!</v>
      </c>
      <c r="FF36" t="e">
        <f>#REF!+"$Cm=!$4b"</f>
        <v>#REF!</v>
      </c>
      <c r="FG36" t="e">
        <f>#REF!+"$Cm=!$4c"</f>
        <v>#REF!</v>
      </c>
      <c r="FH36" t="e">
        <f>#REF!+"$Cm=!$4d"</f>
        <v>#REF!</v>
      </c>
      <c r="FI36" t="e">
        <f>#REF!+"$Cm=!$4e"</f>
        <v>#REF!</v>
      </c>
      <c r="FJ36" t="e">
        <f>#REF!+"$Cm=!$4f"</f>
        <v>#REF!</v>
      </c>
      <c r="FK36" t="e">
        <f>#REF!+"$Cm=!$4g"</f>
        <v>#REF!</v>
      </c>
      <c r="FL36" t="e">
        <f>#REF!+"$Cm=!$4h"</f>
        <v>#REF!</v>
      </c>
      <c r="FM36" t="e">
        <f>#REF!+"$Cm=!$4i"</f>
        <v>#REF!</v>
      </c>
      <c r="FN36" t="e">
        <f>#REF!+"$Cm=!$4j"</f>
        <v>#REF!</v>
      </c>
      <c r="FO36" t="e">
        <f>#REF!+"$Cm=!$4k"</f>
        <v>#REF!</v>
      </c>
      <c r="FP36" t="e">
        <f>#REF!+"$Cm=!$4l"</f>
        <v>#REF!</v>
      </c>
      <c r="FQ36" t="e">
        <f>#REF!+"$Cm=!$4m"</f>
        <v>#REF!</v>
      </c>
      <c r="FR36" t="e">
        <f>#REF!+"$Cm=!$4n"</f>
        <v>#REF!</v>
      </c>
      <c r="FS36" t="e">
        <f>#REF!+"$Cm=!$4o"</f>
        <v>#REF!</v>
      </c>
      <c r="FT36" t="e">
        <f>#REF!+"$Cm=!$4p"</f>
        <v>#REF!</v>
      </c>
      <c r="FU36" t="e">
        <f>#REF!+"$Cm=!$4q"</f>
        <v>#REF!</v>
      </c>
      <c r="FV36" t="e">
        <f>#REF!+"$Cm=!$4r"</f>
        <v>#REF!</v>
      </c>
      <c r="FW36" t="e">
        <f>#REF!+"$Cm=!$4s"</f>
        <v>#REF!</v>
      </c>
      <c r="FX36" t="e">
        <f>#REF!+"$Cm=!$4t"</f>
        <v>#REF!</v>
      </c>
      <c r="FY36" t="e">
        <f>#REF!+"$Cm=!$4u"</f>
        <v>#REF!</v>
      </c>
      <c r="FZ36" t="e">
        <f>#REF!+"$Cm=!$4v"</f>
        <v>#REF!</v>
      </c>
      <c r="GA36" t="e">
        <f>#REF!+"$Cm=!$4w"</f>
        <v>#REF!</v>
      </c>
      <c r="GB36" t="e">
        <f>#REF!+"$Cm=!$4x"</f>
        <v>#REF!</v>
      </c>
      <c r="GC36" t="e">
        <f>#REF!+"$Cm=!$4y"</f>
        <v>#REF!</v>
      </c>
      <c r="GD36" t="e">
        <f>#REF!+"$Cm=!$4z"</f>
        <v>#REF!</v>
      </c>
      <c r="GE36" t="e">
        <f>#REF!+"$Cm=!$4{"</f>
        <v>#REF!</v>
      </c>
      <c r="GF36" t="e">
        <f>#REF!+"$Cm=!$4|"</f>
        <v>#REF!</v>
      </c>
      <c r="GG36" t="e">
        <f>#REF!+"$Cm=!$4}"</f>
        <v>#REF!</v>
      </c>
      <c r="GH36" t="e">
        <f>#REF!+"$Cm=!$4~"</f>
        <v>#REF!</v>
      </c>
      <c r="GI36" t="e">
        <f>#REF!+"$Cm=!$5#"</f>
        <v>#REF!</v>
      </c>
      <c r="GJ36" t="e">
        <f>#REF!+"$Cm=!$5$"</f>
        <v>#REF!</v>
      </c>
      <c r="GK36" t="e">
        <f>#REF!+"$Cm=!$5%"</f>
        <v>#REF!</v>
      </c>
      <c r="GL36" t="e">
        <f>#REF!+"$Cm=!$5&amp;"</f>
        <v>#REF!</v>
      </c>
      <c r="GM36" t="e">
        <f>#REF!+"$Cm=!$5'"</f>
        <v>#REF!</v>
      </c>
      <c r="GN36" t="e">
        <f>#REF!+"$Cm=!$5("</f>
        <v>#REF!</v>
      </c>
      <c r="GO36" t="e">
        <f>#REF!+"$Cm=!$5)"</f>
        <v>#REF!</v>
      </c>
      <c r="GP36" t="e">
        <f>#REF!+"$Cm=!$5."</f>
        <v>#REF!</v>
      </c>
      <c r="GQ36" t="e">
        <f>#REF!+"$Cm=!$5/"</f>
        <v>#REF!</v>
      </c>
      <c r="GR36" t="e">
        <f>#REF!+"$Cm=!$50"</f>
        <v>#REF!</v>
      </c>
      <c r="GS36" t="e">
        <f>#REF!+"$Cm=!$51"</f>
        <v>#REF!</v>
      </c>
      <c r="GT36" t="e">
        <f>#REF!+"$Cm=!$52"</f>
        <v>#REF!</v>
      </c>
      <c r="GU36" t="e">
        <f>#REF!+"$Cm=!$53"</f>
        <v>#REF!</v>
      </c>
      <c r="GV36" t="e">
        <f>#REF!+"$Cm=!$54"</f>
        <v>#REF!</v>
      </c>
      <c r="GW36" t="e">
        <f>#REF!+"$Cm=!$55"</f>
        <v>#REF!</v>
      </c>
      <c r="GX36" t="e">
        <f>#REF!+"$Cm=!$56"</f>
        <v>#REF!</v>
      </c>
      <c r="GY36" t="e">
        <f>#REF!+"$Cm=!$57"</f>
        <v>#REF!</v>
      </c>
      <c r="GZ36" t="e">
        <f>#REF!+"$Cm=!$58"</f>
        <v>#REF!</v>
      </c>
      <c r="HA36" t="e">
        <f>#REF!+"$Cm=!$59"</f>
        <v>#REF!</v>
      </c>
      <c r="HB36" t="e">
        <f>#REF!+"$Cm=!$5:"</f>
        <v>#REF!</v>
      </c>
      <c r="HC36" t="e">
        <f>#REF!+"$Cm=!$5;"</f>
        <v>#REF!</v>
      </c>
      <c r="HD36" t="e">
        <f>#REF!+"$Cm=!$5&lt;"</f>
        <v>#REF!</v>
      </c>
      <c r="HE36" t="e">
        <f>#REF!+"$Cm=!$5="</f>
        <v>#REF!</v>
      </c>
      <c r="HF36" t="e">
        <f>#REF!+"$Cm=!$5&gt;"</f>
        <v>#REF!</v>
      </c>
      <c r="HG36" t="e">
        <f>#REF!+"$Cm=!$5?"</f>
        <v>#REF!</v>
      </c>
      <c r="HH36" t="e">
        <f>#REF!+"$Cm=!$5@"</f>
        <v>#REF!</v>
      </c>
      <c r="HI36" t="e">
        <f>#REF!+"$Cm=!$5A"</f>
        <v>#REF!</v>
      </c>
      <c r="HJ36" t="e">
        <f>#REF!+"$Cm=!$5B"</f>
        <v>#REF!</v>
      </c>
      <c r="HK36" t="e">
        <f>#REF!+"$Cm=!$5C"</f>
        <v>#REF!</v>
      </c>
      <c r="HL36" t="e">
        <f>#REF!+"$Cm=!$5D"</f>
        <v>#REF!</v>
      </c>
      <c r="HM36" t="e">
        <f>#REF!+"$Cm=!$5E"</f>
        <v>#REF!</v>
      </c>
      <c r="HN36" t="e">
        <f>#REF!+"$Cm=!$5F"</f>
        <v>#REF!</v>
      </c>
      <c r="HO36" t="e">
        <f>#REF!+"$Cm=!$5G"</f>
        <v>#REF!</v>
      </c>
      <c r="HP36" t="e">
        <f>#REF!+"$Cm=!$5H"</f>
        <v>#REF!</v>
      </c>
      <c r="HQ36" t="e">
        <f>#REF!+"$Cm=!$5I"</f>
        <v>#REF!</v>
      </c>
      <c r="HR36" t="e">
        <f>#REF!+"$Cm=!$5J"</f>
        <v>#REF!</v>
      </c>
      <c r="HS36" t="e">
        <f>#REF!+"$Cm=!$5K"</f>
        <v>#REF!</v>
      </c>
      <c r="HT36" t="e">
        <f>#REF!+"$Cm=!$5L"</f>
        <v>#REF!</v>
      </c>
      <c r="HU36" t="e">
        <f>#REF!+"$Cm=!$5M"</f>
        <v>#REF!</v>
      </c>
      <c r="HV36" t="e">
        <f>#REF!+"$Cm=!$5N"</f>
        <v>#REF!</v>
      </c>
      <c r="HW36" t="e">
        <f>#REF!+"$Cm=!$5O"</f>
        <v>#REF!</v>
      </c>
      <c r="HX36" t="e">
        <f>#REF!+"$Cm=!$5P"</f>
        <v>#REF!</v>
      </c>
      <c r="HY36" t="e">
        <f>#REF!+"$Cm=!$5Q"</f>
        <v>#REF!</v>
      </c>
      <c r="HZ36" t="e">
        <f>#REF!+"$Cm=!$5R"</f>
        <v>#REF!</v>
      </c>
      <c r="IA36" t="e">
        <f>#REF!+"$Cm=!$5S"</f>
        <v>#REF!</v>
      </c>
      <c r="IB36" t="e">
        <f>#REF!+"$Cm=!$5T"</f>
        <v>#REF!</v>
      </c>
      <c r="IC36" t="e">
        <f>#REF!+"$Cm=!$5U"</f>
        <v>#REF!</v>
      </c>
      <c r="ID36" t="e">
        <f>#REF!+"$Cm=!$5V"</f>
        <v>#REF!</v>
      </c>
      <c r="IE36" t="e">
        <f>#REF!+"$Cm=!$5W"</f>
        <v>#REF!</v>
      </c>
      <c r="IF36" t="e">
        <f>#REF!+"$Cm=!$5X"</f>
        <v>#REF!</v>
      </c>
      <c r="IG36" t="e">
        <f>#REF!+"$Cm=!$5Y"</f>
        <v>#REF!</v>
      </c>
      <c r="IH36" t="e">
        <f>#REF!+"$Cm=!$5Z"</f>
        <v>#REF!</v>
      </c>
      <c r="II36" t="e">
        <f>#REF!+"$Cm=!$5["</f>
        <v>#REF!</v>
      </c>
      <c r="IJ36" t="e">
        <f>#REF!+"$Cm=!$5\"</f>
        <v>#REF!</v>
      </c>
      <c r="IK36" t="e">
        <f>#REF!+"$Cm=!$5]"</f>
        <v>#REF!</v>
      </c>
      <c r="IL36" t="e">
        <f>#REF!+"$Cm=!$5^"</f>
        <v>#REF!</v>
      </c>
      <c r="IM36" t="e">
        <f>#REF!+"$Cm=!$5_"</f>
        <v>#REF!</v>
      </c>
      <c r="IN36" t="e">
        <f>#REF!+"$Cm=!$5`"</f>
        <v>#REF!</v>
      </c>
      <c r="IO36" t="e">
        <f>#REF!+"$Cm=!$5a"</f>
        <v>#REF!</v>
      </c>
      <c r="IP36" t="e">
        <f>#REF!+"$Cm=!$5b"</f>
        <v>#REF!</v>
      </c>
      <c r="IQ36" t="e">
        <f>#REF!+"$Cm=!$5c"</f>
        <v>#REF!</v>
      </c>
      <c r="IR36" t="e">
        <f>#REF!+"$Cm=!$5d"</f>
        <v>#REF!</v>
      </c>
      <c r="IS36" t="e">
        <f>#REF!+"$Cm=!$5e"</f>
        <v>#REF!</v>
      </c>
      <c r="IT36" t="e">
        <f>#REF!+"$Cm=!$5f"</f>
        <v>#REF!</v>
      </c>
      <c r="IU36" t="e">
        <f>#REF!+"$Cm=!$5g"</f>
        <v>#REF!</v>
      </c>
      <c r="IV36" t="e">
        <f>#REF!+"$Cm=!$5h"</f>
        <v>#REF!</v>
      </c>
    </row>
    <row r="37" spans="6:256">
      <c r="F37" t="e">
        <f>#REF!+"$Cm=!$5i"</f>
        <v>#REF!</v>
      </c>
      <c r="G37" t="e">
        <f>#REF!+"$Cm=!$5j"</f>
        <v>#REF!</v>
      </c>
      <c r="H37" t="e">
        <f>#REF!+"$Cm=!$5k"</f>
        <v>#REF!</v>
      </c>
      <c r="I37" t="e">
        <f>#REF!+"$Cm=!$5l"</f>
        <v>#REF!</v>
      </c>
      <c r="J37" t="e">
        <f>#REF!+"$Cm=!$5m"</f>
        <v>#REF!</v>
      </c>
      <c r="K37" t="e">
        <f>#REF!+"$Cm=!$5n"</f>
        <v>#REF!</v>
      </c>
      <c r="L37" t="e">
        <f>#REF!+"$Cm=!$5o"</f>
        <v>#REF!</v>
      </c>
      <c r="M37" t="e">
        <f>#REF!+"$Cm=!$5p"</f>
        <v>#REF!</v>
      </c>
      <c r="N37" t="e">
        <f>#REF!+"$Cm=!$5q"</f>
        <v>#REF!</v>
      </c>
      <c r="O37" t="e">
        <f>#REF!+"$Cm=!$5r"</f>
        <v>#REF!</v>
      </c>
      <c r="P37" t="e">
        <f>#REF!+"$Cm=!$5s"</f>
        <v>#REF!</v>
      </c>
      <c r="Q37" t="e">
        <f>#REF!+"$Cm=!$5t"</f>
        <v>#REF!</v>
      </c>
      <c r="R37" t="e">
        <f>#REF!+"$Cm=!$5u"</f>
        <v>#REF!</v>
      </c>
      <c r="S37" t="e">
        <f>#REF!+"$Cm=!$5v"</f>
        <v>#REF!</v>
      </c>
      <c r="T37" t="e">
        <f>#REF!+"$Cm=!$5w"</f>
        <v>#REF!</v>
      </c>
      <c r="U37" t="e">
        <f>#REF!+"$Cm=!$5x"</f>
        <v>#REF!</v>
      </c>
      <c r="V37" t="e">
        <f>#REF!+"$Cm=!$5y"</f>
        <v>#REF!</v>
      </c>
      <c r="W37" t="e">
        <f>#REF!+"$Cm=!$5z"</f>
        <v>#REF!</v>
      </c>
      <c r="X37" t="e">
        <f>#REF!+"$Cm=!$5{"</f>
        <v>#REF!</v>
      </c>
      <c r="Y37" t="e">
        <f>#REF!+"$Cm=!$5|"</f>
        <v>#REF!</v>
      </c>
      <c r="Z37" t="e">
        <f>#REF!+"$Cm=!$5}"</f>
        <v>#REF!</v>
      </c>
      <c r="AA37" t="e">
        <f>#REF!+"$Cm=!$5~"</f>
        <v>#REF!</v>
      </c>
      <c r="AB37" t="e">
        <f>#REF!+"$Cm=!$6#"</f>
        <v>#REF!</v>
      </c>
      <c r="AC37" t="e">
        <f>#REF!+"$Cm=!$6$"</f>
        <v>#REF!</v>
      </c>
      <c r="AD37" t="e">
        <f>#REF!+"$Cm=!$6%"</f>
        <v>#REF!</v>
      </c>
      <c r="AE37" t="e">
        <f>#REF!+"$Cm=!$6&amp;"</f>
        <v>#REF!</v>
      </c>
      <c r="AF37" t="e">
        <f>#REF!+"$Cm=!$6'"</f>
        <v>#REF!</v>
      </c>
      <c r="AG37" t="e">
        <f>#REF!+"$Cm=!$6("</f>
        <v>#REF!</v>
      </c>
      <c r="AH37" t="e">
        <f>#REF!+"$Cm=!$6)"</f>
        <v>#REF!</v>
      </c>
      <c r="AI37" t="e">
        <f>#REF!+"$Cm=!$6."</f>
        <v>#REF!</v>
      </c>
      <c r="AJ37" t="e">
        <f>#REF!+"$Cm=!$6/"</f>
        <v>#REF!</v>
      </c>
      <c r="AK37" t="e">
        <f>#REF!+"$Cm=!$60"</f>
        <v>#REF!</v>
      </c>
      <c r="AL37" t="e">
        <f>#REF!+"$Cm=!$61"</f>
        <v>#REF!</v>
      </c>
      <c r="AM37" t="e">
        <f>#REF!+"$Cm=!$62"</f>
        <v>#REF!</v>
      </c>
      <c r="AN37" t="e">
        <f>#REF!+"$Cm=!$63"</f>
        <v>#REF!</v>
      </c>
      <c r="AO37" t="e">
        <f>#REF!+"$Cm=!$64"</f>
        <v>#REF!</v>
      </c>
      <c r="AP37" t="e">
        <f>#REF!+"$Cm=!$65"</f>
        <v>#REF!</v>
      </c>
      <c r="AQ37" t="e">
        <f>#REF!+"$Cm=!$66"</f>
        <v>#REF!</v>
      </c>
      <c r="AR37" t="e">
        <f>#REF!+"$Cm=!$67"</f>
        <v>#REF!</v>
      </c>
      <c r="AS37" t="e">
        <f>#REF!+"$Cm=!$68"</f>
        <v>#REF!</v>
      </c>
      <c r="AT37" t="e">
        <f>#REF!+"$Cm=!$69"</f>
        <v>#REF!</v>
      </c>
      <c r="AU37" t="e">
        <f>#REF!+"$Cm=!$6:"</f>
        <v>#REF!</v>
      </c>
      <c r="AV37" t="e">
        <f>#REF!+"$Cm=!$6;"</f>
        <v>#REF!</v>
      </c>
      <c r="AW37" t="e">
        <f>#REF!+"$Cm=!$6&lt;"</f>
        <v>#REF!</v>
      </c>
      <c r="AX37" t="e">
        <f>#REF!+"$Cm=!$6="</f>
        <v>#REF!</v>
      </c>
      <c r="AY37" t="e">
        <f>#REF!+"$Cm=!$6&gt;"</f>
        <v>#REF!</v>
      </c>
      <c r="AZ37" t="e">
        <f>#REF!+"$Cm=!$6?"</f>
        <v>#REF!</v>
      </c>
      <c r="BA37" t="e">
        <f>#REF!+"$Cm=!$6@"</f>
        <v>#REF!</v>
      </c>
      <c r="BB37" t="e">
        <f>#REF!+"$Cm=!$6A"</f>
        <v>#REF!</v>
      </c>
      <c r="BC37" t="e">
        <f>#REF!+"$Cm=!$6B"</f>
        <v>#REF!</v>
      </c>
      <c r="BD37" t="e">
        <f>#REF!+"$Cm=!$6C"</f>
        <v>#REF!</v>
      </c>
      <c r="BE37" t="e">
        <f>#REF!+"$Cm=!$6D"</f>
        <v>#REF!</v>
      </c>
      <c r="BF37" t="e">
        <f>#REF!+"$Cm=!$6E"</f>
        <v>#REF!</v>
      </c>
      <c r="BG37" t="e">
        <f>#REF!+"$Cm=!$6F"</f>
        <v>#REF!</v>
      </c>
      <c r="BH37" t="e">
        <f>#REF!+"$Cm=!$6G"</f>
        <v>#REF!</v>
      </c>
      <c r="BI37" t="e">
        <f>#REF!+"$Cm=!$6H"</f>
        <v>#REF!</v>
      </c>
      <c r="BJ37" t="e">
        <f>#REF!+"$Cm=!$6I"</f>
        <v>#REF!</v>
      </c>
      <c r="BK37" t="e">
        <f>#REF!+"$Cm=!$6J"</f>
        <v>#REF!</v>
      </c>
      <c r="BL37" t="e">
        <f>#REF!+"$Cm=!$6K"</f>
        <v>#REF!</v>
      </c>
      <c r="BM37" t="e">
        <f>#REF!+"$Cm=!$6L"</f>
        <v>#REF!</v>
      </c>
      <c r="BN37" t="e">
        <f>#REF!+"$Cm=!$6M"</f>
        <v>#REF!</v>
      </c>
      <c r="BO37" t="e">
        <f>#REF!+"$Cm=!$6N"</f>
        <v>#REF!</v>
      </c>
      <c r="BP37" t="e">
        <f>#REF!+"$Cm=!$6O"</f>
        <v>#REF!</v>
      </c>
      <c r="BQ37" t="e">
        <f>#REF!+"$Cm=!$6P"</f>
        <v>#REF!</v>
      </c>
      <c r="BR37" t="e">
        <f>#REF!+"$Cm=!$6Q"</f>
        <v>#REF!</v>
      </c>
      <c r="BS37" t="e">
        <f>#REF!+"$Cm=!$6R"</f>
        <v>#REF!</v>
      </c>
      <c r="BT37" t="e">
        <f>#REF!+"$Cm=!$6S"</f>
        <v>#REF!</v>
      </c>
      <c r="BU37" t="e">
        <f>#REF!+"$Cm=!$6T"</f>
        <v>#REF!</v>
      </c>
      <c r="BV37" t="e">
        <f>#REF!+"$Cm=!$6U"</f>
        <v>#REF!</v>
      </c>
      <c r="BW37" t="e">
        <f>#REF!+"$Cm=!$6V"</f>
        <v>#REF!</v>
      </c>
      <c r="BX37" t="e">
        <f>#REF!+"$Cm=!$6W"</f>
        <v>#REF!</v>
      </c>
      <c r="BY37" t="e">
        <f>#REF!+"$Cm=!$6X"</f>
        <v>#REF!</v>
      </c>
      <c r="BZ37" t="e">
        <f>#REF!+"$Cm=!$6Y"</f>
        <v>#REF!</v>
      </c>
      <c r="CA37" t="e">
        <f>#REF!+"$Cm=!$6Z"</f>
        <v>#REF!</v>
      </c>
      <c r="CB37" t="e">
        <f>#REF!+"$Cm=!$6["</f>
        <v>#REF!</v>
      </c>
      <c r="CC37" t="e">
        <f>#REF!+"$Cm=!$6\"</f>
        <v>#REF!</v>
      </c>
      <c r="CD37" t="e">
        <f>#REF!+"$Cm=!$6]"</f>
        <v>#REF!</v>
      </c>
      <c r="CE37" t="e">
        <f>#REF!+"$Cm=!$6^"</f>
        <v>#REF!</v>
      </c>
      <c r="CF37" t="e">
        <f>#REF!+"$Cm=!$6_"</f>
        <v>#REF!</v>
      </c>
      <c r="CG37" t="e">
        <f>#REF!+"$Cm=!$6`"</f>
        <v>#REF!</v>
      </c>
      <c r="CH37" t="e">
        <f>#REF!+"$Cm=!$6a"</f>
        <v>#REF!</v>
      </c>
      <c r="CI37" t="e">
        <f>#REF!+"$Cm=!$6b"</f>
        <v>#REF!</v>
      </c>
      <c r="CJ37" t="e">
        <f>#REF!+"$Cm=!$6c"</f>
        <v>#REF!</v>
      </c>
      <c r="CK37" t="e">
        <f>#REF!+"$Cm=!$6d"</f>
        <v>#REF!</v>
      </c>
      <c r="CL37" t="e">
        <f>#REF!+"$Cm=!$6e"</f>
        <v>#REF!</v>
      </c>
      <c r="CM37" t="e">
        <f>#REF!+"$Cm=!$6f"</f>
        <v>#REF!</v>
      </c>
      <c r="CN37" t="e">
        <f>#REF!+"$Cm=!$6g"</f>
        <v>#REF!</v>
      </c>
      <c r="CO37" t="e">
        <f>#REF!+"$Cm=!$6h"</f>
        <v>#REF!</v>
      </c>
      <c r="CP37" t="e">
        <f>#REF!+"$Cm=!$6i"</f>
        <v>#REF!</v>
      </c>
      <c r="CQ37" t="e">
        <f>#REF!+"$Cm=!$6j"</f>
        <v>#REF!</v>
      </c>
      <c r="CR37" t="e">
        <f>#REF!+"$Cm=!$6k"</f>
        <v>#REF!</v>
      </c>
      <c r="CS37" t="e">
        <f>#REF!+"$Cm=!$6l"</f>
        <v>#REF!</v>
      </c>
      <c r="CT37" t="e">
        <f>#REF!+"$Cm=!$6m"</f>
        <v>#REF!</v>
      </c>
      <c r="CU37" t="e">
        <f>#REF!+"$Cm=!$6n"</f>
        <v>#REF!</v>
      </c>
      <c r="CV37" t="e">
        <f>#REF!+"$Cm=!$6o"</f>
        <v>#REF!</v>
      </c>
      <c r="CW37" t="e">
        <f>#REF!+"$Cm=!$6p"</f>
        <v>#REF!</v>
      </c>
      <c r="CX37" t="e">
        <f>#REF!+"$Cm=!$6q"</f>
        <v>#REF!</v>
      </c>
      <c r="CY37" t="e">
        <f>#REF!+"$Cm=!$6r"</f>
        <v>#REF!</v>
      </c>
      <c r="CZ37" t="e">
        <f>#REF!+"$Cm=!$6s"</f>
        <v>#REF!</v>
      </c>
      <c r="DA37" t="e">
        <f>#REF!+"$Cm=!$6t"</f>
        <v>#REF!</v>
      </c>
      <c r="DB37" t="e">
        <f>#REF!+"$Cm=!$6u"</f>
        <v>#REF!</v>
      </c>
      <c r="DC37" t="e">
        <f>#REF!+"$Cm=!$6v"</f>
        <v>#REF!</v>
      </c>
      <c r="DD37" t="e">
        <f>#REF!+"$Cm=!$6w"</f>
        <v>#REF!</v>
      </c>
      <c r="DE37" t="e">
        <f>#REF!+"$Cm=!$6x"</f>
        <v>#REF!</v>
      </c>
      <c r="DF37" t="e">
        <f>#REF!+"$Cm=!$6y"</f>
        <v>#REF!</v>
      </c>
      <c r="DG37" t="e">
        <f>#REF!+"$Cm=!$6z"</f>
        <v>#REF!</v>
      </c>
      <c r="DH37" t="e">
        <f>#REF!+"$Cm=!$6{"</f>
        <v>#REF!</v>
      </c>
      <c r="DI37" t="e">
        <f>#REF!+"$Cm=!$6|"</f>
        <v>#REF!</v>
      </c>
      <c r="DJ37" t="e">
        <f>#REF!+"$Cm=!$6}"</f>
        <v>#REF!</v>
      </c>
      <c r="DK37" t="e">
        <f>#REF!+"$Cm=!$6~"</f>
        <v>#REF!</v>
      </c>
      <c r="DL37" t="e">
        <f>#REF!+"$Cm=!$7#"</f>
        <v>#REF!</v>
      </c>
      <c r="DM37" t="e">
        <f>#REF!+"$Cm=!$7$"</f>
        <v>#REF!</v>
      </c>
      <c r="DN37" t="e">
        <f>#REF!+"$Cm=!$7%"</f>
        <v>#REF!</v>
      </c>
      <c r="DO37" t="e">
        <f>#REF!+"$Cm=!$7&amp;"</f>
        <v>#REF!</v>
      </c>
      <c r="DP37" t="e">
        <f>#REF!+"$Cm=!$7'"</f>
        <v>#REF!</v>
      </c>
      <c r="DQ37" t="e">
        <f>#REF!+"$Cm=!$7("</f>
        <v>#REF!</v>
      </c>
      <c r="DR37" t="e">
        <f>#REF!+"$Cm=!$7)"</f>
        <v>#REF!</v>
      </c>
      <c r="DS37" t="e">
        <f>#REF!+"$Cm=!$7."</f>
        <v>#REF!</v>
      </c>
      <c r="DT37" t="e">
        <f>#REF!+"$Cm=!$7/"</f>
        <v>#REF!</v>
      </c>
      <c r="DU37" t="e">
        <f>#REF!+"$Cm=!$70"</f>
        <v>#REF!</v>
      </c>
      <c r="DV37" t="e">
        <f>#REF!+"$Cm=!$71"</f>
        <v>#REF!</v>
      </c>
      <c r="DW37" t="e">
        <f>#REF!+"$Cm=!$72"</f>
        <v>#REF!</v>
      </c>
      <c r="DX37" t="e">
        <f>#REF!+"$Cm=!$73"</f>
        <v>#REF!</v>
      </c>
      <c r="DY37" t="e">
        <f>#REF!+"$Cm=!$74"</f>
        <v>#REF!</v>
      </c>
      <c r="DZ37" t="e">
        <f>#REF!+"$Cm=!$75"</f>
        <v>#REF!</v>
      </c>
      <c r="EA37" t="e">
        <f>#REF!+"$Cm=!$76"</f>
        <v>#REF!</v>
      </c>
      <c r="EB37" t="e">
        <f>#REF!+"$Cm=!$77"</f>
        <v>#REF!</v>
      </c>
      <c r="EC37" t="e">
        <f>#REF!+"$Cm=!$78"</f>
        <v>#REF!</v>
      </c>
      <c r="ED37" t="e">
        <f>#REF!+"$Cm=!$79"</f>
        <v>#REF!</v>
      </c>
      <c r="EE37" t="e">
        <f>#REF!+"$Cm=!$7:"</f>
        <v>#REF!</v>
      </c>
      <c r="EF37" t="e">
        <f>#REF!+"$Cm=!$7;"</f>
        <v>#REF!</v>
      </c>
      <c r="EG37" t="e">
        <f>#REF!+"$Cm=!$7&lt;"</f>
        <v>#REF!</v>
      </c>
      <c r="EH37" t="e">
        <f>#REF!+"$Cm=!$7="</f>
        <v>#REF!</v>
      </c>
      <c r="EI37" t="e">
        <f>#REF!+"$Cm=!$7&gt;"</f>
        <v>#REF!</v>
      </c>
      <c r="EJ37" t="e">
        <f>#REF!+"$Cm=!$7?"</f>
        <v>#REF!</v>
      </c>
      <c r="EK37" t="e">
        <f>#REF!+"$Cm=!$7@"</f>
        <v>#REF!</v>
      </c>
      <c r="EL37" t="e">
        <f>#REF!+"$Cm=!$7A"</f>
        <v>#REF!</v>
      </c>
      <c r="EM37" t="e">
        <f>#REF!+"$Cm=!$7B"</f>
        <v>#REF!</v>
      </c>
      <c r="EN37" t="e">
        <f>#REF!+"$Cm=!$7C"</f>
        <v>#REF!</v>
      </c>
      <c r="EO37" t="e">
        <f>#REF!+"$Cm=!$7D"</f>
        <v>#REF!</v>
      </c>
      <c r="EP37" t="e">
        <f>#REF!+"$Cm=!$7E"</f>
        <v>#REF!</v>
      </c>
      <c r="EQ37" t="e">
        <f>#REF!+"$Cm=!$7F"</f>
        <v>#REF!</v>
      </c>
      <c r="ER37" t="e">
        <f>#REF!+"$Cm=!$7G"</f>
        <v>#REF!</v>
      </c>
      <c r="ES37" t="e">
        <f>#REF!+"$Cm=!$7H"</f>
        <v>#REF!</v>
      </c>
      <c r="ET37" t="e">
        <f>#REF!+"$Cm=!$7I"</f>
        <v>#REF!</v>
      </c>
      <c r="EU37" t="e">
        <f>#REF!+"$Cm=!$7J"</f>
        <v>#REF!</v>
      </c>
      <c r="EV37" t="e">
        <f>#REF!+"$Cm=!$7K"</f>
        <v>#REF!</v>
      </c>
      <c r="EW37" t="e">
        <f>#REF!+"$Cm=!$7L"</f>
        <v>#REF!</v>
      </c>
      <c r="EX37" t="e">
        <f>#REF!+"$Cm=!$7M"</f>
        <v>#REF!</v>
      </c>
      <c r="EY37" t="e">
        <f>#REF!+"$Cm=!$7N"</f>
        <v>#REF!</v>
      </c>
      <c r="EZ37" t="e">
        <f>#REF!+"$Cm=!$7O"</f>
        <v>#REF!</v>
      </c>
      <c r="FA37" t="e">
        <f>#REF!+"$Cm=!$7P"</f>
        <v>#REF!</v>
      </c>
      <c r="FB37" t="e">
        <f>#REF!+"$Cm=!$7Q"</f>
        <v>#REF!</v>
      </c>
      <c r="FC37" t="e">
        <f>#REF!+"$Cm=!$7R"</f>
        <v>#REF!</v>
      </c>
      <c r="FD37" t="e">
        <f>#REF!+"$Cm=!$7S"</f>
        <v>#REF!</v>
      </c>
      <c r="FE37" t="e">
        <f>#REF!+"$Cm=!$7T"</f>
        <v>#REF!</v>
      </c>
      <c r="FF37" t="e">
        <f>#REF!+"$Cm=!$7U"</f>
        <v>#REF!</v>
      </c>
      <c r="FG37" t="e">
        <f>#REF!+"$Cm=!$7V"</f>
        <v>#REF!</v>
      </c>
      <c r="FH37" t="e">
        <f>#REF!+"$Cm=!$7W"</f>
        <v>#REF!</v>
      </c>
      <c r="FI37" t="e">
        <f>#REF!+"$Cm=!$7X"</f>
        <v>#REF!</v>
      </c>
      <c r="FJ37" t="e">
        <f>#REF!+"$Cm=!$7Y"</f>
        <v>#REF!</v>
      </c>
      <c r="FK37" t="e">
        <f>#REF!+"$Cm=!$7Z"</f>
        <v>#REF!</v>
      </c>
      <c r="FL37" t="e">
        <f>#REF!+"$Cm=!$7["</f>
        <v>#REF!</v>
      </c>
      <c r="FM37" t="e">
        <f>#REF!+"$Cm=!$7\"</f>
        <v>#REF!</v>
      </c>
      <c r="FN37" t="e">
        <f>#REF!+"$Cm=!$7]"</f>
        <v>#REF!</v>
      </c>
      <c r="FO37" t="e">
        <f>#REF!+"$Cm=!$7^"</f>
        <v>#REF!</v>
      </c>
      <c r="FP37" t="e">
        <f>#REF!+"$Cm=!$7_"</f>
        <v>#REF!</v>
      </c>
      <c r="FQ37" t="e">
        <f>#REF!+"$Cm=!$7`"</f>
        <v>#REF!</v>
      </c>
      <c r="FR37" t="e">
        <f>#REF!+"$Cm=!$7a"</f>
        <v>#REF!</v>
      </c>
      <c r="FS37" t="e">
        <f>#REF!+"$Cm=!$7b"</f>
        <v>#REF!</v>
      </c>
      <c r="FT37" t="e">
        <f>#REF!+"$Cm=!$7c"</f>
        <v>#REF!</v>
      </c>
      <c r="FU37" t="e">
        <f>#REF!+"$Cm=!$7d"</f>
        <v>#REF!</v>
      </c>
      <c r="FV37" t="e">
        <f>#REF!+"$Cm=!$7e"</f>
        <v>#REF!</v>
      </c>
      <c r="FW37" t="e">
        <f>#REF!+"$Cm=!$7f"</f>
        <v>#REF!</v>
      </c>
      <c r="FX37" t="e">
        <f>#REF!+"$Cm=!$7g"</f>
        <v>#REF!</v>
      </c>
      <c r="FY37" t="e">
        <f>#REF!+"$Cm=!$7h"</f>
        <v>#REF!</v>
      </c>
      <c r="FZ37" t="e">
        <f>#REF!+"$Cm=!$7i"</f>
        <v>#REF!</v>
      </c>
      <c r="GA37" t="e">
        <f>#REF!+"$Cm=!$7j"</f>
        <v>#REF!</v>
      </c>
      <c r="GB37" t="e">
        <f>#REF!+"$Cm=!$7k"</f>
        <v>#REF!</v>
      </c>
      <c r="GC37" t="e">
        <f>#REF!+"$Cm=!$7l"</f>
        <v>#REF!</v>
      </c>
      <c r="GD37" t="e">
        <f>#REF!+"$Cm=!$7m"</f>
        <v>#REF!</v>
      </c>
      <c r="GE37" t="e">
        <f>#REF!+"$Cm=!$7n"</f>
        <v>#REF!</v>
      </c>
      <c r="GF37" t="e">
        <f>#REF!+"$Cm=!$7o"</f>
        <v>#REF!</v>
      </c>
      <c r="GG37" t="e">
        <f>#REF!+"$Cm=!$7p"</f>
        <v>#REF!</v>
      </c>
      <c r="GH37" t="e">
        <f>#REF!+"$Cm=!$7q"</f>
        <v>#REF!</v>
      </c>
      <c r="GI37" t="e">
        <f>#REF!+"$Cm=!$7r"</f>
        <v>#REF!</v>
      </c>
      <c r="GJ37" t="e">
        <f>#REF!+"$Cm=!$7s"</f>
        <v>#REF!</v>
      </c>
      <c r="GK37" t="e">
        <f>#REF!+"$Cm=!$7t"</f>
        <v>#REF!</v>
      </c>
      <c r="GL37" t="e">
        <f>#REF!+"$Cm=!$7u"</f>
        <v>#REF!</v>
      </c>
      <c r="GM37" t="e">
        <f>#REF!+"$Cm=!$7v"</f>
        <v>#REF!</v>
      </c>
      <c r="GN37" t="e">
        <f>#REF!+"$Cm=!$7w"</f>
        <v>#REF!</v>
      </c>
      <c r="GO37" t="e">
        <f>#REF!+"$Cm=!$7x"</f>
        <v>#REF!</v>
      </c>
      <c r="GP37" t="e">
        <f>#REF!+"$Cm=!$7y"</f>
        <v>#REF!</v>
      </c>
      <c r="GQ37" t="e">
        <f>#REF!+"$Cm=!$7z"</f>
        <v>#REF!</v>
      </c>
      <c r="GR37" t="e">
        <f>#REF!+"$Cm=!$7{"</f>
        <v>#REF!</v>
      </c>
      <c r="GS37" t="e">
        <f>#REF!+"$Cm=!$7|"</f>
        <v>#REF!</v>
      </c>
      <c r="GT37" t="e">
        <f>#REF!+"$Cm=!$7}"</f>
        <v>#REF!</v>
      </c>
      <c r="GU37" t="e">
        <f>#REF!+"$Cm=!$7~"</f>
        <v>#REF!</v>
      </c>
      <c r="GV37" t="e">
        <f>#REF!+"$Cm=!$8#"</f>
        <v>#REF!</v>
      </c>
      <c r="GW37" t="e">
        <f>#REF!+"$Cm=!$8$"</f>
        <v>#REF!</v>
      </c>
      <c r="GX37" t="e">
        <f>#REF!+"$Cm=!$8%"</f>
        <v>#REF!</v>
      </c>
      <c r="GY37" t="e">
        <f>#REF!+"$Cm=!$8&amp;"</f>
        <v>#REF!</v>
      </c>
      <c r="GZ37" t="e">
        <f>#REF!+"$Cm=!$8'"</f>
        <v>#REF!</v>
      </c>
      <c r="HA37" t="e">
        <f>#REF!+"$Cm=!$8("</f>
        <v>#REF!</v>
      </c>
      <c r="HB37" t="e">
        <f>#REF!+"$Cm=!$8)"</f>
        <v>#REF!</v>
      </c>
      <c r="HC37" t="e">
        <f>#REF!+"$Cm=!$8."</f>
        <v>#REF!</v>
      </c>
      <c r="HD37" t="e">
        <f>#REF!+"$Cm=!$8/"</f>
        <v>#REF!</v>
      </c>
      <c r="HE37" t="e">
        <f>#REF!+"$Cm=!$80"</f>
        <v>#REF!</v>
      </c>
      <c r="HF37" t="e">
        <f>#REF!+"$Cm=!$81"</f>
        <v>#REF!</v>
      </c>
      <c r="HG37" t="e">
        <f>#REF!+"$Cm=!$82"</f>
        <v>#REF!</v>
      </c>
      <c r="HH37" t="e">
        <f>#REF!+"$Cm=!$83"</f>
        <v>#REF!</v>
      </c>
      <c r="HI37" t="e">
        <f>#REF!+"$Cm=!$84"</f>
        <v>#REF!</v>
      </c>
      <c r="HJ37" t="e">
        <f>#REF!+"$Cm=!$85"</f>
        <v>#REF!</v>
      </c>
      <c r="HK37" t="e">
        <f>#REF!+"$Cm=!$86"</f>
        <v>#REF!</v>
      </c>
      <c r="HL37" t="e">
        <f>#REF!+"$Cm=!$87"</f>
        <v>#REF!</v>
      </c>
      <c r="HM37" t="e">
        <f>#REF!+"$Cm=!$88"</f>
        <v>#REF!</v>
      </c>
      <c r="HN37" t="e">
        <f>#REF!+"$Cm=!$89"</f>
        <v>#REF!</v>
      </c>
      <c r="HO37" t="e">
        <f>#REF!+"$Cm=!$8:"</f>
        <v>#REF!</v>
      </c>
      <c r="HP37" t="e">
        <f>#REF!+"$Cm=!$8;"</f>
        <v>#REF!</v>
      </c>
      <c r="HQ37" t="e">
        <f>#REF!+"$Cm=!$8&lt;"</f>
        <v>#REF!</v>
      </c>
      <c r="HR37" t="e">
        <f>#REF!+"$Cm=!$8="</f>
        <v>#REF!</v>
      </c>
      <c r="HS37" t="e">
        <f>#REF!+"$Cm=!$8&gt;"</f>
        <v>#REF!</v>
      </c>
      <c r="HT37" t="e">
        <f>#REF!+"$Cm=!$8?"</f>
        <v>#REF!</v>
      </c>
      <c r="HU37" t="e">
        <f>#REF!+"$Cm=!$8@"</f>
        <v>#REF!</v>
      </c>
      <c r="HV37" t="e">
        <f>#REF!+"$Cm=!$8A"</f>
        <v>#REF!</v>
      </c>
      <c r="HW37" t="e">
        <f>#REF!+"$Cm=!$8B"</f>
        <v>#REF!</v>
      </c>
      <c r="HX37" t="e">
        <f>#REF!+"$Cm=!$8C"</f>
        <v>#REF!</v>
      </c>
      <c r="HY37" t="e">
        <f>#REF!+"$Cm=!$8D"</f>
        <v>#REF!</v>
      </c>
      <c r="HZ37" t="e">
        <f>#REF!+"$Cm=!$8E"</f>
        <v>#REF!</v>
      </c>
      <c r="IA37" t="e">
        <f>#REF!+"$Cm=!$8F"</f>
        <v>#REF!</v>
      </c>
      <c r="IB37" t="e">
        <f>#REF!+"$Cm=!$8G"</f>
        <v>#REF!</v>
      </c>
      <c r="IC37" t="e">
        <f>#REF!+"$Cm=!$8H"</f>
        <v>#REF!</v>
      </c>
      <c r="ID37" t="e">
        <f>#REF!+"$Cm=!$8I"</f>
        <v>#REF!</v>
      </c>
      <c r="IE37" t="e">
        <f>#REF!+"$Cm=!$8J"</f>
        <v>#REF!</v>
      </c>
      <c r="IF37" t="e">
        <f>#REF!+"$Cm=!$8K"</f>
        <v>#REF!</v>
      </c>
      <c r="IG37" t="e">
        <f>#REF!+"$Cm=!$8L"</f>
        <v>#REF!</v>
      </c>
      <c r="IH37" t="e">
        <f>#REF!+"$Cm=!$8M"</f>
        <v>#REF!</v>
      </c>
      <c r="II37" t="e">
        <f>#REF!+"$Cm=!$8N"</f>
        <v>#REF!</v>
      </c>
      <c r="IJ37" t="e">
        <f>#REF!+"$Cm=!$8O"</f>
        <v>#REF!</v>
      </c>
      <c r="IK37" t="e">
        <f>#REF!+"$Cm=!$8P"</f>
        <v>#REF!</v>
      </c>
      <c r="IL37" t="e">
        <f>#REF!+"$Cm=!$8Q"</f>
        <v>#REF!</v>
      </c>
      <c r="IM37" t="e">
        <f>#REF!+"$Cm=!$8R"</f>
        <v>#REF!</v>
      </c>
      <c r="IN37" t="e">
        <f>#REF!+"$Cm=!$8S"</f>
        <v>#REF!</v>
      </c>
      <c r="IO37" t="e">
        <f>#REF!+"$Cm=!$8T"</f>
        <v>#REF!</v>
      </c>
      <c r="IP37" t="e">
        <f>#REF!+"$Cm=!$8U"</f>
        <v>#REF!</v>
      </c>
      <c r="IQ37" t="e">
        <f>#REF!+"$Cm=!$8V"</f>
        <v>#REF!</v>
      </c>
      <c r="IR37" t="e">
        <f>#REF!+"$Cm=!$8W"</f>
        <v>#REF!</v>
      </c>
      <c r="IS37" t="e">
        <f>#REF!+"$Cm=!$8X"</f>
        <v>#REF!</v>
      </c>
      <c r="IT37" t="e">
        <f>#REF!+"$Cm=!$8Y"</f>
        <v>#REF!</v>
      </c>
      <c r="IU37" t="e">
        <f>#REF!+"$Cm=!$8Z"</f>
        <v>#REF!</v>
      </c>
      <c r="IV37" t="e">
        <f>#REF!+"$Cm=!$8["</f>
        <v>#REF!</v>
      </c>
    </row>
    <row r="38" spans="6:256">
      <c r="F38" t="e">
        <f>#REF!+"$Cm=!$8\"</f>
        <v>#REF!</v>
      </c>
      <c r="G38" t="e">
        <f>#REF!+"$Cm=!$8]"</f>
        <v>#REF!</v>
      </c>
      <c r="H38" t="e">
        <f>#REF!+"$Cm=!$8^"</f>
        <v>#REF!</v>
      </c>
      <c r="I38" t="e">
        <f>#REF!+"$Cm=!$8_"</f>
        <v>#REF!</v>
      </c>
      <c r="J38" t="e">
        <f>#REF!+"$Cm=!$8`"</f>
        <v>#REF!</v>
      </c>
      <c r="K38" t="e">
        <f>#REF!+"$Cm=!$8a"</f>
        <v>#REF!</v>
      </c>
      <c r="L38" t="e">
        <f>#REF!+"$Cm=!$8b"</f>
        <v>#REF!</v>
      </c>
      <c r="M38" t="e">
        <f>#REF!+"$Cm=!$8c"</f>
        <v>#REF!</v>
      </c>
      <c r="N38" t="e">
        <f>#REF!+"$Cm=!$8d"</f>
        <v>#REF!</v>
      </c>
      <c r="O38" t="e">
        <f>#REF!+"$Cm=!$8e"</f>
        <v>#REF!</v>
      </c>
      <c r="P38" t="e">
        <f>#REF!+"$Cm=!$8f"</f>
        <v>#REF!</v>
      </c>
      <c r="Q38" t="e">
        <f>#REF!+"$Cm=!$8g"</f>
        <v>#REF!</v>
      </c>
      <c r="R38" t="e">
        <f>#REF!+"$Cm=!$8h"</f>
        <v>#REF!</v>
      </c>
      <c r="S38" t="e">
        <f>#REF!+"$Cm=!$8i"</f>
        <v>#REF!</v>
      </c>
      <c r="T38" t="e">
        <f>#REF!+"$Cm=!$8j"</f>
        <v>#REF!</v>
      </c>
      <c r="U38" t="e">
        <f>#REF!+"$Cm=!$8k"</f>
        <v>#REF!</v>
      </c>
      <c r="V38" t="e">
        <f>#REF!+"$Cm=!$8l"</f>
        <v>#REF!</v>
      </c>
      <c r="W38" t="e">
        <f>#REF!+"$Cm=!$8m"</f>
        <v>#REF!</v>
      </c>
      <c r="X38" t="e">
        <f>#REF!+"$Cm=!$8n"</f>
        <v>#REF!</v>
      </c>
      <c r="Y38" t="e">
        <f>#REF!+"$Cm=!$8o"</f>
        <v>#REF!</v>
      </c>
      <c r="Z38" t="e">
        <f>#REF!+"$Cm=!$8p"</f>
        <v>#REF!</v>
      </c>
      <c r="AA38" t="e">
        <f>#REF!+"$Cm=!$8q"</f>
        <v>#REF!</v>
      </c>
      <c r="AB38" t="e">
        <f>#REF!+"$Cm=!$8r"</f>
        <v>#REF!</v>
      </c>
      <c r="AC38" t="e">
        <f>#REF!+"$Cm=!$8s"</f>
        <v>#REF!</v>
      </c>
      <c r="AD38" t="e">
        <f>#REF!+"$Cm=!$8t"</f>
        <v>#REF!</v>
      </c>
      <c r="AE38" t="e">
        <f>#REF!+"$Cm=!$8u"</f>
        <v>#REF!</v>
      </c>
      <c r="AF38" t="e">
        <f>#REF!+"$Cm=!$8v"</f>
        <v>#REF!</v>
      </c>
      <c r="AG38" t="e">
        <f>#REF!+"$Cm=!$8w"</f>
        <v>#REF!</v>
      </c>
      <c r="AH38" t="e">
        <f>#REF!+"$Cm=!$8x"</f>
        <v>#REF!</v>
      </c>
      <c r="AI38" t="e">
        <f>#REF!+"$Cm=!$8y"</f>
        <v>#REF!</v>
      </c>
      <c r="AJ38" t="e">
        <f>#REF!+"$Cm=!$8z"</f>
        <v>#REF!</v>
      </c>
      <c r="AK38" t="e">
        <f>#REF!+"$Cm=!$8{"</f>
        <v>#REF!</v>
      </c>
      <c r="AL38" t="e">
        <f>#REF!+"$Cm=!$8|"</f>
        <v>#REF!</v>
      </c>
      <c r="AM38" t="e">
        <f>#REF!+"$Cm=!$8}"</f>
        <v>#REF!</v>
      </c>
      <c r="AN38" t="e">
        <f>#REF!+"$Cm=!$8~"</f>
        <v>#REF!</v>
      </c>
      <c r="AO38" t="e">
        <f>#REF!+"$Cm=!$9#"</f>
        <v>#REF!</v>
      </c>
      <c r="AP38" t="e">
        <f>#REF!+"$Cm=!$9$"</f>
        <v>#REF!</v>
      </c>
      <c r="AQ38" t="e">
        <f>#REF!+"$Cm=!$9%"</f>
        <v>#REF!</v>
      </c>
      <c r="AR38" t="e">
        <f>#REF!+"$Cm=!$9&amp;"</f>
        <v>#REF!</v>
      </c>
      <c r="AS38" t="e">
        <f>#REF!+"$Cm=!$9'"</f>
        <v>#REF!</v>
      </c>
      <c r="AT38" t="e">
        <f>#REF!+"$Cm=!$9("</f>
        <v>#REF!</v>
      </c>
      <c r="AU38" t="e">
        <f>#REF!+"$Cm=!$9)"</f>
        <v>#REF!</v>
      </c>
      <c r="AV38" t="e">
        <f>#REF!+"$Cm=!$9."</f>
        <v>#REF!</v>
      </c>
      <c r="AW38" t="e">
        <f>#REF!+"$Cm=!$9/"</f>
        <v>#REF!</v>
      </c>
      <c r="AX38" t="e">
        <f>#REF!+"$Cm=!$90"</f>
        <v>#REF!</v>
      </c>
      <c r="AY38" t="e">
        <f>#REF!+"$Cm=!$91"</f>
        <v>#REF!</v>
      </c>
      <c r="AZ38" t="e">
        <f>#REF!+"$Cm=!$92"</f>
        <v>#REF!</v>
      </c>
      <c r="BA38" t="e">
        <f>#REF!+"$Cm=!$93"</f>
        <v>#REF!</v>
      </c>
      <c r="BB38" t="e">
        <f>#REF!+"$Cm=!$94"</f>
        <v>#REF!</v>
      </c>
      <c r="BC38" t="e">
        <f>#REF!+"$Cm=!$95"</f>
        <v>#REF!</v>
      </c>
      <c r="BD38" t="e">
        <f>#REF!+"$Cm=!$96"</f>
        <v>#REF!</v>
      </c>
      <c r="BE38" t="e">
        <f>#REF!+"$Cm=!$97"</f>
        <v>#REF!</v>
      </c>
      <c r="BF38" t="e">
        <f>#REF!+"$Cm=!$98"</f>
        <v>#REF!</v>
      </c>
      <c r="BG38" t="e">
        <f>#REF!+"$Cm=!$99"</f>
        <v>#REF!</v>
      </c>
      <c r="BH38" t="e">
        <f>#REF!+"$Cm=!$9:"</f>
        <v>#REF!</v>
      </c>
      <c r="BI38" t="e">
        <f>#REF!+"$Cm=!$9;"</f>
        <v>#REF!</v>
      </c>
      <c r="BJ38" t="e">
        <f>#REF!+"$Cm=!$9&lt;"</f>
        <v>#REF!</v>
      </c>
      <c r="BK38" t="e">
        <f>#REF!+"$Cm=!$9="</f>
        <v>#REF!</v>
      </c>
      <c r="BL38" t="e">
        <f>#REF!+"$Cm=!$9&gt;"</f>
        <v>#REF!</v>
      </c>
      <c r="BM38" t="e">
        <f>#REF!+"$Cm=!$9?"</f>
        <v>#REF!</v>
      </c>
      <c r="BN38" t="e">
        <f>#REF!+"$Cm=!$9@"</f>
        <v>#REF!</v>
      </c>
      <c r="BO38" t="e">
        <f>#REF!+"$Cm=!$9A"</f>
        <v>#REF!</v>
      </c>
      <c r="BP38" t="e">
        <f>#REF!+"$Cm=!$9B"</f>
        <v>#REF!</v>
      </c>
      <c r="BQ38" t="e">
        <f>#REF!+"$Cm=!$9C"</f>
        <v>#REF!</v>
      </c>
      <c r="BR38" t="e">
        <f>#REF!+"$Cm=!$9D"</f>
        <v>#REF!</v>
      </c>
      <c r="BS38" t="e">
        <f>#REF!+"$Cm=!$9E"</f>
        <v>#REF!</v>
      </c>
      <c r="BT38" t="e">
        <f>#REF!+"$Cm=!$9F"</f>
        <v>#REF!</v>
      </c>
      <c r="BU38" t="e">
        <f>#REF!+"$Cm=!$9G"</f>
        <v>#REF!</v>
      </c>
      <c r="BV38" t="e">
        <f>#REF!+"$Cm=!$9H"</f>
        <v>#REF!</v>
      </c>
      <c r="BW38" t="e">
        <f>#REF!+"$Cm=!$9I"</f>
        <v>#REF!</v>
      </c>
      <c r="BX38" t="e">
        <f>#REF!+"$Cm=!$9J"</f>
        <v>#REF!</v>
      </c>
      <c r="BY38" t="e">
        <f>#REF!+"$Cm=!$9K"</f>
        <v>#REF!</v>
      </c>
      <c r="BZ38" t="e">
        <f>#REF!+"$Cm=!$9L"</f>
        <v>#REF!</v>
      </c>
      <c r="CA38" t="e">
        <f>#REF!+"$Cm=!$9M"</f>
        <v>#REF!</v>
      </c>
      <c r="CB38" t="e">
        <f>#REF!+"$Cm=!$9N"</f>
        <v>#REF!</v>
      </c>
      <c r="CC38" t="e">
        <f>#REF!+"$Cm=!$9O"</f>
        <v>#REF!</v>
      </c>
      <c r="CD38" t="e">
        <f>#REF!+"$Cm=!$9P"</f>
        <v>#REF!</v>
      </c>
      <c r="CE38" t="e">
        <f>#REF!+"$Cm=!$9Q"</f>
        <v>#REF!</v>
      </c>
      <c r="CF38" t="e">
        <f>#REF!+"$Cm=!$9R"</f>
        <v>#REF!</v>
      </c>
      <c r="CG38" t="e">
        <f>#REF!+"$Cm=!$9S"</f>
        <v>#REF!</v>
      </c>
      <c r="CH38" t="e">
        <f>#REF!+"$Cm=!$9T"</f>
        <v>#REF!</v>
      </c>
      <c r="CI38" t="e">
        <f>#REF!+"$Cm=!$9U"</f>
        <v>#REF!</v>
      </c>
      <c r="CJ38" t="e">
        <f>#REF!+"$Cm=!$9V"</f>
        <v>#REF!</v>
      </c>
      <c r="CK38" t="e">
        <f>#REF!+"$Cm=!$9W"</f>
        <v>#REF!</v>
      </c>
      <c r="CL38" t="e">
        <f>#REF!+"$Cm=!$9X"</f>
        <v>#REF!</v>
      </c>
      <c r="CM38" t="e">
        <f>#REF!+"$Cm=!$9Y"</f>
        <v>#REF!</v>
      </c>
      <c r="CN38" t="e">
        <f>#REF!+"$Cm=!$9Z"</f>
        <v>#REF!</v>
      </c>
      <c r="CO38" t="e">
        <f>#REF!+"$Cm=!$9["</f>
        <v>#REF!</v>
      </c>
      <c r="CP38" t="e">
        <f>#REF!+"$Cm=!$9\"</f>
        <v>#REF!</v>
      </c>
      <c r="CQ38" t="e">
        <f>#REF!+"$Cm=!$9]"</f>
        <v>#REF!</v>
      </c>
      <c r="CR38" t="e">
        <f>#REF!+"$Cm=!$9^"</f>
        <v>#REF!</v>
      </c>
      <c r="CS38" t="e">
        <f>#REF!+"$Cm=!$9_"</f>
        <v>#REF!</v>
      </c>
      <c r="CT38" t="e">
        <f>#REF!+"$Cm=!$9`"</f>
        <v>#REF!</v>
      </c>
      <c r="CU38" t="e">
        <f>#REF!+"$Cm=!$9a"</f>
        <v>#REF!</v>
      </c>
      <c r="CV38" t="e">
        <f>#REF!+"$Cm=!$9b"</f>
        <v>#REF!</v>
      </c>
      <c r="CW38" t="e">
        <f>#REF!+"$Cm=!$9c"</f>
        <v>#REF!</v>
      </c>
      <c r="CX38" t="e">
        <f>#REF!+"$Cm=!$9d"</f>
        <v>#REF!</v>
      </c>
      <c r="CY38" t="e">
        <f>#REF!+"$Cm=!$9e"</f>
        <v>#REF!</v>
      </c>
      <c r="CZ38" t="e">
        <f>#REF!+"$Cm=!$9f"</f>
        <v>#REF!</v>
      </c>
      <c r="DA38" t="e">
        <f>#REF!+"$Cm=!$9g"</f>
        <v>#REF!</v>
      </c>
      <c r="DB38" t="e">
        <f>#REF!+"$Cm=!$9h"</f>
        <v>#REF!</v>
      </c>
      <c r="DC38" t="e">
        <f>#REF!+"$Cm=!$9i"</f>
        <v>#REF!</v>
      </c>
      <c r="DD38" t="e">
        <f>#REF!+"$Cm=!$9j"</f>
        <v>#REF!</v>
      </c>
      <c r="DE38" t="e">
        <f>#REF!+"$Cm=!$9k"</f>
        <v>#REF!</v>
      </c>
      <c r="DF38" t="e">
        <f>#REF!+"$Cm=!$9l"</f>
        <v>#REF!</v>
      </c>
      <c r="DG38" t="e">
        <f>#REF!+"$Cm=!$9m"</f>
        <v>#REF!</v>
      </c>
      <c r="DH38" t="e">
        <f>#REF!+"$Cm=!$9n"</f>
        <v>#REF!</v>
      </c>
      <c r="DI38" t="e">
        <f>#REF!+"$Cm=!$9o"</f>
        <v>#REF!</v>
      </c>
      <c r="DJ38" t="e">
        <f>#REF!+"$Cm=!$9p"</f>
        <v>#REF!</v>
      </c>
      <c r="DK38" t="e">
        <f>#REF!+"$Cm=!$9q"</f>
        <v>#REF!</v>
      </c>
      <c r="DL38" t="e">
        <f>#REF!+"$Cm=!$9r"</f>
        <v>#REF!</v>
      </c>
      <c r="DM38" t="e">
        <f>#REF!+"$Cm=!$9s"</f>
        <v>#REF!</v>
      </c>
      <c r="DN38" t="e">
        <f>#REF!+"$Cm=!$9t"</f>
        <v>#REF!</v>
      </c>
      <c r="DO38" t="e">
        <f>#REF!+"$Cm=!$9u"</f>
        <v>#REF!</v>
      </c>
      <c r="DP38" t="e">
        <f>#REF!+"$Cm=!$9v"</f>
        <v>#REF!</v>
      </c>
      <c r="DQ38" t="e">
        <f>#REF!+"$Cm=!$9w"</f>
        <v>#REF!</v>
      </c>
      <c r="DR38" t="e">
        <f>#REF!+"$Cm=!$9x"</f>
        <v>#REF!</v>
      </c>
      <c r="DS38" t="e">
        <f>#REF!+"$Cm=!$9y"</f>
        <v>#REF!</v>
      </c>
      <c r="DT38" t="e">
        <f>#REF!+"$Cm=!$9z"</f>
        <v>#REF!</v>
      </c>
      <c r="DU38" t="e">
        <f>#REF!+"$Cm=!$9{"</f>
        <v>#REF!</v>
      </c>
      <c r="DV38" t="e">
        <f>#REF!+"$Cm=!$9|"</f>
        <v>#REF!</v>
      </c>
      <c r="DW38" t="e">
        <f>#REF!+"$Cm=!$9}"</f>
        <v>#REF!</v>
      </c>
      <c r="DX38" t="e">
        <f>#REF!+"$Cm=!$9~"</f>
        <v>#REF!</v>
      </c>
      <c r="DY38" t="e">
        <f>#REF!+"$Cm=!$:#"</f>
        <v>#REF!</v>
      </c>
      <c r="DZ38" t="e">
        <f>#REF!+"$Cm=!$:$"</f>
        <v>#REF!</v>
      </c>
      <c r="EA38" t="e">
        <f>#REF!+"$Cm=!$:%"</f>
        <v>#REF!</v>
      </c>
      <c r="EB38" t="e">
        <f>#REF!+"$Cm=!$:&amp;"</f>
        <v>#REF!</v>
      </c>
      <c r="EC38" t="e">
        <f>#REF!+"$Cm=!$:'"</f>
        <v>#REF!</v>
      </c>
      <c r="ED38" t="e">
        <f>#REF!+"$Cm=!$:("</f>
        <v>#REF!</v>
      </c>
      <c r="EE38" t="e">
        <f>#REF!+"$Cm=!$:)"</f>
        <v>#REF!</v>
      </c>
      <c r="EF38" t="e">
        <f>#REF!+"$Cm=!$:."</f>
        <v>#REF!</v>
      </c>
      <c r="EG38" t="e">
        <f>#REF!+"$Cm=!$:/"</f>
        <v>#REF!</v>
      </c>
      <c r="EH38" t="e">
        <f>#REF!+"$Cm=!$:0"</f>
        <v>#REF!</v>
      </c>
      <c r="EI38" t="e">
        <f>#REF!+"$Cm=!$:1"</f>
        <v>#REF!</v>
      </c>
      <c r="EJ38" t="e">
        <f>#REF!+"$Cm=!$:2"</f>
        <v>#REF!</v>
      </c>
      <c r="EK38" t="e">
        <f>#REF!+"$Cm=!$:3"</f>
        <v>#REF!</v>
      </c>
      <c r="EL38" t="e">
        <f>#REF!+"$Cm=!$:4"</f>
        <v>#REF!</v>
      </c>
      <c r="EM38" t="e">
        <f>#REF!+"$Cm=!$:5"</f>
        <v>#REF!</v>
      </c>
      <c r="EN38" t="e">
        <f>#REF!+"$Cm=!$:6"</f>
        <v>#REF!</v>
      </c>
      <c r="EO38" t="e">
        <f>#REF!+"$Cm=!$:7"</f>
        <v>#REF!</v>
      </c>
      <c r="EP38" t="e">
        <f>#REF!+"$Cm=!$:8"</f>
        <v>#REF!</v>
      </c>
      <c r="EQ38" t="e">
        <f>#REF!+"$Cm=!$:9"</f>
        <v>#REF!</v>
      </c>
      <c r="ER38" t="e">
        <f>#REF!+"$Cm=!$::"</f>
        <v>#REF!</v>
      </c>
      <c r="ES38" t="e">
        <f>#REF!+"$Cm=!$:;"</f>
        <v>#REF!</v>
      </c>
      <c r="ET38" t="e">
        <f>#REF!+"$Cm=!$:&lt;"</f>
        <v>#REF!</v>
      </c>
      <c r="EU38" t="e">
        <f>#REF!+"$Cm=!$:="</f>
        <v>#REF!</v>
      </c>
      <c r="EV38" t="e">
        <f>#REF!+"$Cm=!$:&gt;"</f>
        <v>#REF!</v>
      </c>
      <c r="EW38" t="e">
        <f>#REF!+"$Cm=!$:?"</f>
        <v>#REF!</v>
      </c>
      <c r="EX38" t="e">
        <f>#REF!+"$Cm=!$:@"</f>
        <v>#REF!</v>
      </c>
      <c r="EY38" t="e">
        <f>#REF!+"$Cm=!$:A"</f>
        <v>#REF!</v>
      </c>
      <c r="EZ38" t="e">
        <f>#REF!+"$Cm=!$:B"</f>
        <v>#REF!</v>
      </c>
      <c r="FA38" t="e">
        <f>#REF!+"$Cm=!$:C"</f>
        <v>#REF!</v>
      </c>
      <c r="FB38" t="e">
        <f>#REF!+"$Cm=!$:D"</f>
        <v>#REF!</v>
      </c>
      <c r="FC38" t="e">
        <f>#REF!+"$Cm=!$:E"</f>
        <v>#REF!</v>
      </c>
      <c r="FD38" t="e">
        <f>#REF!+"$Cm=!$:F"</f>
        <v>#REF!</v>
      </c>
      <c r="FE38" t="e">
        <f>#REF!+"$Cm=!$:G"</f>
        <v>#REF!</v>
      </c>
      <c r="FF38" t="e">
        <f>#REF!+"$Cm=!$:H"</f>
        <v>#REF!</v>
      </c>
      <c r="FG38" t="e">
        <f>#REF!+"$Cm=!$:I"</f>
        <v>#REF!</v>
      </c>
      <c r="FH38" t="e">
        <f>#REF!+"$Cm=!$:J"</f>
        <v>#REF!</v>
      </c>
      <c r="FI38" t="e">
        <f>#REF!+"$Cm=!$:K"</f>
        <v>#REF!</v>
      </c>
      <c r="FJ38" t="e">
        <f>#REF!+"$Cm=!$:L"</f>
        <v>#REF!</v>
      </c>
      <c r="FK38" t="e">
        <f>#REF!+"$Cm=!$:M"</f>
        <v>#REF!</v>
      </c>
      <c r="FL38" t="e">
        <f>#REF!+"$Cm=!$:N"</f>
        <v>#REF!</v>
      </c>
      <c r="FM38" t="e">
        <f>#REF!+"$Cm=!$:O"</f>
        <v>#REF!</v>
      </c>
      <c r="FN38" t="e">
        <f>#REF!+"$Cm=!$:P"</f>
        <v>#REF!</v>
      </c>
      <c r="FO38" t="e">
        <f>#REF!+"$Cm=!$:Q"</f>
        <v>#REF!</v>
      </c>
      <c r="FP38" t="e">
        <f>#REF!+"$Cm=!$:R"</f>
        <v>#REF!</v>
      </c>
      <c r="FQ38" t="e">
        <f>#REF!+"$Cm=!$:S"</f>
        <v>#REF!</v>
      </c>
      <c r="FR38" t="e">
        <f>#REF!+"$Cm=!$:T"</f>
        <v>#REF!</v>
      </c>
      <c r="FS38" t="e">
        <f>#REF!+"$Cm=!$:U"</f>
        <v>#REF!</v>
      </c>
      <c r="FT38" t="e">
        <f>#REF!+"$Cm=!$:V"</f>
        <v>#REF!</v>
      </c>
      <c r="FU38" t="e">
        <f>#REF!+"$Cm=!$:W"</f>
        <v>#REF!</v>
      </c>
      <c r="FV38" t="e">
        <f>#REF!+"$Cm=!$:X"</f>
        <v>#REF!</v>
      </c>
      <c r="FW38" t="e">
        <f>#REF!+"$Cm=!$:Y"</f>
        <v>#REF!</v>
      </c>
      <c r="FX38" t="e">
        <f>#REF!+"$Cm=!$:Z"</f>
        <v>#REF!</v>
      </c>
      <c r="FY38" t="e">
        <f>#REF!+"$Cm=!$:["</f>
        <v>#REF!</v>
      </c>
      <c r="FZ38" t="e">
        <f>#REF!+"$Cm=!$:\"</f>
        <v>#REF!</v>
      </c>
      <c r="GA38" t="e">
        <f>#REF!+"$Cm=!$:]"</f>
        <v>#REF!</v>
      </c>
      <c r="GB38" t="e">
        <f>#REF!+"$Cm=!$:^"</f>
        <v>#REF!</v>
      </c>
      <c r="GC38" t="e">
        <f>#REF!+"$Cm=!$:_"</f>
        <v>#REF!</v>
      </c>
      <c r="GD38" t="e">
        <f>#REF!+"$Cm=!$:`"</f>
        <v>#REF!</v>
      </c>
      <c r="GE38" t="e">
        <f>#REF!+"$Cm=!$:a"</f>
        <v>#REF!</v>
      </c>
      <c r="GF38" t="e">
        <f>#REF!+"$Cm=!$:b"</f>
        <v>#REF!</v>
      </c>
      <c r="GG38" t="e">
        <f>#REF!+"$Cm=!$:c"</f>
        <v>#REF!</v>
      </c>
      <c r="GH38" t="e">
        <f>#REF!+"$Cm=!$:d"</f>
        <v>#REF!</v>
      </c>
      <c r="GI38" t="e">
        <f>#REF!+"$Cm=!$:e"</f>
        <v>#REF!</v>
      </c>
      <c r="GJ38" t="e">
        <f>#REF!+"$Cm=!$:f"</f>
        <v>#REF!</v>
      </c>
      <c r="GK38" t="e">
        <f>#REF!+"$Cm=!$:g"</f>
        <v>#REF!</v>
      </c>
      <c r="GL38" t="e">
        <f>#REF!+"$Cm=!$:h"</f>
        <v>#REF!</v>
      </c>
      <c r="GM38" t="e">
        <f>#REF!+"$Cm=!$:i"</f>
        <v>#REF!</v>
      </c>
      <c r="GN38" t="e">
        <f>#REF!+"$Cm=!$:j"</f>
        <v>#REF!</v>
      </c>
      <c r="GO38" t="e">
        <f>#REF!+"$Cm=!$:k"</f>
        <v>#REF!</v>
      </c>
      <c r="GP38" t="e">
        <f>#REF!+"$Cm=!$:l"</f>
        <v>#REF!</v>
      </c>
      <c r="GQ38" t="e">
        <f>#REF!+"$Cm=!$:m"</f>
        <v>#REF!</v>
      </c>
      <c r="GR38" t="e">
        <f>#REF!+"$Cm=!$:n"</f>
        <v>#REF!</v>
      </c>
      <c r="GS38" t="e">
        <f>#REF!+"$Cm=!$:o"</f>
        <v>#REF!</v>
      </c>
      <c r="GT38" t="e">
        <f>#REF!+"$Cm=!$:p"</f>
        <v>#REF!</v>
      </c>
      <c r="GU38" t="e">
        <f>#REF!+"$Cm=!$:q"</f>
        <v>#REF!</v>
      </c>
      <c r="GV38" t="e">
        <f>#REF!+"$Cm=!$:r"</f>
        <v>#REF!</v>
      </c>
      <c r="GW38" t="e">
        <f>#REF!+"$Cm=!$:s"</f>
        <v>#REF!</v>
      </c>
      <c r="GX38" t="e">
        <f>#REF!+"$Cm=!$:t"</f>
        <v>#REF!</v>
      </c>
      <c r="GY38" t="e">
        <f>#REF!+"$Cm=!$:u"</f>
        <v>#REF!</v>
      </c>
      <c r="GZ38" t="e">
        <f>#REF!+"$Cm=!$:v"</f>
        <v>#REF!</v>
      </c>
      <c r="HA38" t="e">
        <f>#REF!+"$Cm=!$:w"</f>
        <v>#REF!</v>
      </c>
      <c r="HB38" t="e">
        <f>#REF!+"$Cm=!$:x"</f>
        <v>#REF!</v>
      </c>
      <c r="HC38" t="e">
        <f>#REF!+"$Cm=!$:y"</f>
        <v>#REF!</v>
      </c>
      <c r="HD38" t="e">
        <f>#REF!+"$Cm=!$:z"</f>
        <v>#REF!</v>
      </c>
      <c r="HE38" t="e">
        <f>#REF!+"$Cm=!$:{"</f>
        <v>#REF!</v>
      </c>
      <c r="HF38" t="e">
        <f>#REF!+"$Cm=!$:|"</f>
        <v>#REF!</v>
      </c>
      <c r="HG38" t="e">
        <f>#REF!+"$Cm=!$:}"</f>
        <v>#REF!</v>
      </c>
      <c r="HH38" t="e">
        <f>#REF!+"$Cm=!$:~"</f>
        <v>#REF!</v>
      </c>
      <c r="HI38" t="e">
        <f>#REF!+"$Cm=!$;#"</f>
        <v>#REF!</v>
      </c>
      <c r="HJ38" t="e">
        <f>#REF!+"$Cm=!$;$"</f>
        <v>#REF!</v>
      </c>
      <c r="HK38" t="e">
        <f>#REF!+"$Cm=!$;%"</f>
        <v>#REF!</v>
      </c>
      <c r="HL38" t="e">
        <f>#REF!+"$Cm=!$;&amp;"</f>
        <v>#REF!</v>
      </c>
      <c r="HM38" t="e">
        <f>#REF!+"$Cm=!$;'"</f>
        <v>#REF!</v>
      </c>
      <c r="HN38" t="e">
        <f>#REF!+"$Cm=!$;("</f>
        <v>#REF!</v>
      </c>
      <c r="HO38" t="e">
        <f>#REF!+"$Cm=!$;)"</f>
        <v>#REF!</v>
      </c>
      <c r="HP38" t="e">
        <f>#REF!+"$Cm=!$;."</f>
        <v>#REF!</v>
      </c>
      <c r="HQ38" t="e">
        <f>#REF!+"$Cm=!$;/"</f>
        <v>#REF!</v>
      </c>
      <c r="HR38" t="e">
        <f>#REF!+"$Cm=!$;0"</f>
        <v>#REF!</v>
      </c>
      <c r="HS38" t="e">
        <f>#REF!+"$Cm=!$;1"</f>
        <v>#REF!</v>
      </c>
      <c r="HT38" t="e">
        <f>#REF!+"$Cm=!$;2"</f>
        <v>#REF!</v>
      </c>
      <c r="HU38" t="e">
        <f>#REF!+"$Cm=!$;3"</f>
        <v>#REF!</v>
      </c>
      <c r="HV38" t="e">
        <f>#REF!+"$Cm=!$;4"</f>
        <v>#REF!</v>
      </c>
      <c r="HW38" t="e">
        <f>#REF!+"$Cm=!$;5"</f>
        <v>#REF!</v>
      </c>
      <c r="HX38" t="e">
        <f>#REF!+"$Cm=!$;6"</f>
        <v>#REF!</v>
      </c>
      <c r="HY38" t="e">
        <f>#REF!+"$Cm=!$;7"</f>
        <v>#REF!</v>
      </c>
      <c r="HZ38" t="e">
        <f>#REF!+"$Cm=!$;8"</f>
        <v>#REF!</v>
      </c>
      <c r="IA38" t="e">
        <f>#REF!+"$Cm=!$;9"</f>
        <v>#REF!</v>
      </c>
      <c r="IB38" t="e">
        <f>#REF!+"$Cm=!$;:"</f>
        <v>#REF!</v>
      </c>
      <c r="IC38" t="e">
        <f>#REF!+"$Cm=!$;;"</f>
        <v>#REF!</v>
      </c>
      <c r="ID38" t="e">
        <f>#REF!+"$Cm=!$;&lt;"</f>
        <v>#REF!</v>
      </c>
      <c r="IE38" t="e">
        <f>#REF!+"$Cm=!$;="</f>
        <v>#REF!</v>
      </c>
      <c r="IF38" t="e">
        <f>#REF!+"$Cm=!$;&gt;"</f>
        <v>#REF!</v>
      </c>
      <c r="IG38" t="e">
        <f>#REF!+"$Cm=!$;?"</f>
        <v>#REF!</v>
      </c>
      <c r="IH38" t="e">
        <f>#REF!+"$Cm=!$;@"</f>
        <v>#REF!</v>
      </c>
      <c r="II38" t="e">
        <f>#REF!+"$Cm=!$;A"</f>
        <v>#REF!</v>
      </c>
      <c r="IJ38" t="e">
        <f>#REF!+"$Cm=!$;B"</f>
        <v>#REF!</v>
      </c>
      <c r="IK38" t="e">
        <f>#REF!+"$Cm=!$;C"</f>
        <v>#REF!</v>
      </c>
      <c r="IL38" t="e">
        <f>#REF!+"$Cm=!$;D"</f>
        <v>#REF!</v>
      </c>
      <c r="IM38" t="e">
        <f>#REF!+"$Cm=!$;E"</f>
        <v>#REF!</v>
      </c>
      <c r="IN38" t="e">
        <f>#REF!+"$Cm=!$;F"</f>
        <v>#REF!</v>
      </c>
      <c r="IO38" t="e">
        <f>#REF!+"$Cm=!$;G"</f>
        <v>#REF!</v>
      </c>
      <c r="IP38" t="e">
        <f>#REF!+"$Cm=!$;H"</f>
        <v>#REF!</v>
      </c>
      <c r="IQ38" t="e">
        <f>#REF!+"$Cm=!$;I"</f>
        <v>#REF!</v>
      </c>
      <c r="IR38" t="e">
        <f>#REF!+"$Cm=!$;J"</f>
        <v>#REF!</v>
      </c>
      <c r="IS38" t="e">
        <f>#REF!+"$Cm=!$;K"</f>
        <v>#REF!</v>
      </c>
      <c r="IT38" t="e">
        <f>#REF!+"$Cm=!$;L"</f>
        <v>#REF!</v>
      </c>
      <c r="IU38" t="e">
        <f>#REF!+"$Cm=!$;M"</f>
        <v>#REF!</v>
      </c>
      <c r="IV38" t="e">
        <f>#REF!+"$Cm=!$;N"</f>
        <v>#REF!</v>
      </c>
    </row>
    <row r="39" spans="6:256">
      <c r="F39" t="e">
        <f>#REF!+"$Cm=!$;O"</f>
        <v>#REF!</v>
      </c>
      <c r="G39" t="e">
        <f>#REF!+"$Cm=!$;P"</f>
        <v>#REF!</v>
      </c>
      <c r="H39" t="e">
        <f>#REF!+"$Cm=!$;Q"</f>
        <v>#REF!</v>
      </c>
      <c r="I39" t="e">
        <f>#REF!+"$Cm=!$;R"</f>
        <v>#REF!</v>
      </c>
      <c r="J39" t="e">
        <f>#REF!+"$Cm=!$;S"</f>
        <v>#REF!</v>
      </c>
      <c r="K39" t="e">
        <f>#REF!+"$Cm=!$;T"</f>
        <v>#REF!</v>
      </c>
      <c r="L39" t="e">
        <f>#REF!+"$Cm=!$;U"</f>
        <v>#REF!</v>
      </c>
      <c r="M39" t="e">
        <f>#REF!+"$Cm=!$;V"</f>
        <v>#REF!</v>
      </c>
      <c r="N39" t="e">
        <f>#REF!+"$Cm=!$;W"</f>
        <v>#REF!</v>
      </c>
      <c r="O39" t="e">
        <f>#REF!+"$Cm=!$;X"</f>
        <v>#REF!</v>
      </c>
      <c r="P39" t="e">
        <f>#REF!+"$Cm=!$;Y"</f>
        <v>#REF!</v>
      </c>
      <c r="Q39" t="e">
        <f>#REF!+"$Cm=!$;Z"</f>
        <v>#REF!</v>
      </c>
      <c r="R39" t="e">
        <f>#REF!+"$Cm=!$;["</f>
        <v>#REF!</v>
      </c>
      <c r="S39" t="e">
        <f>#REF!+"$Cm=!$;\"</f>
        <v>#REF!</v>
      </c>
      <c r="T39" t="e">
        <f>#REF!+"$Cm=!$;]"</f>
        <v>#REF!</v>
      </c>
      <c r="U39" t="e">
        <f>#REF!+"$Cm=!$;^"</f>
        <v>#REF!</v>
      </c>
      <c r="V39" t="e">
        <f>#REF!+"$Cm=!$;_"</f>
        <v>#REF!</v>
      </c>
      <c r="W39" t="e">
        <f>#REF!+"$Cm=!$;`"</f>
        <v>#REF!</v>
      </c>
      <c r="X39" t="e">
        <f>#REF!+"$Cm=!$;a"</f>
        <v>#REF!</v>
      </c>
      <c r="Y39" t="e">
        <f>#REF!+"$Cm=!$;b"</f>
        <v>#REF!</v>
      </c>
      <c r="Z39" t="e">
        <f>#REF!+"$Cm=!$;c"</f>
        <v>#REF!</v>
      </c>
      <c r="AA39" t="e">
        <f>#REF!+"$Cm=!$;d"</f>
        <v>#REF!</v>
      </c>
      <c r="AB39" t="e">
        <f>#REF!+"$Cm=!$;e"</f>
        <v>#REF!</v>
      </c>
      <c r="AC39" t="e">
        <f>#REF!+"$Cm=!$;f"</f>
        <v>#REF!</v>
      </c>
      <c r="AD39" t="e">
        <f>#REF!+"$Cm=!$;g"</f>
        <v>#REF!</v>
      </c>
      <c r="AE39" t="e">
        <f>#REF!+"$Cm=!$;h"</f>
        <v>#REF!</v>
      </c>
      <c r="AF39" t="e">
        <f>#REF!+"$Cm=!$;i"</f>
        <v>#REF!</v>
      </c>
      <c r="AG39" t="e">
        <f>#REF!+"$Cm=!$;j"</f>
        <v>#REF!</v>
      </c>
      <c r="AH39" t="e">
        <f>#REF!+"$Cm=!$;k"</f>
        <v>#REF!</v>
      </c>
      <c r="AI39" t="e">
        <f>#REF!+"$Cm=!$;l"</f>
        <v>#REF!</v>
      </c>
      <c r="AJ39" t="e">
        <f>#REF!+"$Cm=!$;m"</f>
        <v>#REF!</v>
      </c>
      <c r="AK39" t="e">
        <f>#REF!+"$Cm=!$;n"</f>
        <v>#REF!</v>
      </c>
      <c r="AL39" t="e">
        <f>#REF!+"$Cm=!$;o"</f>
        <v>#REF!</v>
      </c>
      <c r="AM39" t="e">
        <f>#REF!+"$Cm=!$;p"</f>
        <v>#REF!</v>
      </c>
      <c r="AN39" t="e">
        <f>#REF!+"$Cm=!$;q"</f>
        <v>#REF!</v>
      </c>
      <c r="AO39" t="e">
        <f>#REF!+"$Cm=!$;r"</f>
        <v>#REF!</v>
      </c>
      <c r="AP39" t="e">
        <f>#REF!+"$Cm=!$;s"</f>
        <v>#REF!</v>
      </c>
      <c r="AQ39" t="e">
        <f>#REF!+"$Cm=!$;t"</f>
        <v>#REF!</v>
      </c>
      <c r="AR39" t="e">
        <f>#REF!+"$Cm=!$;u"</f>
        <v>#REF!</v>
      </c>
      <c r="AS39" t="e">
        <f>#REF!+"$Cm=!$;v"</f>
        <v>#REF!</v>
      </c>
      <c r="AT39" t="e">
        <f>#REF!+"$Cm=!$;w"</f>
        <v>#REF!</v>
      </c>
      <c r="AU39" t="e">
        <f>#REF!+"$Cm=!$;x"</f>
        <v>#REF!</v>
      </c>
      <c r="AV39" t="e">
        <f>#REF!+"$Cm=!$;y"</f>
        <v>#REF!</v>
      </c>
      <c r="AW39" t="e">
        <f>#REF!+"$Cm=!$;z"</f>
        <v>#REF!</v>
      </c>
      <c r="AX39" t="e">
        <f>#REF!+"$Cm=!$;{"</f>
        <v>#REF!</v>
      </c>
      <c r="AY39" t="e">
        <f>#REF!+"$Cm=!$;|"</f>
        <v>#REF!</v>
      </c>
      <c r="AZ39" t="e">
        <f>#REF!+"$Cm=!$;}"</f>
        <v>#REF!</v>
      </c>
      <c r="BA39" t="e">
        <f>#REF!+"$Cm=!$;~"</f>
        <v>#REF!</v>
      </c>
      <c r="BB39" t="e">
        <f>#REF!+"$Cm=!$&lt;#"</f>
        <v>#REF!</v>
      </c>
      <c r="BC39" t="e">
        <f>#REF!+"$Cm=!$&lt;$"</f>
        <v>#REF!</v>
      </c>
      <c r="BD39" t="e">
        <f>#REF!+"$Cm=!$&lt;%"</f>
        <v>#REF!</v>
      </c>
      <c r="BE39" t="e">
        <f>#REF!+"$Cm=!$&lt;&amp;"</f>
        <v>#REF!</v>
      </c>
      <c r="BF39" t="e">
        <f>#REF!+"$Cm=!$&lt;'"</f>
        <v>#REF!</v>
      </c>
      <c r="BG39" t="e">
        <f>#REF!+"$Cm=!$&lt;("</f>
        <v>#REF!</v>
      </c>
      <c r="BH39" t="e">
        <f>#REF!+"$Cm=!$&lt;)"</f>
        <v>#REF!</v>
      </c>
      <c r="BI39" t="e">
        <f>#REF!+"$Cm=!$&lt;."</f>
        <v>#REF!</v>
      </c>
      <c r="BJ39" t="e">
        <f>#REF!+"$Cm=!$&lt;/"</f>
        <v>#REF!</v>
      </c>
      <c r="BK39" t="e">
        <f>#REF!+"$Cm=!$&lt;0"</f>
        <v>#REF!</v>
      </c>
      <c r="BL39" t="e">
        <f>#REF!+"$Cm=!$&lt;1"</f>
        <v>#REF!</v>
      </c>
      <c r="BM39" t="e">
        <f>#REF!+"$Cm=!$&lt;2"</f>
        <v>#REF!</v>
      </c>
      <c r="BN39" t="e">
        <f>#REF!+"$Cm=!$&lt;3"</f>
        <v>#REF!</v>
      </c>
      <c r="BO39" t="e">
        <f>#REF!+"$Cm=!$&lt;4"</f>
        <v>#REF!</v>
      </c>
      <c r="BP39" t="e">
        <f>#REF!+"$Cm=!$&lt;5"</f>
        <v>#REF!</v>
      </c>
      <c r="BQ39" t="e">
        <f>#REF!+"$Cm=!$&lt;6"</f>
        <v>#REF!</v>
      </c>
      <c r="BR39" t="e">
        <f>#REF!+"$Cm=!$&lt;7"</f>
        <v>#REF!</v>
      </c>
      <c r="BS39" t="e">
        <f>#REF!+"$Cm=!$&lt;8"</f>
        <v>#REF!</v>
      </c>
      <c r="BT39" t="e">
        <f>#REF!+"$Cm=!$&lt;9"</f>
        <v>#REF!</v>
      </c>
      <c r="BU39" t="e">
        <f>#REF!+"$Cm=!$&lt;:"</f>
        <v>#REF!</v>
      </c>
      <c r="BV39" t="e">
        <f>#REF!+"$Cm=!$&lt;;"</f>
        <v>#REF!</v>
      </c>
      <c r="BW39" t="e">
        <f>#REF!+"$Cm=!$&lt;&lt;"</f>
        <v>#REF!</v>
      </c>
      <c r="BX39" t="e">
        <f>#REF!+"$Cm=!$&lt;="</f>
        <v>#REF!</v>
      </c>
      <c r="BY39" t="e">
        <f>#REF!+"$Cm=!$&lt;&gt;"</f>
        <v>#REF!</v>
      </c>
      <c r="BZ39" t="e">
        <f>#REF!+"$Cm=!$&lt;?"</f>
        <v>#REF!</v>
      </c>
      <c r="CA39" t="e">
        <f>#REF!+"$Cm=!$&lt;@"</f>
        <v>#REF!</v>
      </c>
      <c r="CB39" t="e">
        <f>#REF!+"$Cm=!$&lt;A"</f>
        <v>#REF!</v>
      </c>
      <c r="CC39" t="e">
        <f>#REF!+"$Cm=!$&lt;B"</f>
        <v>#REF!</v>
      </c>
      <c r="CD39" t="e">
        <f>#REF!+"$Cm=!$&lt;C"</f>
        <v>#REF!</v>
      </c>
      <c r="CE39" t="e">
        <f>#REF!+"$Cm=!$&lt;D"</f>
        <v>#REF!</v>
      </c>
      <c r="CF39" t="e">
        <f>#REF!+"$Cm=!$&lt;E"</f>
        <v>#REF!</v>
      </c>
      <c r="CG39" t="e">
        <f>#REF!+"$Cm=!$&lt;F"</f>
        <v>#REF!</v>
      </c>
      <c r="CH39" t="e">
        <f>#REF!+"$Cm=!$&lt;G"</f>
        <v>#REF!</v>
      </c>
      <c r="CI39" t="e">
        <f>#REF!+"$Cm=!$&lt;H"</f>
        <v>#REF!</v>
      </c>
      <c r="CJ39" t="e">
        <f>#REF!+"$Cm=!$&lt;I"</f>
        <v>#REF!</v>
      </c>
      <c r="CK39" t="e">
        <f>#REF!+"$Cm=!$&lt;J"</f>
        <v>#REF!</v>
      </c>
      <c r="CL39" t="e">
        <f>#REF!+"$Cm=!$&lt;K"</f>
        <v>#REF!</v>
      </c>
      <c r="CM39" t="e">
        <f>#REF!+"$Cm=!$&lt;L"</f>
        <v>#REF!</v>
      </c>
      <c r="CN39" t="e">
        <f>#REF!+"$Cm=!$&lt;M"</f>
        <v>#REF!</v>
      </c>
      <c r="CO39" t="e">
        <f>#REF!+"$Cm=!$&lt;N"</f>
        <v>#REF!</v>
      </c>
      <c r="CP39" t="e">
        <f>#REF!+"$Cm=!$&lt;O"</f>
        <v>#REF!</v>
      </c>
      <c r="CQ39" t="e">
        <f>#REF!+"$Cm=!$&lt;P"</f>
        <v>#REF!</v>
      </c>
      <c r="CR39" t="e">
        <f>#REF!+"$Cm=!$&lt;Q"</f>
        <v>#REF!</v>
      </c>
      <c r="CS39" t="e">
        <f>#REF!+"$Cm=!$&lt;R"</f>
        <v>#REF!</v>
      </c>
      <c r="CT39" t="e">
        <f>#REF!+"$Cm=!$&lt;S"</f>
        <v>#REF!</v>
      </c>
      <c r="CU39" t="e">
        <f>#REF!+"$Cm=!$&lt;T"</f>
        <v>#REF!</v>
      </c>
      <c r="CV39" t="e">
        <f>#REF!+"$Cm=!$&lt;U"</f>
        <v>#REF!</v>
      </c>
      <c r="CW39" t="e">
        <f>#REF!+"$Cm=!$&lt;V"</f>
        <v>#REF!</v>
      </c>
      <c r="CX39" t="e">
        <f>#REF!+"$Cm=!$&lt;W"</f>
        <v>#REF!</v>
      </c>
      <c r="CY39" t="e">
        <f>#REF!+"$Cm=!$&lt;X"</f>
        <v>#REF!</v>
      </c>
      <c r="CZ39" t="e">
        <f>#REF!+"$Cm=!$&lt;Y"</f>
        <v>#REF!</v>
      </c>
      <c r="DA39" t="e">
        <f>#REF!+"$Cm=!$&lt;Z"</f>
        <v>#REF!</v>
      </c>
      <c r="DB39" t="e">
        <f>#REF!+"$Cm=!$&lt;["</f>
        <v>#REF!</v>
      </c>
      <c r="DC39" t="e">
        <f>#REF!+"$Cm=!$&lt;\"</f>
        <v>#REF!</v>
      </c>
      <c r="DD39" t="e">
        <f>#REF!+"$Cm=!$&lt;]"</f>
        <v>#REF!</v>
      </c>
      <c r="DE39" t="e">
        <f>#REF!+"$Cm=!$&lt;^"</f>
        <v>#REF!</v>
      </c>
      <c r="DF39" t="e">
        <f>#REF!+"$Cm=!$&lt;_"</f>
        <v>#REF!</v>
      </c>
      <c r="DG39" t="e">
        <f>#REF!+"$Cm=!$&lt;`"</f>
        <v>#REF!</v>
      </c>
      <c r="DH39" t="e">
        <f>#REF!+"$Cm=!$&lt;a"</f>
        <v>#REF!</v>
      </c>
      <c r="DI39" t="e">
        <f>#REF!+"$Cm=!$&lt;b"</f>
        <v>#REF!</v>
      </c>
      <c r="DJ39" t="e">
        <f>#REF!+"$Cm=!$&lt;c"</f>
        <v>#REF!</v>
      </c>
      <c r="DK39" t="e">
        <f>#REF!+"$Cm=!$&lt;d"</f>
        <v>#REF!</v>
      </c>
      <c r="DL39" t="e">
        <f>#REF!+"$Cm=!$&lt;e"</f>
        <v>#REF!</v>
      </c>
      <c r="DM39" t="e">
        <f>#REF!+"$Cm=!$&lt;f"</f>
        <v>#REF!</v>
      </c>
      <c r="DN39" t="e">
        <f>#REF!+"$Cm=!$&lt;g"</f>
        <v>#REF!</v>
      </c>
      <c r="DO39" t="e">
        <f>#REF!+"$Cm=!$&lt;h"</f>
        <v>#REF!</v>
      </c>
      <c r="DP39" t="e">
        <f>#REF!+"$Cm=!$&lt;i"</f>
        <v>#REF!</v>
      </c>
      <c r="DQ39" t="e">
        <f>#REF!+"$Cm=!$&lt;j"</f>
        <v>#REF!</v>
      </c>
      <c r="DR39" t="e">
        <f>#REF!+"$Cm=!$&lt;k"</f>
        <v>#REF!</v>
      </c>
      <c r="DS39" t="e">
        <f>#REF!+"$Cm=!$&lt;l"</f>
        <v>#REF!</v>
      </c>
      <c r="DT39" t="e">
        <f>#REF!+"$Cm=!$&lt;m"</f>
        <v>#REF!</v>
      </c>
      <c r="DU39" t="e">
        <f>#REF!+"$Cm=!$&lt;n"</f>
        <v>#REF!</v>
      </c>
      <c r="DV39" t="e">
        <f>#REF!+"$Cm=!$&lt;o"</f>
        <v>#REF!</v>
      </c>
      <c r="DW39" t="e">
        <f>#REF!+"$Cm=!$&lt;p"</f>
        <v>#REF!</v>
      </c>
      <c r="DX39" t="e">
        <f>#REF!+"$Cm=!$&lt;q"</f>
        <v>#REF!</v>
      </c>
      <c r="DY39" t="e">
        <f>#REF!+"$Cm=!$&lt;r"</f>
        <v>#REF!</v>
      </c>
      <c r="DZ39" t="e">
        <f>#REF!+"$Cm=!$&lt;s"</f>
        <v>#REF!</v>
      </c>
      <c r="EA39" t="e">
        <f>#REF!+"$Cm=!$&lt;t"</f>
        <v>#REF!</v>
      </c>
      <c r="EB39" t="e">
        <f>#REF!+"$Cm=!$&lt;u"</f>
        <v>#REF!</v>
      </c>
      <c r="EC39" t="e">
        <f>#REF!+"$Cm=!$&lt;v"</f>
        <v>#REF!</v>
      </c>
      <c r="ED39" t="e">
        <f>#REF!+"$Cm=!$&lt;w"</f>
        <v>#REF!</v>
      </c>
      <c r="EE39" t="e">
        <f>#REF!+"$Cm=!$&lt;x"</f>
        <v>#REF!</v>
      </c>
      <c r="EF39" t="e">
        <f>#REF!+"$Cm=!$&lt;y"</f>
        <v>#REF!</v>
      </c>
      <c r="EG39" t="e">
        <f>#REF!+"$Cm=!$&lt;z"</f>
        <v>#REF!</v>
      </c>
      <c r="EH39" t="e">
        <f>#REF!+"$Cm=!$&lt;{"</f>
        <v>#REF!</v>
      </c>
      <c r="EI39" t="e">
        <f>#REF!+"$Cm=!$&lt;|"</f>
        <v>#REF!</v>
      </c>
      <c r="EJ39" t="e">
        <f>#REF!+"$Cm=!$&lt;}"</f>
        <v>#REF!</v>
      </c>
      <c r="EK39" t="e">
        <f>#REF!+"$Cm=!$&lt;~"</f>
        <v>#REF!</v>
      </c>
      <c r="EL39" t="e">
        <f>#REF!+"$Cm=!$=#"</f>
        <v>#REF!</v>
      </c>
      <c r="EM39" t="e">
        <f>#REF!+"$Cm=!$=$"</f>
        <v>#REF!</v>
      </c>
      <c r="EN39" t="e">
        <f>#REF!+"$Cm=!$=%"</f>
        <v>#REF!</v>
      </c>
      <c r="EO39" t="e">
        <f>#REF!+"$Cm=!$=&amp;"</f>
        <v>#REF!</v>
      </c>
      <c r="EP39" t="e">
        <f>#REF!+"$Cm=!$='"</f>
        <v>#REF!</v>
      </c>
      <c r="EQ39" t="e">
        <f>#REF!+"$Cm=!$=("</f>
        <v>#REF!</v>
      </c>
      <c r="ER39" t="e">
        <f>#REF!+"$Cm=!$=)"</f>
        <v>#REF!</v>
      </c>
      <c r="ES39" t="e">
        <f>#REF!+"$Cm=!$=."</f>
        <v>#REF!</v>
      </c>
      <c r="ET39" t="e">
        <f>#REF!+"$Cm=!$=/"</f>
        <v>#REF!</v>
      </c>
      <c r="EU39" t="e">
        <f>#REF!+"$Cm=!$=0"</f>
        <v>#REF!</v>
      </c>
      <c r="EV39" t="e">
        <f>#REF!+"$Cm=!$=1"</f>
        <v>#REF!</v>
      </c>
      <c r="EW39" t="e">
        <f>#REF!+"$Cm=!$=2"</f>
        <v>#REF!</v>
      </c>
      <c r="EX39" t="e">
        <f>#REF!+"$Cm=!$=3"</f>
        <v>#REF!</v>
      </c>
      <c r="EY39" t="e">
        <f>#REF!+"$Cm=!$=4"</f>
        <v>#REF!</v>
      </c>
      <c r="EZ39" t="e">
        <f>#REF!+"$Cm=!$=5"</f>
        <v>#REF!</v>
      </c>
      <c r="FA39" t="e">
        <f>#REF!+"$Cm=!$=6"</f>
        <v>#REF!</v>
      </c>
      <c r="FB39" t="e">
        <f>#REF!+"$Cm=!$=7"</f>
        <v>#REF!</v>
      </c>
      <c r="FC39" t="e">
        <f>#REF!+"$Cm=!$=8"</f>
        <v>#REF!</v>
      </c>
      <c r="FD39" t="e">
        <f>#REF!+"$Cm=!$=9"</f>
        <v>#REF!</v>
      </c>
      <c r="FE39" t="e">
        <f>#REF!+"$Cm=!$=:"</f>
        <v>#REF!</v>
      </c>
      <c r="FF39" t="e">
        <f>#REF!+"$Cm=!$=;"</f>
        <v>#REF!</v>
      </c>
      <c r="FG39" t="e">
        <f>#REF!+"$Cm=!$=&lt;"</f>
        <v>#REF!</v>
      </c>
      <c r="FH39" t="e">
        <f>#REF!+"$Cm=!$=="</f>
        <v>#REF!</v>
      </c>
      <c r="FI39" t="e">
        <f>#REF!+"$Cm=!$=&gt;"</f>
        <v>#REF!</v>
      </c>
      <c r="FJ39" t="e">
        <f>#REF!+"$Cm=!$=?"</f>
        <v>#REF!</v>
      </c>
      <c r="FK39" t="e">
        <f>#REF!+"$Cm=!$=@"</f>
        <v>#REF!</v>
      </c>
      <c r="FL39" t="e">
        <f>#REF!+"$Cm=!$=A"</f>
        <v>#REF!</v>
      </c>
      <c r="FM39" t="e">
        <f>#REF!+"$Cm=!$=B"</f>
        <v>#REF!</v>
      </c>
      <c r="FN39" t="e">
        <f>#REF!+"$Cm=!$=C"</f>
        <v>#REF!</v>
      </c>
      <c r="FO39" t="e">
        <f>#REF!+"$Cm=!$=D"</f>
        <v>#REF!</v>
      </c>
      <c r="FP39" t="e">
        <f>#REF!+"$Cm=!$=E"</f>
        <v>#REF!</v>
      </c>
      <c r="FQ39" t="e">
        <f>#REF!+"$Cm=!$=F"</f>
        <v>#REF!</v>
      </c>
      <c r="FR39" t="e">
        <f>#REF!+"$Cm=!$=G"</f>
        <v>#REF!</v>
      </c>
      <c r="FS39" t="e">
        <f>#REF!+"$Cm=!$=H"</f>
        <v>#REF!</v>
      </c>
      <c r="FT39" t="e">
        <f>#REF!+"$Cm=!$=I"</f>
        <v>#REF!</v>
      </c>
      <c r="FU39" t="e">
        <f>#REF!+"$Cm=!$=J"</f>
        <v>#REF!</v>
      </c>
      <c r="FV39" t="e">
        <f>#REF!+"$Cm=!$=K"</f>
        <v>#REF!</v>
      </c>
      <c r="FW39" t="e">
        <f>#REF!+"$Cm=!$=L"</f>
        <v>#REF!</v>
      </c>
      <c r="FX39" t="e">
        <f>#REF!+"$Cm=!$=M"</f>
        <v>#REF!</v>
      </c>
      <c r="FY39" t="e">
        <f>#REF!+"$Cm=!$=N"</f>
        <v>#REF!</v>
      </c>
      <c r="FZ39" t="e">
        <f>#REF!+"$Cm=!$=O"</f>
        <v>#REF!</v>
      </c>
      <c r="GA39" t="e">
        <f>#REF!+"$Cm=!$=P"</f>
        <v>#REF!</v>
      </c>
      <c r="GB39" t="e">
        <f>#REF!+"$Cm=!$=Q"</f>
        <v>#REF!</v>
      </c>
      <c r="GC39" t="e">
        <f>#REF!+"$Cm=!$=R"</f>
        <v>#REF!</v>
      </c>
      <c r="GD39" t="e">
        <f>#REF!+"$Cm=!$=S"</f>
        <v>#REF!</v>
      </c>
      <c r="GE39" t="e">
        <f>#REF!+"$Cm=!$=T"</f>
        <v>#REF!</v>
      </c>
      <c r="GF39" t="e">
        <f>#REF!+"$Cm=!$=U"</f>
        <v>#REF!</v>
      </c>
      <c r="GG39" t="e">
        <f>#REF!+"$Cm=!$=V"</f>
        <v>#REF!</v>
      </c>
      <c r="GH39" t="e">
        <f>#REF!+"$Cm=!$=W"</f>
        <v>#REF!</v>
      </c>
      <c r="GI39" t="e">
        <f>#REF!+"$Cm=!$=X"</f>
        <v>#REF!</v>
      </c>
      <c r="GJ39" t="e">
        <f>#REF!+"$Cm=!$=Y"</f>
        <v>#REF!</v>
      </c>
      <c r="GK39" t="e">
        <f>#REF!+"$Cm=!$=Z"</f>
        <v>#REF!</v>
      </c>
      <c r="GL39" t="e">
        <f>#REF!+"$Cm=!$=["</f>
        <v>#REF!</v>
      </c>
      <c r="GM39" t="e">
        <f>#REF!+"$Cm=!$=\"</f>
        <v>#REF!</v>
      </c>
      <c r="GN39" t="e">
        <f>#REF!+"$Cm=!$=]"</f>
        <v>#REF!</v>
      </c>
      <c r="GO39" t="e">
        <f>#REF!+"$Cm=!$=^"</f>
        <v>#REF!</v>
      </c>
      <c r="GP39" t="e">
        <f>#REF!+"$Cm=!$=_"</f>
        <v>#REF!</v>
      </c>
      <c r="GQ39" t="e">
        <f>#REF!+"$Cm=!$=`"</f>
        <v>#REF!</v>
      </c>
      <c r="GR39" t="e">
        <f>#REF!+"$Cm=!$=a"</f>
        <v>#REF!</v>
      </c>
      <c r="GS39" t="e">
        <f>#REF!+"$Cm=!$=b"</f>
        <v>#REF!</v>
      </c>
      <c r="GT39" t="e">
        <f>#REF!+"$Cm=!$=c"</f>
        <v>#REF!</v>
      </c>
      <c r="GU39" t="e">
        <f>#REF!+"$Cm=!$=d"</f>
        <v>#REF!</v>
      </c>
      <c r="GV39" t="e">
        <f>#REF!+"$Cm=!$=e"</f>
        <v>#REF!</v>
      </c>
      <c r="GW39" t="e">
        <f>#REF!+"$Cm=!$=f"</f>
        <v>#REF!</v>
      </c>
      <c r="GX39" t="e">
        <f>#REF!+"$Cm=!$=g"</f>
        <v>#REF!</v>
      </c>
      <c r="GY39" t="e">
        <f>#REF!+"$Cm=!$=h"</f>
        <v>#REF!</v>
      </c>
      <c r="GZ39" t="e">
        <f>#REF!+"$Cm=!$=i"</f>
        <v>#REF!</v>
      </c>
      <c r="HA39" t="e">
        <f>#REF!+"$Cm=!$=j"</f>
        <v>#REF!</v>
      </c>
      <c r="HB39" t="e">
        <f>#REF!+"$Cm=!$=k"</f>
        <v>#REF!</v>
      </c>
      <c r="HC39" t="e">
        <f>#REF!+"$Cm=!$=l"</f>
        <v>#REF!</v>
      </c>
      <c r="HD39" t="e">
        <f>#REF!+"$Cm=!$=m"</f>
        <v>#REF!</v>
      </c>
      <c r="HE39" t="e">
        <f>#REF!+"$Cm=!$=n"</f>
        <v>#REF!</v>
      </c>
      <c r="HF39" t="e">
        <f>#REF!+"$Cm=!$=o"</f>
        <v>#REF!</v>
      </c>
      <c r="HG39" t="e">
        <f>#REF!+"$Cm=!$=p"</f>
        <v>#REF!</v>
      </c>
      <c r="HH39" t="e">
        <f>#REF!+"$Cm=!$=q"</f>
        <v>#REF!</v>
      </c>
      <c r="HI39" t="e">
        <f>#REF!+"$Cm=!$=r"</f>
        <v>#REF!</v>
      </c>
      <c r="HJ39" t="e">
        <f>#REF!+"$Cm=!$=s"</f>
        <v>#REF!</v>
      </c>
      <c r="HK39" t="e">
        <f>#REF!+"$Cm=!$=t"</f>
        <v>#REF!</v>
      </c>
      <c r="HL39" t="e">
        <f>#REF!+"$Cm=!$=u"</f>
        <v>#REF!</v>
      </c>
      <c r="HM39" t="e">
        <f>#REF!+"$Cm=!$=v"</f>
        <v>#REF!</v>
      </c>
      <c r="HN39" t="e">
        <f>#REF!+"$Cm=!$=w"</f>
        <v>#REF!</v>
      </c>
      <c r="HO39" t="e">
        <f>#REF!+"$Cm=!$=x"</f>
        <v>#REF!</v>
      </c>
      <c r="HP39" t="e">
        <f>#REF!+"$Cm=!$=y"</f>
        <v>#REF!</v>
      </c>
      <c r="HQ39" t="e">
        <f>#REF!+"$Cm=!$=z"</f>
        <v>#REF!</v>
      </c>
      <c r="HR39" t="e">
        <f>#REF!+"$Cm=!$={"</f>
        <v>#REF!</v>
      </c>
      <c r="HS39" t="e">
        <f>#REF!+"$Cm=!$=|"</f>
        <v>#REF!</v>
      </c>
      <c r="HT39" t="e">
        <f>#REF!+"$Cm=!$=}"</f>
        <v>#REF!</v>
      </c>
      <c r="HU39" t="e">
        <f>#REF!+"$Cm=!$=~"</f>
        <v>#REF!</v>
      </c>
      <c r="HV39" t="e">
        <f>#REF!+"$Cm=!$&gt;#"</f>
        <v>#REF!</v>
      </c>
      <c r="HW39" t="e">
        <f>#REF!+"$Cm=!$&gt;$"</f>
        <v>#REF!</v>
      </c>
      <c r="HX39" t="e">
        <f>#REF!+"$Cm=!$&gt;%"</f>
        <v>#REF!</v>
      </c>
      <c r="HY39" t="e">
        <f>#REF!+"$Cm=!$&gt;&amp;"</f>
        <v>#REF!</v>
      </c>
      <c r="HZ39" t="e">
        <f>#REF!+"$Cm=!$&gt;'"</f>
        <v>#REF!</v>
      </c>
      <c r="IA39" t="e">
        <f>#REF!+"$Cm=!$&gt;("</f>
        <v>#REF!</v>
      </c>
      <c r="IB39" t="e">
        <f>#REF!+"$Cm=!$&gt;)"</f>
        <v>#REF!</v>
      </c>
      <c r="IC39" t="e">
        <f>#REF!+"$Cm=!$&gt;."</f>
        <v>#REF!</v>
      </c>
      <c r="ID39" t="e">
        <f>#REF!+"$Cm=!$&gt;/"</f>
        <v>#REF!</v>
      </c>
      <c r="IE39" t="e">
        <f>#REF!+"$Cm=!$&gt;0"</f>
        <v>#REF!</v>
      </c>
      <c r="IF39" t="e">
        <f>#REF!+"$Cm=!$&gt;1"</f>
        <v>#REF!</v>
      </c>
      <c r="IG39" t="e">
        <f>#REF!+"$Cm=!$&gt;2"</f>
        <v>#REF!</v>
      </c>
      <c r="IH39" t="e">
        <f>#REF!+"$Cm=!$&gt;3"</f>
        <v>#REF!</v>
      </c>
      <c r="II39" t="e">
        <f>#REF!+"$Cm=!$&gt;4"</f>
        <v>#REF!</v>
      </c>
      <c r="IJ39" t="e">
        <f>#REF!+"$Cm=!$&gt;5"</f>
        <v>#REF!</v>
      </c>
      <c r="IK39" t="e">
        <f>#REF!+"$Cm=!$&gt;6"</f>
        <v>#REF!</v>
      </c>
      <c r="IL39" t="e">
        <f>#REF!+"$Cm=!$&gt;7"</f>
        <v>#REF!</v>
      </c>
      <c r="IM39" t="e">
        <f>#REF!+"$Cm=!$&gt;8"</f>
        <v>#REF!</v>
      </c>
      <c r="IN39" t="e">
        <f>#REF!+"$Cm=!$&gt;9"</f>
        <v>#REF!</v>
      </c>
      <c r="IO39" t="e">
        <f>#REF!+"$Cm=!$&gt;:"</f>
        <v>#REF!</v>
      </c>
      <c r="IP39" t="e">
        <f>#REF!+"$Cm=!$&gt;;"</f>
        <v>#REF!</v>
      </c>
      <c r="IQ39" t="e">
        <f>#REF!+"$Cm=!$&gt;&lt;"</f>
        <v>#REF!</v>
      </c>
      <c r="IR39" t="e">
        <f>#REF!+"$Cm=!$&gt;="</f>
        <v>#REF!</v>
      </c>
      <c r="IS39" t="e">
        <f>#REF!+"$Cm=!$&gt;&gt;"</f>
        <v>#REF!</v>
      </c>
      <c r="IT39" t="e">
        <f>#REF!+"$Cm=!$&gt;?"</f>
        <v>#REF!</v>
      </c>
      <c r="IU39" t="e">
        <f>#REF!+"$Cm=!$&gt;@"</f>
        <v>#REF!</v>
      </c>
      <c r="IV39" t="e">
        <f>#REF!+"$Cm=!$&gt;A"</f>
        <v>#REF!</v>
      </c>
    </row>
    <row r="40" spans="6:256">
      <c r="F40" t="e">
        <f>#REF!+"$Cm=!$&gt;B"</f>
        <v>#REF!</v>
      </c>
      <c r="G40" t="e">
        <f>#REF!+"$Cm=!$&gt;C"</f>
        <v>#REF!</v>
      </c>
      <c r="H40" t="e">
        <f>#REF!+"$Cm=!$&gt;D"</f>
        <v>#REF!</v>
      </c>
      <c r="I40" t="e">
        <f>#REF!+"$Cm=!$&gt;E"</f>
        <v>#REF!</v>
      </c>
      <c r="J40" t="e">
        <f>#REF!+"$Cm=!$&gt;F"</f>
        <v>#REF!</v>
      </c>
      <c r="K40" t="e">
        <f>#REF!+"$Cm=!$&gt;G"</f>
        <v>#REF!</v>
      </c>
      <c r="L40" t="e">
        <f>#REF!+"$Cm=!$&gt;H"</f>
        <v>#REF!</v>
      </c>
      <c r="M40" t="e">
        <f>#REF!+"$Cm=!$&gt;I"</f>
        <v>#REF!</v>
      </c>
      <c r="N40" t="e">
        <f>#REF!+"$Cm=!$&gt;J"</f>
        <v>#REF!</v>
      </c>
      <c r="O40" t="e">
        <f>#REF!+"$Cm=!$&gt;K"</f>
        <v>#REF!</v>
      </c>
      <c r="P40" t="e">
        <f>#REF!+"$Cm=!$&gt;L"</f>
        <v>#REF!</v>
      </c>
      <c r="Q40" t="e">
        <f>#REF!+"$Cm=!$&gt;M"</f>
        <v>#REF!</v>
      </c>
      <c r="R40" t="e">
        <f>#REF!+"$Cm=!$&gt;N"</f>
        <v>#REF!</v>
      </c>
      <c r="S40" t="e">
        <f>#REF!+"$Cm=!$&gt;O"</f>
        <v>#REF!</v>
      </c>
      <c r="T40" t="e">
        <f>#REF!+"$Cm=!$&gt;P"</f>
        <v>#REF!</v>
      </c>
      <c r="U40" t="e">
        <f>#REF!+"$Cm=!$&gt;Q"</f>
        <v>#REF!</v>
      </c>
      <c r="V40" t="e">
        <f>#REF!+"$Cm=!$&gt;R"</f>
        <v>#REF!</v>
      </c>
      <c r="W40" t="e">
        <f>#REF!+"$Cm=!$&gt;S"</f>
        <v>#REF!</v>
      </c>
      <c r="X40" t="e">
        <f>#REF!+"$Cm=!$&gt;T"</f>
        <v>#REF!</v>
      </c>
      <c r="Y40" t="e">
        <f>#REF!+"$Cm=!$&gt;U"</f>
        <v>#REF!</v>
      </c>
      <c r="Z40" t="e">
        <f>#REF!+"$Cm=!$&gt;V"</f>
        <v>#REF!</v>
      </c>
      <c r="AA40" t="e">
        <f>#REF!+"$Cm=!$&gt;W"</f>
        <v>#REF!</v>
      </c>
      <c r="AB40" t="e">
        <f>#REF!+"$Cm=!$&gt;X"</f>
        <v>#REF!</v>
      </c>
      <c r="AC40" t="e">
        <f>#REF!+"$Cm=!$&gt;Y"</f>
        <v>#REF!</v>
      </c>
      <c r="AD40" t="e">
        <f>#REF!+"$Cm=!$&gt;Z"</f>
        <v>#REF!</v>
      </c>
      <c r="AE40" t="e">
        <f>#REF!+"$Cm=!$&gt;["</f>
        <v>#REF!</v>
      </c>
      <c r="AF40" t="e">
        <f>#REF!+"$Cm=!$&gt;\"</f>
        <v>#REF!</v>
      </c>
      <c r="AG40" t="e">
        <f>#REF!+"$Cm=!$&gt;]"</f>
        <v>#REF!</v>
      </c>
      <c r="AH40" t="e">
        <f>#REF!+"$Cm=!$&gt;^"</f>
        <v>#REF!</v>
      </c>
      <c r="AI40" t="e">
        <f>#REF!+"$Cm=!$&gt;_"</f>
        <v>#REF!</v>
      </c>
      <c r="AJ40" t="e">
        <f>#REF!+"$Cm=!$&gt;`"</f>
        <v>#REF!</v>
      </c>
      <c r="AK40" t="e">
        <f>#REF!+"$Cm=!$&gt;a"</f>
        <v>#REF!</v>
      </c>
      <c r="AL40" t="e">
        <f>#REF!+"$Cm=!$&gt;b"</f>
        <v>#REF!</v>
      </c>
      <c r="AM40" t="e">
        <f>#REF!+"$Cm=!$&gt;c"</f>
        <v>#REF!</v>
      </c>
      <c r="AN40" t="e">
        <f>#REF!+"$Cm=!$&gt;d"</f>
        <v>#REF!</v>
      </c>
      <c r="AO40" t="e">
        <f>#REF!+"$Cm=!$&gt;e"</f>
        <v>#REF!</v>
      </c>
      <c r="AP40" t="e">
        <f>#REF!+"$Cm=!$&gt;f"</f>
        <v>#REF!</v>
      </c>
      <c r="AQ40" t="e">
        <f>#REF!+"$Cm=!$&gt;g"</f>
        <v>#REF!</v>
      </c>
      <c r="AR40" t="e">
        <f>#REF!+"$Cm=!$&gt;h"</f>
        <v>#REF!</v>
      </c>
      <c r="AS40" t="e">
        <f>#REF!+"$Cm=!$&gt;i"</f>
        <v>#REF!</v>
      </c>
      <c r="AT40" t="e">
        <f>#REF!+"$Cm=!$&gt;j"</f>
        <v>#REF!</v>
      </c>
      <c r="AU40" t="e">
        <f>#REF!+"$Cm=!$&gt;k"</f>
        <v>#REF!</v>
      </c>
      <c r="AV40" t="e">
        <f>#REF!+"$Cm=!$&gt;l"</f>
        <v>#REF!</v>
      </c>
      <c r="AW40" t="e">
        <f>#REF!+"$Cm=!$&gt;m"</f>
        <v>#REF!</v>
      </c>
      <c r="AX40" t="e">
        <f>#REF!+"$Cm=!$&gt;n"</f>
        <v>#REF!</v>
      </c>
      <c r="AY40" t="e">
        <f>#REF!+"$Cm=!$&gt;o"</f>
        <v>#REF!</v>
      </c>
      <c r="AZ40" t="e">
        <f>#REF!+"$Cm=!$&gt;p"</f>
        <v>#REF!</v>
      </c>
      <c r="BA40" t="e">
        <f>#REF!+"$Cm=!$&gt;q"</f>
        <v>#REF!</v>
      </c>
      <c r="BB40" t="e">
        <f>#REF!+"$Cm=!$&gt;r"</f>
        <v>#REF!</v>
      </c>
      <c r="BC40" t="e">
        <f>#REF!+"$Cm=!$&gt;s"</f>
        <v>#REF!</v>
      </c>
      <c r="BD40" t="e">
        <f>#REF!+"$Cm=!$&gt;t"</f>
        <v>#REF!</v>
      </c>
      <c r="BE40" t="e">
        <f>#REF!+"$Cm=!$&gt;u"</f>
        <v>#REF!</v>
      </c>
      <c r="BF40" t="e">
        <f>#REF!+"$Cm=!$&gt;v"</f>
        <v>#REF!</v>
      </c>
      <c r="BG40" t="e">
        <f>#REF!+"$Cm=!$&gt;w"</f>
        <v>#REF!</v>
      </c>
      <c r="BH40" t="e">
        <f>#REF!+"$Cm=!$&gt;x"</f>
        <v>#REF!</v>
      </c>
      <c r="BI40" t="e">
        <f>#REF!+"$Cm=!$&gt;y"</f>
        <v>#REF!</v>
      </c>
      <c r="BJ40" t="e">
        <f>#REF!+"$Cm=!$&gt;z"</f>
        <v>#REF!</v>
      </c>
      <c r="BK40" t="e">
        <f>#REF!+"$Cm=!$&gt;{"</f>
        <v>#REF!</v>
      </c>
      <c r="BL40" t="e">
        <f>#REF!+"$Cm=!$&gt;|"</f>
        <v>#REF!</v>
      </c>
      <c r="BM40" t="e">
        <f>#REF!+"$Cm=!$&gt;}"</f>
        <v>#REF!</v>
      </c>
      <c r="BN40" t="e">
        <f>#REF!+"$Cm=!$&gt;~"</f>
        <v>#REF!</v>
      </c>
      <c r="BO40" t="e">
        <f>#REF!+"$Cm=!$?#"</f>
        <v>#REF!</v>
      </c>
      <c r="BP40" t="e">
        <f>#REF!+"$Cm=!$?$"</f>
        <v>#REF!</v>
      </c>
      <c r="BQ40" t="e">
        <f>#REF!+"$Cm=!$?%"</f>
        <v>#REF!</v>
      </c>
      <c r="BR40" t="e">
        <f>#REF!+"$Cm=!$?&amp;"</f>
        <v>#REF!</v>
      </c>
      <c r="BS40" t="e">
        <f>#REF!+"$Cm=!$?'"</f>
        <v>#REF!</v>
      </c>
      <c r="BT40" t="e">
        <f>#REF!+"$Cm=!$?("</f>
        <v>#REF!</v>
      </c>
      <c r="BU40" t="e">
        <f>#REF!+"$Cm=!$?)"</f>
        <v>#REF!</v>
      </c>
      <c r="BV40" t="e">
        <f>#REF!+"$Cm=!$?."</f>
        <v>#REF!</v>
      </c>
      <c r="BW40" t="e">
        <f>#REF!+"$Cm=!$?/"</f>
        <v>#REF!</v>
      </c>
      <c r="BX40" t="e">
        <f>#REF!+"$Cm=!$?0"</f>
        <v>#REF!</v>
      </c>
      <c r="BY40" t="e">
        <f>#REF!+"$Cm=!$?1"</f>
        <v>#REF!</v>
      </c>
      <c r="BZ40" t="e">
        <f>#REF!+"$Cm=!$?2"</f>
        <v>#REF!</v>
      </c>
      <c r="CA40" t="e">
        <f>#REF!+"$Cm=!$?3"</f>
        <v>#REF!</v>
      </c>
      <c r="CB40" t="e">
        <f>#REF!+"$Cm=!$?4"</f>
        <v>#REF!</v>
      </c>
      <c r="CC40" t="e">
        <f>#REF!+"$Cm=!$?5"</f>
        <v>#REF!</v>
      </c>
      <c r="CD40" t="e">
        <f>#REF!+"$Cm=!$?6"</f>
        <v>#REF!</v>
      </c>
      <c r="CE40" t="e">
        <f>#REF!+"$Cm=!$?7"</f>
        <v>#REF!</v>
      </c>
      <c r="CF40" t="e">
        <f>#REF!+"$Cm=!$?8"</f>
        <v>#REF!</v>
      </c>
      <c r="CG40" t="e">
        <f>#REF!+"$Cm=!$?9"</f>
        <v>#REF!</v>
      </c>
      <c r="CH40" t="e">
        <f>#REF!+"$Cm=!$?:"</f>
        <v>#REF!</v>
      </c>
      <c r="CI40" t="e">
        <f>#REF!+"$Cm=!$?;"</f>
        <v>#REF!</v>
      </c>
      <c r="CJ40" t="e">
        <f>#REF!+"$Cm=!$?&lt;"</f>
        <v>#REF!</v>
      </c>
      <c r="CK40" t="e">
        <f>#REF!+"$Cm=!$?="</f>
        <v>#REF!</v>
      </c>
      <c r="CL40" t="e">
        <f>#REF!+"$Cm=!$?&gt;"</f>
        <v>#REF!</v>
      </c>
      <c r="CM40" t="e">
        <f>#REF!+"$Cm=!$??"</f>
        <v>#REF!</v>
      </c>
      <c r="CN40" t="e">
        <f>#REF!+"$Cm=!$?@"</f>
        <v>#REF!</v>
      </c>
      <c r="CO40" t="e">
        <f>#REF!+"$Cm=!$?A"</f>
        <v>#REF!</v>
      </c>
      <c r="CP40" t="e">
        <f>#REF!+"$Cm=!$?B"</f>
        <v>#REF!</v>
      </c>
      <c r="CQ40" t="e">
        <f>#REF!+"$Cm=!$?C"</f>
        <v>#REF!</v>
      </c>
      <c r="CR40" t="e">
        <f>#REF!+"$Cm=!$?D"</f>
        <v>#REF!</v>
      </c>
      <c r="CS40" t="e">
        <f>#REF!+"$Cm=!$?E"</f>
        <v>#REF!</v>
      </c>
      <c r="CT40" t="e">
        <f>#REF!+"$Cm=!$?F"</f>
        <v>#REF!</v>
      </c>
      <c r="CU40" t="e">
        <f>#REF!+"$Cm=!$?G"</f>
        <v>#REF!</v>
      </c>
      <c r="CV40" t="e">
        <f>#REF!+"$Cm=!$?H"</f>
        <v>#REF!</v>
      </c>
      <c r="CW40" t="e">
        <f>#REF!+"$Cm=!$?I"</f>
        <v>#REF!</v>
      </c>
      <c r="CX40" t="e">
        <f>#REF!+"$Cm=!$?J"</f>
        <v>#REF!</v>
      </c>
      <c r="CY40" t="e">
        <f>#REF!+"$Cm=!$?K"</f>
        <v>#REF!</v>
      </c>
      <c r="CZ40" t="e">
        <f>#REF!+"$Cm=!$?L"</f>
        <v>#REF!</v>
      </c>
      <c r="DA40" t="e">
        <f>#REF!+"$Cm=!$?M"</f>
        <v>#REF!</v>
      </c>
      <c r="DB40" t="e">
        <f>#REF!+"$Cm=!$?N"</f>
        <v>#REF!</v>
      </c>
      <c r="DC40" t="e">
        <f>#REF!+"$Cm=!$?O"</f>
        <v>#REF!</v>
      </c>
      <c r="DD40" t="e">
        <f>#REF!+"$Cm=!$?P"</f>
        <v>#REF!</v>
      </c>
      <c r="DE40" t="e">
        <f>#REF!+"$Cm=!$?Q"</f>
        <v>#REF!</v>
      </c>
      <c r="DF40" t="e">
        <f>#REF!+"$Cm=!$?R"</f>
        <v>#REF!</v>
      </c>
      <c r="DG40" t="e">
        <f>#REF!+"$Cm=!$?S"</f>
        <v>#REF!</v>
      </c>
      <c r="DH40" t="e">
        <f>#REF!+"$Cm=!$?T"</f>
        <v>#REF!</v>
      </c>
      <c r="DI40" t="e">
        <f>#REF!+"$Cm=!$?U"</f>
        <v>#REF!</v>
      </c>
      <c r="DJ40" t="e">
        <f>#REF!+"$Cm=!$?V"</f>
        <v>#REF!</v>
      </c>
      <c r="DK40" t="e">
        <f>#REF!+"$Cm=!$?W"</f>
        <v>#REF!</v>
      </c>
      <c r="DL40" t="e">
        <f>#REF!+"$Cm=!$?X"</f>
        <v>#REF!</v>
      </c>
      <c r="DM40" t="e">
        <f>#REF!+"$Cm=!$?Y"</f>
        <v>#REF!</v>
      </c>
      <c r="DN40" t="e">
        <f>#REF!+"$Cm=!$?Z"</f>
        <v>#REF!</v>
      </c>
      <c r="DO40" t="e">
        <f>#REF!+"$Cm=!$?["</f>
        <v>#REF!</v>
      </c>
      <c r="DP40" t="e">
        <f>#REF!+"$Cm=!$?\"</f>
        <v>#REF!</v>
      </c>
      <c r="DQ40" t="e">
        <f>#REF!+"$Cm=!$?]"</f>
        <v>#REF!</v>
      </c>
      <c r="DR40" t="e">
        <f>#REF!+"$Cm=!$?^"</f>
        <v>#REF!</v>
      </c>
      <c r="DS40" t="e">
        <f>#REF!+"$Cm=!$?_"</f>
        <v>#REF!</v>
      </c>
      <c r="DT40" t="e">
        <f>#REF!+"$Cm=!$?`"</f>
        <v>#REF!</v>
      </c>
      <c r="DU40" t="e">
        <f>#REF!+"$Cm=!$?a"</f>
        <v>#REF!</v>
      </c>
      <c r="DV40" t="e">
        <f>#REF!+"$Cm=!$?b"</f>
        <v>#REF!</v>
      </c>
      <c r="DW40" t="e">
        <f>#REF!+"$Cm=!$?c"</f>
        <v>#REF!</v>
      </c>
      <c r="DX40" t="e">
        <f>#REF!+"$Cm=!$?d"</f>
        <v>#REF!</v>
      </c>
      <c r="DY40" t="e">
        <f>#REF!+"$Cm=!$?e"</f>
        <v>#REF!</v>
      </c>
      <c r="DZ40" t="e">
        <f>#REF!+"$Cm=!$?f"</f>
        <v>#REF!</v>
      </c>
      <c r="EA40" t="e">
        <f>#REF!+"$Cm=!$?g"</f>
        <v>#REF!</v>
      </c>
      <c r="EB40" t="e">
        <f>#REF!+"$Cm=!$?h"</f>
        <v>#REF!</v>
      </c>
      <c r="EC40" t="e">
        <f>#REF!+"$Cm=!$?i"</f>
        <v>#REF!</v>
      </c>
      <c r="ED40" t="e">
        <f>#REF!+"$Cm=!$?j"</f>
        <v>#REF!</v>
      </c>
      <c r="EE40" t="e">
        <f>#REF!+"$Cm=!$?k"</f>
        <v>#REF!</v>
      </c>
      <c r="EF40" t="e">
        <f>#REF!+"$Cm=!$?l"</f>
        <v>#REF!</v>
      </c>
      <c r="EG40" t="e">
        <f>#REF!+"$Cm=!$?m"</f>
        <v>#REF!</v>
      </c>
      <c r="EH40" t="e">
        <f>#REF!+"$Cm=!$?n"</f>
        <v>#REF!</v>
      </c>
      <c r="EI40" t="e">
        <f>#REF!+"$Cm=!$?o"</f>
        <v>#REF!</v>
      </c>
      <c r="EJ40" t="e">
        <f>#REF!+"$Cm=!$?p"</f>
        <v>#REF!</v>
      </c>
      <c r="EK40" t="e">
        <f>#REF!+"$Cm=!$?q"</f>
        <v>#REF!</v>
      </c>
      <c r="EL40" t="e">
        <f>#REF!+"$Cm=!$?r"</f>
        <v>#REF!</v>
      </c>
      <c r="EM40" t="e">
        <f>#REF!+"$Cm=!$?s"</f>
        <v>#REF!</v>
      </c>
      <c r="EN40" t="e">
        <f>#REF!+"$Cm=!$?t"</f>
        <v>#REF!</v>
      </c>
      <c r="EO40" t="e">
        <f>#REF!+"$Cm=!$?u"</f>
        <v>#REF!</v>
      </c>
      <c r="EP40" t="e">
        <f>#REF!+"$Cm=!$?v"</f>
        <v>#REF!</v>
      </c>
      <c r="EQ40" t="e">
        <f>#REF!+"$Cm=!$?w"</f>
        <v>#REF!</v>
      </c>
      <c r="ER40" t="e">
        <f>#REF!+"$Cm=!$?x"</f>
        <v>#REF!</v>
      </c>
      <c r="ES40" t="e">
        <f>#REF!+"$Cm=!$?y"</f>
        <v>#REF!</v>
      </c>
      <c r="ET40" t="e">
        <f>#REF!+"$Cm=!$?z"</f>
        <v>#REF!</v>
      </c>
      <c r="EU40" t="e">
        <f>#REF!+"$Cm=!$?{"</f>
        <v>#REF!</v>
      </c>
      <c r="EV40" t="e">
        <f>#REF!+"$Cm=!$?|"</f>
        <v>#REF!</v>
      </c>
      <c r="EW40" t="e">
        <f>#REF!+"$Cm=!$?}"</f>
        <v>#REF!</v>
      </c>
      <c r="EX40" t="e">
        <f>#REF!+"$Cm=!$?~"</f>
        <v>#REF!</v>
      </c>
      <c r="EY40" t="e">
        <f>#REF!+"$Cm=!$@#"</f>
        <v>#REF!</v>
      </c>
      <c r="EZ40" t="e">
        <f>#REF!+"$Cm=!$@$"</f>
        <v>#REF!</v>
      </c>
      <c r="FA40" t="e">
        <f>#REF!+"$Cm=!$@%"</f>
        <v>#REF!</v>
      </c>
      <c r="FB40" t="e">
        <f>#REF!+"$Cm=!$@&amp;"</f>
        <v>#REF!</v>
      </c>
      <c r="FC40" t="e">
        <f>#REF!+"$Cm=!$@'"</f>
        <v>#REF!</v>
      </c>
      <c r="FD40" t="e">
        <f>#REF!+"$Cm=!$@("</f>
        <v>#REF!</v>
      </c>
      <c r="FE40" t="e">
        <f>#REF!+"$Cm=!$@)"</f>
        <v>#REF!</v>
      </c>
      <c r="FF40" t="e">
        <f>#REF!+"$Cm=!$@."</f>
        <v>#REF!</v>
      </c>
      <c r="FG40" t="e">
        <f>#REF!+"$Cm=!$@/"</f>
        <v>#REF!</v>
      </c>
      <c r="FH40" t="e">
        <f>#REF!+"$Cm=!$@0"</f>
        <v>#REF!</v>
      </c>
      <c r="FI40" t="e">
        <f>#REF!+"$Cm=!$@1"</f>
        <v>#REF!</v>
      </c>
      <c r="FJ40" t="e">
        <f>#REF!+"$Cm=!$@2"</f>
        <v>#REF!</v>
      </c>
      <c r="FK40" t="e">
        <f>#REF!+"$Cm=!$@3"</f>
        <v>#REF!</v>
      </c>
      <c r="FL40" t="e">
        <f>#REF!+"$Cm=!$@4"</f>
        <v>#REF!</v>
      </c>
      <c r="FM40" t="e">
        <f>#REF!+"$Cm=!$@5"</f>
        <v>#REF!</v>
      </c>
      <c r="FN40" t="e">
        <f>#REF!+"$Cm=!$@6"</f>
        <v>#REF!</v>
      </c>
      <c r="FO40" t="e">
        <f>#REF!+"$Cm=!$@7"</f>
        <v>#REF!</v>
      </c>
      <c r="FP40" t="e">
        <f>#REF!+"$Cm=!$@8"</f>
        <v>#REF!</v>
      </c>
      <c r="FQ40" t="e">
        <f>#REF!+"$Cm=!$@9"</f>
        <v>#REF!</v>
      </c>
      <c r="FR40" t="e">
        <f>#REF!+"$Cm=!$@:"</f>
        <v>#REF!</v>
      </c>
      <c r="FS40" t="e">
        <f>#REF!+"$Cm=!$@;"</f>
        <v>#REF!</v>
      </c>
      <c r="FT40" t="e">
        <f>#REF!+"$Cm=!$@&lt;"</f>
        <v>#REF!</v>
      </c>
      <c r="FU40" t="e">
        <f>#REF!+"$Cm=!$@="</f>
        <v>#REF!</v>
      </c>
      <c r="FV40" t="e">
        <f>#REF!+"$Cm=!$@&gt;"</f>
        <v>#REF!</v>
      </c>
      <c r="FW40" t="e">
        <f>#REF!+"$Cm=!$@?"</f>
        <v>#REF!</v>
      </c>
      <c r="FX40" t="e">
        <f>#REF!+"$Cm=!$@@"</f>
        <v>#REF!</v>
      </c>
      <c r="FY40" t="e">
        <f>#REF!+"$Cm=!$@A"</f>
        <v>#REF!</v>
      </c>
      <c r="FZ40" t="e">
        <f>#REF!+"$Cm=!$@B"</f>
        <v>#REF!</v>
      </c>
      <c r="GA40" t="e">
        <f>#REF!+"$Cm=!$@C"</f>
        <v>#REF!</v>
      </c>
      <c r="GB40" t="e">
        <f>#REF!+"$Cm=!$@D"</f>
        <v>#REF!</v>
      </c>
      <c r="GC40" t="e">
        <f>#REF!+"$Cm=!$@E"</f>
        <v>#REF!</v>
      </c>
      <c r="GD40" t="e">
        <f>#REF!+"$Cm=!$@F"</f>
        <v>#REF!</v>
      </c>
      <c r="GE40" t="e">
        <f>#REF!+"$Cm=!$@G"</f>
        <v>#REF!</v>
      </c>
      <c r="GF40" t="e">
        <f>#REF!+"$Cm=!$@H"</f>
        <v>#REF!</v>
      </c>
      <c r="GG40" t="e">
        <f>#REF!+"$Cm=!$@I"</f>
        <v>#REF!</v>
      </c>
      <c r="GH40" t="e">
        <f>#REF!+"$Cm=!$@J"</f>
        <v>#REF!</v>
      </c>
      <c r="GI40" t="e">
        <f>#REF!+"$Cm=!$@K"</f>
        <v>#REF!</v>
      </c>
      <c r="GJ40" t="e">
        <f>#REF!+"$Cm=!$@L"</f>
        <v>#REF!</v>
      </c>
      <c r="GK40" t="e">
        <f>#REF!+"$Cm=!$@M"</f>
        <v>#REF!</v>
      </c>
      <c r="GL40" t="e">
        <f>#REF!+"$Cm=!$@N"</f>
        <v>#REF!</v>
      </c>
      <c r="GM40" t="e">
        <f>#REF!+"$Cm=!$@O"</f>
        <v>#REF!</v>
      </c>
      <c r="GN40" t="e">
        <f>#REF!+"$Cm=!$@P"</f>
        <v>#REF!</v>
      </c>
      <c r="GO40" t="e">
        <f>#REF!+"$Cm=!$@Q"</f>
        <v>#REF!</v>
      </c>
      <c r="GP40" t="e">
        <f>#REF!+"$Cm=!$@R"</f>
        <v>#REF!</v>
      </c>
      <c r="GQ40" t="e">
        <f>#REF!+"$Cm=!$@S"</f>
        <v>#REF!</v>
      </c>
      <c r="GR40" t="e">
        <f>#REF!+"$Cm=!$@T"</f>
        <v>#REF!</v>
      </c>
      <c r="GS40" t="e">
        <f>#REF!+"$Cm=!$@U"</f>
        <v>#REF!</v>
      </c>
      <c r="GT40" t="e">
        <f>#REF!+"$Cm=!$@V"</f>
        <v>#REF!</v>
      </c>
      <c r="GU40" t="e">
        <f>#REF!+"$Cm=!$@W"</f>
        <v>#REF!</v>
      </c>
      <c r="GV40" t="e">
        <f>#REF!+"$Cm=!$@X"</f>
        <v>#REF!</v>
      </c>
      <c r="GW40" t="e">
        <f>#REF!+"$Cm=!$@Y"</f>
        <v>#REF!</v>
      </c>
      <c r="GX40" t="e">
        <f>#REF!+"$Cm=!$@Z"</f>
        <v>#REF!</v>
      </c>
      <c r="GY40" t="e">
        <f>#REF!+"$Cm=!$@["</f>
        <v>#REF!</v>
      </c>
      <c r="GZ40" t="e">
        <f>#REF!+"$Cm=!$@\"</f>
        <v>#REF!</v>
      </c>
      <c r="HA40" t="e">
        <f>#REF!+"$Cm=!$@]"</f>
        <v>#REF!</v>
      </c>
      <c r="HB40" t="e">
        <f>#REF!+"$Cm=!$@^"</f>
        <v>#REF!</v>
      </c>
      <c r="HC40" t="e">
        <f>#REF!+"$Cm=!$@_"</f>
        <v>#REF!</v>
      </c>
      <c r="HD40" t="e">
        <f>#REF!+"$Cm=!$@`"</f>
        <v>#REF!</v>
      </c>
      <c r="HE40" t="e">
        <f>#REF!+"$Cm=!$@a"</f>
        <v>#REF!</v>
      </c>
      <c r="HF40" t="e">
        <f>#REF!+"$Cm=!$@b"</f>
        <v>#REF!</v>
      </c>
      <c r="HG40" t="e">
        <f>#REF!+"$Cm=!$@c"</f>
        <v>#REF!</v>
      </c>
      <c r="HH40" t="e">
        <f>#REF!+"$Cm=!$@d"</f>
        <v>#REF!</v>
      </c>
      <c r="HI40" t="e">
        <f>#REF!+"$Cm=!$@e"</f>
        <v>#REF!</v>
      </c>
      <c r="HJ40" t="e">
        <f>#REF!+"$Cm=!$@f"</f>
        <v>#REF!</v>
      </c>
      <c r="HK40" t="e">
        <f>#REF!+"$Cm=!$@g"</f>
        <v>#REF!</v>
      </c>
      <c r="HL40" t="e">
        <f>#REF!+"$Cm=!$@h"</f>
        <v>#REF!</v>
      </c>
      <c r="HM40" t="e">
        <f>#REF!+"$Cm=!$@i"</f>
        <v>#REF!</v>
      </c>
      <c r="HN40" t="e">
        <f>#REF!+"$Cm=!$@j"</f>
        <v>#REF!</v>
      </c>
      <c r="HO40" t="e">
        <f>#REF!+"$Cm=!$@k"</f>
        <v>#REF!</v>
      </c>
      <c r="HP40" t="e">
        <f>#REF!+"$Cm=!$@l"</f>
        <v>#REF!</v>
      </c>
      <c r="HQ40" t="e">
        <f>#REF!+"$Cm=!$@m"</f>
        <v>#REF!</v>
      </c>
      <c r="HR40" t="e">
        <f>#REF!+"$Cm=!$@n"</f>
        <v>#REF!</v>
      </c>
      <c r="HS40" t="e">
        <f>#REF!+"$Cm=!$@o"</f>
        <v>#REF!</v>
      </c>
      <c r="HT40" t="e">
        <f>#REF!+"$Cm=!$@p"</f>
        <v>#REF!</v>
      </c>
      <c r="HU40" t="e">
        <f>#REF!+"$Cm=!$@q"</f>
        <v>#REF!</v>
      </c>
      <c r="HV40" t="e">
        <f>#REF!+"$Cm=!$@r"</f>
        <v>#REF!</v>
      </c>
      <c r="HW40" t="e">
        <f>#REF!+"$Cm=!$@s"</f>
        <v>#REF!</v>
      </c>
      <c r="HX40" t="e">
        <f>#REF!+"$Cm=!$@t"</f>
        <v>#REF!</v>
      </c>
      <c r="HY40" t="e">
        <f>#REF!+"$Cm=!$@u"</f>
        <v>#REF!</v>
      </c>
      <c r="HZ40" t="e">
        <f>#REF!+"$Cm=!$@v"</f>
        <v>#REF!</v>
      </c>
      <c r="IA40" t="e">
        <f>#REF!+"$Cm=!$@w"</f>
        <v>#REF!</v>
      </c>
      <c r="IB40" t="e">
        <f>#REF!+"$Cm=!$@x"</f>
        <v>#REF!</v>
      </c>
      <c r="IC40" t="e">
        <f>#REF!+"$Cm=!$@y"</f>
        <v>#REF!</v>
      </c>
      <c r="ID40" t="e">
        <f>#REF!+"$Cm=!$@z"</f>
        <v>#REF!</v>
      </c>
      <c r="IE40" t="e">
        <f>#REF!+"$Cm=!$@{"</f>
        <v>#REF!</v>
      </c>
      <c r="IF40" t="e">
        <f>#REF!+"$Cm=!$@|"</f>
        <v>#REF!</v>
      </c>
      <c r="IG40" t="e">
        <f>#REF!+"$Cm=!$@}"</f>
        <v>#REF!</v>
      </c>
      <c r="IH40" t="e">
        <f>#REF!+"$Cm=!$@~"</f>
        <v>#REF!</v>
      </c>
      <c r="II40" t="e">
        <f>#REF!+"$Cm=!$A#"</f>
        <v>#REF!</v>
      </c>
      <c r="IJ40" t="e">
        <f>#REF!+"$Cm=!$A$"</f>
        <v>#REF!</v>
      </c>
      <c r="IK40" t="e">
        <f>#REF!+"$Cm=!$A%"</f>
        <v>#REF!</v>
      </c>
      <c r="IL40" t="e">
        <f>#REF!+"$Cm=!$A&amp;"</f>
        <v>#REF!</v>
      </c>
      <c r="IM40" t="e">
        <f>#REF!+"$Cm=!$A'"</f>
        <v>#REF!</v>
      </c>
      <c r="IN40" t="e">
        <f>#REF!+"$Cm=!$A("</f>
        <v>#REF!</v>
      </c>
      <c r="IO40" t="e">
        <f>#REF!+"$Cm=!$A)"</f>
        <v>#REF!</v>
      </c>
      <c r="IP40" t="e">
        <f>#REF!+"$Cm=!$A."</f>
        <v>#REF!</v>
      </c>
      <c r="IQ40" t="e">
        <f>#REF!+"$Cm=!$A/"</f>
        <v>#REF!</v>
      </c>
      <c r="IR40" t="e">
        <f>#REF!+"$Cm=!$A0"</f>
        <v>#REF!</v>
      </c>
      <c r="IS40" t="e">
        <f>#REF!+"$Cm=!$A1"</f>
        <v>#REF!</v>
      </c>
      <c r="IT40" t="e">
        <f>#REF!+"$Cm=!$A2"</f>
        <v>#REF!</v>
      </c>
      <c r="IU40" t="e">
        <f>#REF!+"$Cm=!$A3"</f>
        <v>#REF!</v>
      </c>
      <c r="IV40" t="e">
        <f>#REF!+"$Cm=!$A4"</f>
        <v>#REF!</v>
      </c>
    </row>
    <row r="41" spans="6:256">
      <c r="F41" t="e">
        <f>#REF!+"$Cm=!$A5"</f>
        <v>#REF!</v>
      </c>
      <c r="G41" t="e">
        <f>#REF!+"$Cm=!$A6"</f>
        <v>#REF!</v>
      </c>
      <c r="H41" t="e">
        <f>#REF!+"$Cm=!$A7"</f>
        <v>#REF!</v>
      </c>
      <c r="I41" t="e">
        <f>#REF!+"$Cm=!$A8"</f>
        <v>#REF!</v>
      </c>
      <c r="J41" t="e">
        <f>#REF!+"$Cm=!$A9"</f>
        <v>#REF!</v>
      </c>
      <c r="K41" t="e">
        <f>#REF!+"$Cm=!$A:"</f>
        <v>#REF!</v>
      </c>
      <c r="L41" t="e">
        <f>#REF!+"$Cm=!$A;"</f>
        <v>#REF!</v>
      </c>
      <c r="M41" t="e">
        <f>#REF!+"$Cm=!$A&lt;"</f>
        <v>#REF!</v>
      </c>
      <c r="N41" t="e">
        <f>#REF!+"$Cm=!$A="</f>
        <v>#REF!</v>
      </c>
      <c r="O41" t="e">
        <f>#REF!+"$Cm=!$A&gt;"</f>
        <v>#REF!</v>
      </c>
      <c r="P41" t="e">
        <f>#REF!+"$Cm=!$A?"</f>
        <v>#REF!</v>
      </c>
      <c r="Q41" t="e">
        <f>#REF!+"$Cm=!$A@"</f>
        <v>#REF!</v>
      </c>
      <c r="R41" t="e">
        <f>#REF!+"$Cm=!$AA"</f>
        <v>#REF!</v>
      </c>
      <c r="S41" t="e">
        <f>#REF!+"$Cm=!$AB"</f>
        <v>#REF!</v>
      </c>
      <c r="T41" t="e">
        <f>#REF!+"$Cm=!$AC"</f>
        <v>#REF!</v>
      </c>
      <c r="U41" t="e">
        <f>#REF!+"$Cm=!$AD"</f>
        <v>#REF!</v>
      </c>
      <c r="V41" t="e">
        <f>#REF!+"$Cm=!$AE"</f>
        <v>#REF!</v>
      </c>
      <c r="W41" t="e">
        <f>#REF!+"$Cm=!$AF"</f>
        <v>#REF!</v>
      </c>
      <c r="X41" t="e">
        <f>#REF!+"$Cm=!$AG"</f>
        <v>#REF!</v>
      </c>
      <c r="Y41" t="e">
        <f>#REF!+"$Cm=!$AH"</f>
        <v>#REF!</v>
      </c>
      <c r="Z41" t="e">
        <f>#REF!+"$Cm=!$AI"</f>
        <v>#REF!</v>
      </c>
      <c r="AA41" t="e">
        <f>#REF!+"$Cm=!$AJ"</f>
        <v>#REF!</v>
      </c>
      <c r="AB41" t="e">
        <f>#REF!+"$Cm=!$AK"</f>
        <v>#REF!</v>
      </c>
      <c r="AC41" t="e">
        <f>#REF!+"$Cm=!$AL"</f>
        <v>#REF!</v>
      </c>
      <c r="AD41" t="e">
        <f>#REF!+"$Cm=!$AM"</f>
        <v>#REF!</v>
      </c>
      <c r="AE41" t="e">
        <f>#REF!+"$Cm=!$AN"</f>
        <v>#REF!</v>
      </c>
      <c r="AF41" t="e">
        <f>#REF!+"$Cm=!$AO"</f>
        <v>#REF!</v>
      </c>
      <c r="AG41" t="e">
        <f>#REF!+"$Cm=!$AP"</f>
        <v>#REF!</v>
      </c>
      <c r="AH41" t="e">
        <f>#REF!+"$Cm=!$AQ"</f>
        <v>#REF!</v>
      </c>
      <c r="AI41" t="e">
        <f>#REF!+"$Cm=!$AR"</f>
        <v>#REF!</v>
      </c>
      <c r="AJ41" t="e">
        <f>#REF!+"$Cm=!$AS"</f>
        <v>#REF!</v>
      </c>
      <c r="AK41" t="e">
        <f>#REF!+"$Cm=!$AT"</f>
        <v>#REF!</v>
      </c>
      <c r="AL41" t="e">
        <f>#REF!+"$Cm=!$AU"</f>
        <v>#REF!</v>
      </c>
      <c r="AM41" t="e">
        <f>#REF!+"$Cm=!$AV"</f>
        <v>#REF!</v>
      </c>
      <c r="AN41" t="e">
        <f>#REF!+"$Cm=!$AW"</f>
        <v>#REF!</v>
      </c>
      <c r="AO41" t="e">
        <f>#REF!+"$Cm=!$AX"</f>
        <v>#REF!</v>
      </c>
      <c r="AP41" t="e">
        <f>#REF!+"$Cm=!$AY"</f>
        <v>#REF!</v>
      </c>
      <c r="AQ41" t="e">
        <f>#REF!+"$Cm=!$AZ"</f>
        <v>#REF!</v>
      </c>
      <c r="AR41" t="e">
        <f>#REF!+"$Cm=!$A["</f>
        <v>#REF!</v>
      </c>
      <c r="AS41" t="e">
        <f>#REF!+"$Cm=!$A\"</f>
        <v>#REF!</v>
      </c>
      <c r="AT41" t="e">
        <f>#REF!+"$Cm=!$A]"</f>
        <v>#REF!</v>
      </c>
      <c r="AU41" t="e">
        <f>#REF!+"$Cm=!$A^"</f>
        <v>#REF!</v>
      </c>
      <c r="AV41" t="e">
        <f>#REF!+"$Cm=!$A_"</f>
        <v>#REF!</v>
      </c>
      <c r="AW41" t="e">
        <f>#REF!+"$Cm=!$A`"</f>
        <v>#REF!</v>
      </c>
      <c r="AX41" t="e">
        <f>#REF!+"$Cm=!$Aa"</f>
        <v>#REF!</v>
      </c>
      <c r="AY41" t="e">
        <f>#REF!+"$Cm=!$Ab"</f>
        <v>#REF!</v>
      </c>
      <c r="AZ41" t="e">
        <f>#REF!+"$Cm=!$Ac"</f>
        <v>#REF!</v>
      </c>
      <c r="BA41" t="e">
        <f>#REF!+"$Cm=!$Ad"</f>
        <v>#REF!</v>
      </c>
      <c r="BB41" t="e">
        <f>#REF!+"$Cm=!$Ae"</f>
        <v>#REF!</v>
      </c>
      <c r="BC41" t="e">
        <f>#REF!+"$Cm=!$Af"</f>
        <v>#REF!</v>
      </c>
      <c r="BD41" t="e">
        <f>#REF!+"$Cm=!$Ag"</f>
        <v>#REF!</v>
      </c>
      <c r="BE41" t="e">
        <f>#REF!+"$Cm=!$Ah"</f>
        <v>#REF!</v>
      </c>
      <c r="BF41" t="e">
        <f>#REF!+"$Cm=!$Ai"</f>
        <v>#REF!</v>
      </c>
      <c r="BG41" t="e">
        <f>#REF!+"$Cm=!$Aj"</f>
        <v>#REF!</v>
      </c>
      <c r="BH41" t="e">
        <f>#REF!+"$Cm=!$Ak"</f>
        <v>#REF!</v>
      </c>
      <c r="BI41" t="e">
        <f>#REF!+"$Cm=!$Al"</f>
        <v>#REF!</v>
      </c>
      <c r="BJ41" t="e">
        <f>#REF!+"$Cm=!$Am"</f>
        <v>#REF!</v>
      </c>
      <c r="BK41" t="e">
        <f>#REF!+"$Cm=!$An"</f>
        <v>#REF!</v>
      </c>
      <c r="BL41" t="e">
        <f>#REF!+"$Cm=!$Ao"</f>
        <v>#REF!</v>
      </c>
      <c r="BM41" t="e">
        <f>#REF!+"$Cm=!$Ap"</f>
        <v>#REF!</v>
      </c>
      <c r="BN41" t="e">
        <f>#REF!+"$Cm=!$Aq"</f>
        <v>#REF!</v>
      </c>
      <c r="BO41" t="e">
        <f>#REF!+"$Cm=!$Ar"</f>
        <v>#REF!</v>
      </c>
      <c r="BP41" t="e">
        <f>#REF!+"$Cm=!$As"</f>
        <v>#REF!</v>
      </c>
      <c r="BQ41" t="e">
        <f>#REF!+"$Cm=!$At"</f>
        <v>#REF!</v>
      </c>
      <c r="BR41" t="e">
        <f>#REF!+"$Cm=!$Au"</f>
        <v>#REF!</v>
      </c>
      <c r="BS41" t="e">
        <f>#REF!+"$Cm=!$Av"</f>
        <v>#REF!</v>
      </c>
      <c r="BT41" t="e">
        <f>#REF!+"$Cm=!$Aw"</f>
        <v>#REF!</v>
      </c>
      <c r="BU41" t="e">
        <f>#REF!+"$Cm=!$Ax"</f>
        <v>#REF!</v>
      </c>
      <c r="BV41" t="e">
        <f>#REF!+"$Cm=!$Ay"</f>
        <v>#REF!</v>
      </c>
      <c r="BW41" t="e">
        <f>#REF!+"$Cm=!$Az"</f>
        <v>#REF!</v>
      </c>
      <c r="BX41" t="e">
        <f>#REF!+"$Cm=!$A{"</f>
        <v>#REF!</v>
      </c>
      <c r="BY41" t="e">
        <f>#REF!+"$Cm=!$A|"</f>
        <v>#REF!</v>
      </c>
      <c r="BZ41" t="e">
        <f>#REF!+"$Cm=!$A}"</f>
        <v>#REF!</v>
      </c>
      <c r="CA41" t="e">
        <f>#REF!+"$Cm=!$A~"</f>
        <v>#REF!</v>
      </c>
      <c r="CB41" t="e">
        <f>#REF!+"$Cm=!$B#"</f>
        <v>#REF!</v>
      </c>
      <c r="CC41" t="e">
        <f>#REF!+"$Cm=!$B$"</f>
        <v>#REF!</v>
      </c>
      <c r="CD41" t="e">
        <f>#REF!+"$Cm=!$B%"</f>
        <v>#REF!</v>
      </c>
      <c r="CE41" t="e">
        <f>#REF!+"$Cm=!$B&amp;"</f>
        <v>#REF!</v>
      </c>
      <c r="CF41" t="e">
        <f>#REF!+"$Cm=!$B'"</f>
        <v>#REF!</v>
      </c>
      <c r="CG41" t="e">
        <f>#REF!+"$Cm=!$B("</f>
        <v>#REF!</v>
      </c>
      <c r="CH41" t="e">
        <f>#REF!+"$Cm=!$B)"</f>
        <v>#REF!</v>
      </c>
      <c r="CI41" t="e">
        <f>#REF!+"$Cm=!$B."</f>
        <v>#REF!</v>
      </c>
      <c r="CJ41" t="e">
        <f>#REF!+"$Cm=!$B/"</f>
        <v>#REF!</v>
      </c>
      <c r="CK41" t="e">
        <f>#REF!+"$Cm=!$B0"</f>
        <v>#REF!</v>
      </c>
      <c r="CL41" t="e">
        <f>#REF!+"$Cm=!$B1"</f>
        <v>#REF!</v>
      </c>
      <c r="CM41" t="e">
        <f>#REF!+"$Cm=!$B2"</f>
        <v>#REF!</v>
      </c>
      <c r="CN41" t="e">
        <f>#REF!+"$Cm=!$B3"</f>
        <v>#REF!</v>
      </c>
      <c r="CO41" t="e">
        <f>#REF!+"$Cm=!$B4"</f>
        <v>#REF!</v>
      </c>
      <c r="CP41" t="e">
        <f>#REF!+"$Cm=!$B5"</f>
        <v>#REF!</v>
      </c>
      <c r="CQ41" t="e">
        <f>#REF!+"$Cm=!$B6"</f>
        <v>#REF!</v>
      </c>
      <c r="CR41" t="e">
        <f>#REF!+"$Cm=!$B7"</f>
        <v>#REF!</v>
      </c>
      <c r="CS41" t="e">
        <f>#REF!+"$Cm=!$B8"</f>
        <v>#REF!</v>
      </c>
      <c r="CT41" t="e">
        <f>#REF!+"$Cm=!$B9"</f>
        <v>#REF!</v>
      </c>
      <c r="CU41" t="e">
        <f>#REF!+"$Cm=!$B:"</f>
        <v>#REF!</v>
      </c>
      <c r="CV41" t="e">
        <f>#REF!+"$Cm=!$B;"</f>
        <v>#REF!</v>
      </c>
      <c r="CW41" t="e">
        <f>#REF!+"$Cm=!$B&lt;"</f>
        <v>#REF!</v>
      </c>
      <c r="CX41" t="e">
        <f>#REF!+"$Cm=!$B="</f>
        <v>#REF!</v>
      </c>
      <c r="CY41" t="e">
        <f>#REF!+"$Cm=!$B&gt;"</f>
        <v>#REF!</v>
      </c>
      <c r="CZ41" t="e">
        <f>#REF!+"$Cm=!$B?"</f>
        <v>#REF!</v>
      </c>
      <c r="DA41" t="e">
        <f>#REF!+"$Cm=!$B@"</f>
        <v>#REF!</v>
      </c>
      <c r="DB41" t="e">
        <f>#REF!+"$Cm=!$BA"</f>
        <v>#REF!</v>
      </c>
      <c r="DC41" t="e">
        <f>#REF!+"$Cm=!$BB"</f>
        <v>#REF!</v>
      </c>
      <c r="DD41" t="e">
        <f>#REF!+"$Cm=!$BC"</f>
        <v>#REF!</v>
      </c>
      <c r="DE41" t="e">
        <f>#REF!+"$Cm=!$BD"</f>
        <v>#REF!</v>
      </c>
      <c r="DF41" t="e">
        <f>#REF!+"$Cm=!$BE"</f>
        <v>#REF!</v>
      </c>
      <c r="DG41" t="e">
        <f>#REF!+"$Cm=!$BF"</f>
        <v>#REF!</v>
      </c>
      <c r="DH41" t="e">
        <f>#REF!+"$Cm=!$BG"</f>
        <v>#REF!</v>
      </c>
      <c r="DI41" t="e">
        <f>#REF!+"$Cm=!$BH"</f>
        <v>#REF!</v>
      </c>
      <c r="DJ41" t="e">
        <f>#REF!+"$Cm=!$BI"</f>
        <v>#REF!</v>
      </c>
      <c r="DK41" t="e">
        <f>#REF!+"$Cm=!$BJ"</f>
        <v>#REF!</v>
      </c>
      <c r="DL41" t="e">
        <f>#REF!+"$Cm=!$BK"</f>
        <v>#REF!</v>
      </c>
      <c r="DM41" t="e">
        <f>#REF!+"$Cm=!$BL"</f>
        <v>#REF!</v>
      </c>
      <c r="DN41" t="e">
        <f>#REF!+"$Cm=!$BM"</f>
        <v>#REF!</v>
      </c>
      <c r="DO41" t="e">
        <f>#REF!+"$Cm=!$BN"</f>
        <v>#REF!</v>
      </c>
      <c r="DP41" t="e">
        <f>#REF!+"$Cm=!$BO"</f>
        <v>#REF!</v>
      </c>
      <c r="DQ41" t="e">
        <f>#REF!+"$Cm=!$BP"</f>
        <v>#REF!</v>
      </c>
      <c r="DR41" t="e">
        <f>#REF!+"$Cm=!$BQ"</f>
        <v>#REF!</v>
      </c>
      <c r="DS41" t="e">
        <f>#REF!+"$Cm=!$BR"</f>
        <v>#REF!</v>
      </c>
      <c r="DT41" t="e">
        <f>#REF!+"$Cm=!$BS"</f>
        <v>#REF!</v>
      </c>
      <c r="DU41" t="e">
        <f>#REF!+"$Cm=!$BT"</f>
        <v>#REF!</v>
      </c>
      <c r="DV41" t="e">
        <f>#REF!+"$Cm=!$BU"</f>
        <v>#REF!</v>
      </c>
      <c r="DW41" t="e">
        <f>#REF!+"$Cm=!$BV"</f>
        <v>#REF!</v>
      </c>
      <c r="DX41" t="e">
        <f>#REF!+"$Cm=!$BW"</f>
        <v>#REF!</v>
      </c>
      <c r="DY41" t="e">
        <f>#REF!+"$Cm=!$BX"</f>
        <v>#REF!</v>
      </c>
      <c r="DZ41" t="e">
        <f>#REF!+"$Cm=!$BY"</f>
        <v>#REF!</v>
      </c>
      <c r="EA41" t="e">
        <f>#REF!+"$Cm=!$BZ"</f>
        <v>#REF!</v>
      </c>
      <c r="EB41" t="e">
        <f>#REF!+"$Cm=!$B["</f>
        <v>#REF!</v>
      </c>
      <c r="EC41" t="e">
        <f>#REF!+"$Cm=!$B\"</f>
        <v>#REF!</v>
      </c>
      <c r="ED41" t="e">
        <f>#REF!+"$Cm=!$B]"</f>
        <v>#REF!</v>
      </c>
      <c r="EE41" t="e">
        <f>#REF!+"$Cm=!$B^"</f>
        <v>#REF!</v>
      </c>
      <c r="EF41" t="e">
        <f>#REF!+"$Cm=!$B_"</f>
        <v>#REF!</v>
      </c>
      <c r="EG41" t="e">
        <f>#REF!+"$Cm=!$B`"</f>
        <v>#REF!</v>
      </c>
      <c r="EH41" t="e">
        <f>#REF!+"$Cm=!$Ba"</f>
        <v>#REF!</v>
      </c>
      <c r="EI41" t="e">
        <f>#REF!+"$Cm=!$Bb"</f>
        <v>#REF!</v>
      </c>
      <c r="EJ41" t="e">
        <f>#REF!+"$Cm=!$Bc"</f>
        <v>#REF!</v>
      </c>
      <c r="EK41" t="e">
        <f>#REF!+"$Cm=!$Bd"</f>
        <v>#REF!</v>
      </c>
      <c r="EL41" t="e">
        <f>#REF!+"$Cm=!$Be"</f>
        <v>#REF!</v>
      </c>
      <c r="EM41" t="e">
        <f>#REF!+"$Cm=!$Bf"</f>
        <v>#REF!</v>
      </c>
      <c r="EN41" t="e">
        <f>#REF!+"$Cm=!$Bg"</f>
        <v>#REF!</v>
      </c>
      <c r="EO41" t="e">
        <f>#REF!+"$Cm=!$Bh"</f>
        <v>#REF!</v>
      </c>
      <c r="EP41" t="e">
        <f>#REF!+"$Cm=!$Bi"</f>
        <v>#REF!</v>
      </c>
      <c r="EQ41" t="e">
        <f>#REF!+"$Cm=!$Bj"</f>
        <v>#REF!</v>
      </c>
      <c r="ER41" t="e">
        <f>#REF!+"$Cm=!$Bk"</f>
        <v>#REF!</v>
      </c>
      <c r="ES41" t="e">
        <f>#REF!+"$Cm=!$Bl"</f>
        <v>#REF!</v>
      </c>
      <c r="ET41" t="e">
        <f>#REF!+"$Cm=!$Bm"</f>
        <v>#REF!</v>
      </c>
      <c r="EU41" t="e">
        <f>#REF!+"$Cm=!$Bn"</f>
        <v>#REF!</v>
      </c>
      <c r="EV41" t="e">
        <f>#REF!+"$Cm=!$Bo"</f>
        <v>#REF!</v>
      </c>
      <c r="EW41" t="e">
        <f>#REF!+"$Cm=!$Bp"</f>
        <v>#REF!</v>
      </c>
      <c r="EX41" t="e">
        <f>#REF!+"$Cm=!$Bq"</f>
        <v>#REF!</v>
      </c>
      <c r="EY41" t="e">
        <f>#REF!+"$Cm=!$Br"</f>
        <v>#REF!</v>
      </c>
      <c r="EZ41" t="e">
        <f>#REF!+"$Cm=!$Bs"</f>
        <v>#REF!</v>
      </c>
      <c r="FA41" t="e">
        <f>#REF!+"$Cm=!$Bt"</f>
        <v>#REF!</v>
      </c>
      <c r="FB41" t="e">
        <f>#REF!+"$Cm=!$Bu"</f>
        <v>#REF!</v>
      </c>
      <c r="FC41" t="e">
        <f>#REF!+"$Cm=!$Bv"</f>
        <v>#REF!</v>
      </c>
      <c r="FD41" t="e">
        <f>#REF!+"$Cm=!$Bw"</f>
        <v>#REF!</v>
      </c>
      <c r="FE41" t="e">
        <f>#REF!+"$Cm=!$Bx"</f>
        <v>#REF!</v>
      </c>
      <c r="FF41" t="e">
        <f>#REF!+"$Cm=!$By"</f>
        <v>#REF!</v>
      </c>
      <c r="FG41" t="e">
        <f>#REF!+"$Cm=!$Bz"</f>
        <v>#REF!</v>
      </c>
      <c r="FH41" t="e">
        <f>#REF!+"$Cm=!$B{"</f>
        <v>#REF!</v>
      </c>
      <c r="FI41" t="e">
        <f>#REF!+"$Cm=!$B|"</f>
        <v>#REF!</v>
      </c>
      <c r="FJ41" t="e">
        <f>#REF!+"$Cm=!$B}"</f>
        <v>#REF!</v>
      </c>
      <c r="FK41" t="e">
        <f>#REF!+"$Cm=!$B~"</f>
        <v>#REF!</v>
      </c>
      <c r="FL41" t="e">
        <f>#REF!+"$Cm=!$C#"</f>
        <v>#REF!</v>
      </c>
      <c r="FM41" t="e">
        <f>#REF!+"$Cm=!$C$"</f>
        <v>#REF!</v>
      </c>
      <c r="FN41" t="e">
        <f>#REF!+"$Cm=!$C%"</f>
        <v>#REF!</v>
      </c>
      <c r="FO41" t="e">
        <f>#REF!+"$Cm=!$C&amp;"</f>
        <v>#REF!</v>
      </c>
      <c r="FP41" t="e">
        <f>#REF!+"$Cm=!$C'"</f>
        <v>#REF!</v>
      </c>
      <c r="FQ41" t="e">
        <f>#REF!+"$Cm=!$C("</f>
        <v>#REF!</v>
      </c>
      <c r="FR41" t="e">
        <f>#REF!+"$Cm=!$C)"</f>
        <v>#REF!</v>
      </c>
      <c r="FS41" t="e">
        <f>#REF!+"$Cm=!$C."</f>
        <v>#REF!</v>
      </c>
      <c r="FT41" t="e">
        <f>#REF!+"$Cm=!$C/"</f>
        <v>#REF!</v>
      </c>
      <c r="FU41" t="e">
        <f>#REF!+"$Cm=!$C0"</f>
        <v>#REF!</v>
      </c>
      <c r="FV41" t="e">
        <f>#REF!+"$Cm=!$C1"</f>
        <v>#REF!</v>
      </c>
      <c r="FW41" t="e">
        <f>#REF!+"$Cm=!$C2"</f>
        <v>#REF!</v>
      </c>
      <c r="FX41" t="e">
        <f>#REF!+"$Cm=!$C3"</f>
        <v>#REF!</v>
      </c>
      <c r="FY41" t="e">
        <f>#REF!+"$Cm=!$C4"</f>
        <v>#REF!</v>
      </c>
      <c r="FZ41" t="e">
        <f>#REF!+"$Cm=!$C5"</f>
        <v>#REF!</v>
      </c>
      <c r="GA41" t="e">
        <f>#REF!+"$Cm=!$C6"</f>
        <v>#REF!</v>
      </c>
      <c r="GB41" t="e">
        <f>#REF!+"$Cm=!$C7"</f>
        <v>#REF!</v>
      </c>
      <c r="GC41" t="e">
        <f>#REF!+"$Cm=!$C8"</f>
        <v>#REF!</v>
      </c>
      <c r="GD41" t="e">
        <f>#REF!+"$Cm=!$C9"</f>
        <v>#REF!</v>
      </c>
      <c r="GE41" t="e">
        <f>#REF!+"$Cm=!$C:"</f>
        <v>#REF!</v>
      </c>
      <c r="GF41" t="e">
        <f>#REF!+"$Cm=!$C;"</f>
        <v>#REF!</v>
      </c>
      <c r="GG41" t="e">
        <f>#REF!+"$Cm=!$C&lt;"</f>
        <v>#REF!</v>
      </c>
      <c r="GH41" t="e">
        <f>#REF!+"$Cm=!$C="</f>
        <v>#REF!</v>
      </c>
      <c r="GI41" t="e">
        <f>#REF!+"$Cm=!$C&gt;"</f>
        <v>#REF!</v>
      </c>
      <c r="GJ41" t="e">
        <f>#REF!+"$Cm=!$C?"</f>
        <v>#REF!</v>
      </c>
      <c r="GK41" t="e">
        <f>#REF!+"$Cm=!$C@"</f>
        <v>#REF!</v>
      </c>
      <c r="GL41" t="e">
        <f>#REF!+"$Cm=!$CA"</f>
        <v>#REF!</v>
      </c>
      <c r="GM41" t="e">
        <f>#REF!+"$Cm=!$CB"</f>
        <v>#REF!</v>
      </c>
      <c r="GN41" t="e">
        <f>#REF!+"$Cm=!$CC"</f>
        <v>#REF!</v>
      </c>
      <c r="GO41" t="e">
        <f>#REF!+"$Cm=!$CD"</f>
        <v>#REF!</v>
      </c>
      <c r="GP41" t="e">
        <f>#REF!+"$Cm=!$CE"</f>
        <v>#REF!</v>
      </c>
      <c r="GQ41" t="e">
        <f>#REF!+"$Cm=!$CF"</f>
        <v>#REF!</v>
      </c>
      <c r="GR41" t="e">
        <f>#REF!+"$Cm=!$CG"</f>
        <v>#REF!</v>
      </c>
      <c r="GS41" t="e">
        <f>#REF!+"$Cm=!$CH"</f>
        <v>#REF!</v>
      </c>
      <c r="GT41" t="e">
        <f>#REF!+"$Cm=!$CI"</f>
        <v>#REF!</v>
      </c>
      <c r="GU41" t="e">
        <f>#REF!+"$Cm=!$CJ"</f>
        <v>#REF!</v>
      </c>
      <c r="GV41" t="e">
        <f>#REF!+"$Cm=!$CK"</f>
        <v>#REF!</v>
      </c>
      <c r="GW41" t="e">
        <f>#REF!+"$Cm=!$CL"</f>
        <v>#REF!</v>
      </c>
      <c r="GX41" t="e">
        <f>#REF!+"$Cm=!$CM"</f>
        <v>#REF!</v>
      </c>
      <c r="GY41" t="e">
        <f>#REF!+"$Cm=!$CN"</f>
        <v>#REF!</v>
      </c>
      <c r="GZ41" t="e">
        <f>#REF!+"$Cm=!$CO"</f>
        <v>#REF!</v>
      </c>
      <c r="HA41" t="e">
        <f>#REF!+"$Cm=!$CP"</f>
        <v>#REF!</v>
      </c>
      <c r="HB41" t="e">
        <f>#REF!+"$Cm=!$CQ"</f>
        <v>#REF!</v>
      </c>
      <c r="HC41" t="e">
        <f>#REF!+"$Cm=!$CR"</f>
        <v>#REF!</v>
      </c>
      <c r="HD41" t="e">
        <f>#REF!+"$Cm=!$CS"</f>
        <v>#REF!</v>
      </c>
      <c r="HE41" t="e">
        <f>#REF!+"$Cm=!$CT"</f>
        <v>#REF!</v>
      </c>
      <c r="HF41" t="e">
        <f>#REF!+"$Cm=!$CU"</f>
        <v>#REF!</v>
      </c>
      <c r="HG41" t="e">
        <f>#REF!+"$Cm=!$CV"</f>
        <v>#REF!</v>
      </c>
      <c r="HH41" t="e">
        <f>#REF!+"$Cm=!$CW"</f>
        <v>#REF!</v>
      </c>
      <c r="HI41" t="e">
        <f>#REF!+"$Cm=!$CX"</f>
        <v>#REF!</v>
      </c>
      <c r="HJ41" t="e">
        <f>#REF!+"$Cm=!$CY"</f>
        <v>#REF!</v>
      </c>
      <c r="HK41" t="e">
        <f>#REF!+"$Cm=!$CZ"</f>
        <v>#REF!</v>
      </c>
      <c r="HL41" t="e">
        <f>#REF!+"$Cm=!$C["</f>
        <v>#REF!</v>
      </c>
      <c r="HM41" t="e">
        <f>#REF!+"$Cm=!$C\"</f>
        <v>#REF!</v>
      </c>
      <c r="HN41" t="e">
        <f>#REF!+"$Cm=!$C]"</f>
        <v>#REF!</v>
      </c>
      <c r="HO41" t="e">
        <f>#REF!+"$Cm=!$C^"</f>
        <v>#REF!</v>
      </c>
      <c r="HP41" t="e">
        <f>#REF!+"$Cm=!$C_"</f>
        <v>#REF!</v>
      </c>
      <c r="HQ41" t="e">
        <f>#REF!+"$Cm=!$C`"</f>
        <v>#REF!</v>
      </c>
      <c r="HR41" t="e">
        <f>#REF!+"$Cm=!$Ca"</f>
        <v>#REF!</v>
      </c>
      <c r="HS41" t="e">
        <f>#REF!+"$Cm=!$Cb"</f>
        <v>#REF!</v>
      </c>
      <c r="HT41" t="e">
        <f>#REF!+"$Cm=!$Cc"</f>
        <v>#REF!</v>
      </c>
      <c r="HU41" t="e">
        <f>#REF!+"$Cm=!$Cd"</f>
        <v>#REF!</v>
      </c>
      <c r="HV41" t="e">
        <f>#REF!+"$Cm=!$Ce"</f>
        <v>#REF!</v>
      </c>
      <c r="HW41" t="e">
        <f>#REF!+"$Cm=!$Cf"</f>
        <v>#REF!</v>
      </c>
      <c r="HX41" t="e">
        <f>#REF!+"$Cm=!$Cg"</f>
        <v>#REF!</v>
      </c>
      <c r="HY41" t="e">
        <f>#REF!+"$Cm=!$Ch"</f>
        <v>#REF!</v>
      </c>
      <c r="HZ41" t="e">
        <f>#REF!+"$Cm=!$Ci"</f>
        <v>#REF!</v>
      </c>
      <c r="IA41" t="e">
        <f>#REF!+"$Cm=!$Cj"</f>
        <v>#REF!</v>
      </c>
      <c r="IB41" t="e">
        <f>#REF!+"$Cm=!$Ck"</f>
        <v>#REF!</v>
      </c>
      <c r="IC41" t="e">
        <f>#REF!+"$Cm=!$Cl"</f>
        <v>#REF!</v>
      </c>
      <c r="ID41" t="e">
        <f>#REF!+"$Cm=!$Cm"</f>
        <v>#REF!</v>
      </c>
      <c r="IE41" t="e">
        <f>#REF!+"$Cm=!$Cn"</f>
        <v>#REF!</v>
      </c>
      <c r="IF41" t="e">
        <f>#REF!+"$Cm=!$Co"</f>
        <v>#REF!</v>
      </c>
      <c r="IG41" t="e">
        <f>#REF!+"$Cm=!$Cp"</f>
        <v>#REF!</v>
      </c>
      <c r="IH41" t="e">
        <f>#REF!+"$Cm=!$Cq"</f>
        <v>#REF!</v>
      </c>
      <c r="II41" t="e">
        <f>#REF!+"$Cm=!$Cr"</f>
        <v>#REF!</v>
      </c>
      <c r="IJ41" t="e">
        <f>#REF!+"$Cm=!$Cs"</f>
        <v>#REF!</v>
      </c>
      <c r="IK41" t="e">
        <f>#REF!+"$Cm=!$Ct"</f>
        <v>#REF!</v>
      </c>
      <c r="IL41" t="e">
        <f>#REF!+"$Cm=!$Cu"</f>
        <v>#REF!</v>
      </c>
      <c r="IM41" t="e">
        <f>#REF!+"$Cm=!$Cv"</f>
        <v>#REF!</v>
      </c>
      <c r="IN41" t="e">
        <f>#REF!+"$Cm=!$Cw"</f>
        <v>#REF!</v>
      </c>
      <c r="IO41" t="e">
        <f>#REF!+"$Cm=!$Cx"</f>
        <v>#REF!</v>
      </c>
      <c r="IP41" t="e">
        <f>#REF!+"$Cm=!$Cy"</f>
        <v>#REF!</v>
      </c>
      <c r="IQ41" t="e">
        <f>#REF!+"$Cm=!$Cz"</f>
        <v>#REF!</v>
      </c>
      <c r="IR41" t="e">
        <f>#REF!+"$Cm=!$C{"</f>
        <v>#REF!</v>
      </c>
      <c r="IS41" t="e">
        <f>#REF!+"$Cm=!$C|"</f>
        <v>#REF!</v>
      </c>
      <c r="IT41" t="e">
        <f>#REF!+"$Cm=!$C}"</f>
        <v>#REF!</v>
      </c>
      <c r="IU41" t="e">
        <f>#REF!+"$Cm=!$C~"</f>
        <v>#REF!</v>
      </c>
      <c r="IV41" t="e">
        <f>#REF!+"$Cm=!$D#"</f>
        <v>#REF!</v>
      </c>
    </row>
    <row r="42" spans="6:256">
      <c r="F42" t="e">
        <f>#REF!+"$Cm=!$D$"</f>
        <v>#REF!</v>
      </c>
      <c r="G42" t="e">
        <f>#REF!+"$Cm=!$D%"</f>
        <v>#REF!</v>
      </c>
      <c r="H42" t="e">
        <f>#REF!+"$Cm=!$D&amp;"</f>
        <v>#REF!</v>
      </c>
      <c r="I42" t="e">
        <f>#REF!+"$Cm=!$D'"</f>
        <v>#REF!</v>
      </c>
      <c r="J42" t="e">
        <f>#REF!+"$Cm=!$D("</f>
        <v>#REF!</v>
      </c>
      <c r="K42" t="e">
        <f>#REF!+"$Cm=!$D)"</f>
        <v>#REF!</v>
      </c>
      <c r="L42" t="e">
        <f>#REF!+"$Cm=!$D."</f>
        <v>#REF!</v>
      </c>
      <c r="M42" t="e">
        <f>#REF!+"$Cm=!$D/"</f>
        <v>#REF!</v>
      </c>
      <c r="N42" t="e">
        <f>#REF!+"$Cm=!$D0"</f>
        <v>#REF!</v>
      </c>
      <c r="O42" t="e">
        <f>#REF!+"$Cm=!$D1"</f>
        <v>#REF!</v>
      </c>
      <c r="P42" t="e">
        <f>#REF!+"$Cm=!$D2"</f>
        <v>#REF!</v>
      </c>
      <c r="Q42" t="e">
        <f>#REF!+"$Cm=!$D3"</f>
        <v>#REF!</v>
      </c>
      <c r="R42" t="e">
        <f>#REF!+"$Cm=!$D4"</f>
        <v>#REF!</v>
      </c>
      <c r="S42" t="e">
        <f>#REF!+"$Cm=!$D5"</f>
        <v>#REF!</v>
      </c>
      <c r="T42" t="e">
        <f>#REF!+"$Cm=!$D6"</f>
        <v>#REF!</v>
      </c>
      <c r="U42" t="e">
        <f>#REF!+"$Cm=!$D7"</f>
        <v>#REF!</v>
      </c>
      <c r="V42" t="e">
        <f>#REF!+"$Cm=!$D8"</f>
        <v>#REF!</v>
      </c>
      <c r="W42" t="e">
        <f>#REF!+"$Cm=!$D9"</f>
        <v>#REF!</v>
      </c>
      <c r="X42" t="e">
        <f>#REF!+"$Cm=!$D:"</f>
        <v>#REF!</v>
      </c>
      <c r="Y42" t="e">
        <f>#REF!+"$Cm=!$D;"</f>
        <v>#REF!</v>
      </c>
      <c r="Z42" t="e">
        <f>#REF!+"$Cm=!$D&lt;"</f>
        <v>#REF!</v>
      </c>
      <c r="AA42" t="e">
        <f>#REF!+"$Cm=!$D="</f>
        <v>#REF!</v>
      </c>
      <c r="AB42" t="e">
        <f>#REF!+"$Cm=!$D&gt;"</f>
        <v>#REF!</v>
      </c>
      <c r="AC42" t="e">
        <f>#REF!+"$Cm=!$D?"</f>
        <v>#REF!</v>
      </c>
      <c r="AD42" t="e">
        <f>#REF!+"$Cm=!$D@"</f>
        <v>#REF!</v>
      </c>
      <c r="AE42" t="e">
        <f>#REF!+"$Cm=!$DA"</f>
        <v>#REF!</v>
      </c>
      <c r="AF42" t="e">
        <f>#REF!+"$Cm=!$DB"</f>
        <v>#REF!</v>
      </c>
      <c r="AG42" t="e">
        <f>#REF!+"$Cm=!$DC"</f>
        <v>#REF!</v>
      </c>
      <c r="AH42" t="e">
        <f>#REF!+"$Cm=!$DD"</f>
        <v>#REF!</v>
      </c>
      <c r="AI42" t="e">
        <f>#REF!+"$Cm=!$DE"</f>
        <v>#REF!</v>
      </c>
      <c r="AJ42" t="e">
        <f>#REF!+"$Cm=!$DF"</f>
        <v>#REF!</v>
      </c>
      <c r="AK42" t="e">
        <f>#REF!+"$Cm=!$DG"</f>
        <v>#REF!</v>
      </c>
      <c r="AL42" t="e">
        <f>#REF!+"$Cm=!$DH"</f>
        <v>#REF!</v>
      </c>
      <c r="AM42" t="e">
        <f>#REF!+"$Cm=!$DI"</f>
        <v>#REF!</v>
      </c>
      <c r="AN42" t="e">
        <f>#REF!+"$Cm=!$DJ"</f>
        <v>#REF!</v>
      </c>
      <c r="AO42" t="e">
        <f>#REF!+"$Cm=!$DK"</f>
        <v>#REF!</v>
      </c>
      <c r="AP42" t="e">
        <f>#REF!+"$Cm=!$DL"</f>
        <v>#REF!</v>
      </c>
      <c r="AQ42" t="e">
        <f>#REF!+"$Cm=!$DM"</f>
        <v>#REF!</v>
      </c>
      <c r="AR42" t="e">
        <f>#REF!+"$Cm=!$DN"</f>
        <v>#REF!</v>
      </c>
      <c r="AS42" t="e">
        <f>#REF!+"$Cm=!$DO"</f>
        <v>#REF!</v>
      </c>
      <c r="AT42" t="e">
        <f>#REF!+"$Cm=!$DP"</f>
        <v>#REF!</v>
      </c>
      <c r="AU42" t="e">
        <f>#REF!+"$Cm=!$DQ"</f>
        <v>#REF!</v>
      </c>
      <c r="AV42" t="e">
        <f>#REF!+"$Cm=!$DR"</f>
        <v>#REF!</v>
      </c>
      <c r="AW42" t="e">
        <f>#REF!+"$Cm=!$DS"</f>
        <v>#REF!</v>
      </c>
      <c r="AX42" t="e">
        <f>#REF!+"$Cm=!$DT"</f>
        <v>#REF!</v>
      </c>
      <c r="AY42" t="e">
        <f>#REF!+"$Cm=!$DU"</f>
        <v>#REF!</v>
      </c>
      <c r="AZ42" t="e">
        <f>#REF!+"$Cm=!$DV"</f>
        <v>#REF!</v>
      </c>
      <c r="BA42" t="e">
        <f>#REF!+"$Cm=!$DW"</f>
        <v>#REF!</v>
      </c>
      <c r="BB42" t="e">
        <f>#REF!+"$Cm=!$DX"</f>
        <v>#REF!</v>
      </c>
      <c r="BC42" t="e">
        <f>#REF!+"$Cm=!$DY"</f>
        <v>#REF!</v>
      </c>
      <c r="BD42" t="e">
        <f>#REF!+"$Cm=!$DZ"</f>
        <v>#REF!</v>
      </c>
      <c r="BE42" t="e">
        <f>#REF!+"$Cm=!$D["</f>
        <v>#REF!</v>
      </c>
      <c r="BF42" t="e">
        <f>#REF!+"$Cm=!$D\"</f>
        <v>#REF!</v>
      </c>
      <c r="BG42" t="e">
        <f>#REF!+"$Cm=!$D]"</f>
        <v>#REF!</v>
      </c>
      <c r="BH42" t="e">
        <f>#REF!+"$Cm=!$D^"</f>
        <v>#REF!</v>
      </c>
      <c r="BI42" t="e">
        <f>#REF!+"$Cm=!$D_"</f>
        <v>#REF!</v>
      </c>
      <c r="BJ42" t="e">
        <f>#REF!+"$Cm=!$D`"</f>
        <v>#REF!</v>
      </c>
      <c r="BK42" t="e">
        <f>#REF!+"$Cm=!$Da"</f>
        <v>#REF!</v>
      </c>
      <c r="BL42" t="e">
        <f>#REF!+"$Cm=!$Db"</f>
        <v>#REF!</v>
      </c>
      <c r="BM42" t="e">
        <f>#REF!+"$Cm=!$Dc"</f>
        <v>#REF!</v>
      </c>
      <c r="BN42" t="e">
        <f>#REF!+"$Cm=!$Dd"</f>
        <v>#REF!</v>
      </c>
      <c r="BO42" t="e">
        <f>#REF!+"$Cm=!$De"</f>
        <v>#REF!</v>
      </c>
      <c r="BP42" t="e">
        <f>#REF!+"$Cm=!$Df"</f>
        <v>#REF!</v>
      </c>
      <c r="BQ42" t="e">
        <f>#REF!+"$Cm=!$Dg"</f>
        <v>#REF!</v>
      </c>
      <c r="BR42" t="e">
        <f>#REF!+"$Cm=!$Dh"</f>
        <v>#REF!</v>
      </c>
      <c r="BS42" t="e">
        <f>#REF!+"$Cm=!$Di"</f>
        <v>#REF!</v>
      </c>
      <c r="BT42" t="e">
        <f>#REF!+"$Cm=!$Dj"</f>
        <v>#REF!</v>
      </c>
      <c r="BU42" t="e">
        <f>#REF!+"$Cm=!$Dk"</f>
        <v>#REF!</v>
      </c>
      <c r="BV42" t="e">
        <f>#REF!+"$Cm=!$Dl"</f>
        <v>#REF!</v>
      </c>
      <c r="BW42" t="e">
        <f>#REF!+"$Cm=!$Dm"</f>
        <v>#REF!</v>
      </c>
      <c r="BX42" t="e">
        <f>#REF!+"$Cm=!$Dn"</f>
        <v>#REF!</v>
      </c>
      <c r="BY42" t="e">
        <f>#REF!+"$Cm=!$Do"</f>
        <v>#REF!</v>
      </c>
      <c r="BZ42" t="e">
        <f>#REF!+"$Cm=!$Dp"</f>
        <v>#REF!</v>
      </c>
      <c r="CA42" t="e">
        <f>#REF!+"$Cm=!$Dq"</f>
        <v>#REF!</v>
      </c>
      <c r="CB42" t="e">
        <f>#REF!+"$Cm=!$Dr"</f>
        <v>#REF!</v>
      </c>
      <c r="CC42" t="e">
        <f>#REF!+"$Cm=!$Ds"</f>
        <v>#REF!</v>
      </c>
      <c r="CD42" t="e">
        <f>#REF!+"$Cm=!$Dt"</f>
        <v>#REF!</v>
      </c>
      <c r="CE42" t="e">
        <f>#REF!+"$Cm=!$Du"</f>
        <v>#REF!</v>
      </c>
      <c r="CF42" t="e">
        <f>#REF!+"$Cm=!$Dv"</f>
        <v>#REF!</v>
      </c>
      <c r="CG42" t="e">
        <f>#REF!+"$Cm=!$Dw"</f>
        <v>#REF!</v>
      </c>
      <c r="CH42" t="e">
        <f>#REF!+"$Cm=!$Dx"</f>
        <v>#REF!</v>
      </c>
      <c r="CI42" t="e">
        <f>#REF!+"$Cm=!$Dy"</f>
        <v>#REF!</v>
      </c>
      <c r="CJ42" t="e">
        <f>#REF!+"$Cm=!$Dz"</f>
        <v>#REF!</v>
      </c>
      <c r="CK42" t="e">
        <f>#REF!+"$Cm=!$D{"</f>
        <v>#REF!</v>
      </c>
      <c r="CL42" t="e">
        <f>#REF!+"$Cm=!$D|"</f>
        <v>#REF!</v>
      </c>
      <c r="CM42" t="e">
        <f>#REF!+"$Cm=!$D}"</f>
        <v>#REF!</v>
      </c>
      <c r="CN42" t="e">
        <f>#REF!+"$Cm=!$D~"</f>
        <v>#REF!</v>
      </c>
      <c r="CO42" t="e">
        <f>#REF!+"$Cm=!$E#"</f>
        <v>#REF!</v>
      </c>
      <c r="CP42" t="e">
        <f>#REF!+"$Cm=!$E$"</f>
        <v>#REF!</v>
      </c>
      <c r="CQ42" t="e">
        <f>#REF!+"$Cm=!$E%"</f>
        <v>#REF!</v>
      </c>
      <c r="CR42" t="e">
        <f>#REF!+"$Cm=!$E&amp;"</f>
        <v>#REF!</v>
      </c>
      <c r="CS42" t="e">
        <f>#REF!+"$Cm=!$E'"</f>
        <v>#REF!</v>
      </c>
      <c r="CT42" t="e">
        <f>#REF!+"$Cm=!$E("</f>
        <v>#REF!</v>
      </c>
      <c r="CU42" t="e">
        <f>#REF!+"$Cm=!$E)"</f>
        <v>#REF!</v>
      </c>
      <c r="CV42" t="e">
        <f>#REF!+"$Cm=!$E."</f>
        <v>#REF!</v>
      </c>
      <c r="CW42" t="e">
        <f>#REF!+"$Cm=!$E/"</f>
        <v>#REF!</v>
      </c>
      <c r="CX42" t="e">
        <f>#REF!+"$Cm=!$E0"</f>
        <v>#REF!</v>
      </c>
      <c r="CY42" t="e">
        <f>#REF!+"$Cm=!$E1"</f>
        <v>#REF!</v>
      </c>
      <c r="CZ42" t="e">
        <f>#REF!+"$Cm=!$E2"</f>
        <v>#REF!</v>
      </c>
      <c r="DA42" t="e">
        <f>#REF!+"$Cm=!$E3"</f>
        <v>#REF!</v>
      </c>
      <c r="DB42" t="e">
        <f>#REF!+"$Cm=!$E4"</f>
        <v>#REF!</v>
      </c>
      <c r="DC42" t="e">
        <f>#REF!+"$Cm=!$E5"</f>
        <v>#REF!</v>
      </c>
      <c r="DD42" t="e">
        <f>#REF!+"$Cm=!$E6"</f>
        <v>#REF!</v>
      </c>
      <c r="DE42" t="e">
        <f>#REF!+"$Cm=!$E7"</f>
        <v>#REF!</v>
      </c>
      <c r="DF42" t="e">
        <f>#REF!+"$Cm=!$E8"</f>
        <v>#REF!</v>
      </c>
      <c r="DG42" t="e">
        <f>#REF!+"$Cm=!$E9"</f>
        <v>#REF!</v>
      </c>
      <c r="DH42" t="e">
        <f>#REF!+"$Cm=!$E:"</f>
        <v>#REF!</v>
      </c>
      <c r="DI42" t="e">
        <f>#REF!+"$Cm=!$E;"</f>
        <v>#REF!</v>
      </c>
      <c r="DJ42" t="e">
        <f>#REF!+"$Cm=!$E&lt;"</f>
        <v>#REF!</v>
      </c>
      <c r="DK42" t="e">
        <f>#REF!+"$Cm=!$E="</f>
        <v>#REF!</v>
      </c>
      <c r="DL42" t="e">
        <f>#REF!+"$Cm=!$E&gt;"</f>
        <v>#REF!</v>
      </c>
      <c r="DM42" t="e">
        <f>#REF!+"$Cm=!$E?"</f>
        <v>#REF!</v>
      </c>
      <c r="DN42" t="e">
        <f>#REF!+"$Cm=!$E@"</f>
        <v>#REF!</v>
      </c>
      <c r="DO42" t="e">
        <f>#REF!+"$Cm=!$EA"</f>
        <v>#REF!</v>
      </c>
      <c r="DP42" t="e">
        <f>#REF!+"$Cm=!$EB"</f>
        <v>#REF!</v>
      </c>
      <c r="DQ42" t="e">
        <f>#REF!+"$Cm=!$EC"</f>
        <v>#REF!</v>
      </c>
      <c r="DR42" t="e">
        <f>#REF!+"$Cm=!$ED"</f>
        <v>#REF!</v>
      </c>
      <c r="DS42" t="e">
        <f>#REF!+"$Cm=!$EE"</f>
        <v>#REF!</v>
      </c>
      <c r="DT42" t="e">
        <f>#REF!+"$Cm=!$EF"</f>
        <v>#REF!</v>
      </c>
      <c r="DU42" t="e">
        <f>#REF!+"$Cm=!$EG"</f>
        <v>#REF!</v>
      </c>
      <c r="DV42" t="e">
        <f>#REF!+"$Cm=!$EH"</f>
        <v>#REF!</v>
      </c>
      <c r="DW42" t="e">
        <f>#REF!+"$Cm=!$EI"</f>
        <v>#REF!</v>
      </c>
      <c r="DX42" t="e">
        <f>#REF!+"$Cm=!$EJ"</f>
        <v>#REF!</v>
      </c>
      <c r="DY42" t="e">
        <f>#REF!+"$Cm=!$EK"</f>
        <v>#REF!</v>
      </c>
      <c r="DZ42" t="e">
        <f>#REF!+"$Cm=!$EL"</f>
        <v>#REF!</v>
      </c>
      <c r="EA42" t="e">
        <f>#REF!+"$Cm=!$EM"</f>
        <v>#REF!</v>
      </c>
      <c r="EB42" t="e">
        <f>#REF!+"$Cm=!$EN"</f>
        <v>#REF!</v>
      </c>
      <c r="EC42" t="e">
        <f>#REF!+"$Cm=!$EO"</f>
        <v>#REF!</v>
      </c>
      <c r="ED42" t="e">
        <f>#REF!+"$Cm=!$EP"</f>
        <v>#REF!</v>
      </c>
      <c r="EE42" t="e">
        <f>#REF!+"$Cm=!$EQ"</f>
        <v>#REF!</v>
      </c>
      <c r="EF42" t="e">
        <f>#REF!+"$Cm=!$ER"</f>
        <v>#REF!</v>
      </c>
      <c r="EG42" t="e">
        <f>#REF!+"$Cm=!$ES"</f>
        <v>#REF!</v>
      </c>
      <c r="EH42" t="e">
        <f>#REF!+"$Cm=!$ET"</f>
        <v>#REF!</v>
      </c>
      <c r="EI42" t="e">
        <f>#REF!+"$Cm=!$EU"</f>
        <v>#REF!</v>
      </c>
      <c r="EJ42" t="e">
        <f>#REF!+"$Cm=!$EV"</f>
        <v>#REF!</v>
      </c>
      <c r="EK42" t="e">
        <f>#REF!+"$Cm=!$EW"</f>
        <v>#REF!</v>
      </c>
      <c r="EL42" t="e">
        <f>#REF!+"$Cm=!$EX"</f>
        <v>#REF!</v>
      </c>
      <c r="EM42" t="e">
        <f>#REF!+"$Cm=!$EY"</f>
        <v>#REF!</v>
      </c>
      <c r="EN42" t="e">
        <f>#REF!+"$Cm=!$EZ"</f>
        <v>#REF!</v>
      </c>
      <c r="EO42" t="e">
        <f>#REF!+"$Cm=!$E["</f>
        <v>#REF!</v>
      </c>
      <c r="EP42" t="e">
        <f>#REF!+"$Cm=!$E\"</f>
        <v>#REF!</v>
      </c>
      <c r="EQ42" t="e">
        <f>#REF!+"$Cm=!$E]"</f>
        <v>#REF!</v>
      </c>
      <c r="ER42" t="e">
        <f>#REF!+"$Cm=!$E^"</f>
        <v>#REF!</v>
      </c>
      <c r="ES42" t="e">
        <f>#REF!+"$Cm=!$E_"</f>
        <v>#REF!</v>
      </c>
      <c r="ET42" t="e">
        <f>#REF!+"$Cm=!$E`"</f>
        <v>#REF!</v>
      </c>
      <c r="EU42" t="e">
        <f>#REF!+"$Cm=!$Ea"</f>
        <v>#REF!</v>
      </c>
      <c r="EV42" t="e">
        <f>#REF!+"$Cm=!$Eb"</f>
        <v>#REF!</v>
      </c>
      <c r="EW42" t="e">
        <f>#REF!+"$Cm=!$Ec"</f>
        <v>#REF!</v>
      </c>
      <c r="EX42" t="e">
        <f>#REF!+"$Cm=!$Ed"</f>
        <v>#REF!</v>
      </c>
      <c r="EY42" t="e">
        <f>#REF!+"$Cm=!$Ee"</f>
        <v>#REF!</v>
      </c>
      <c r="EZ42" t="e">
        <f>#REF!+"$Cm=!$Ef"</f>
        <v>#REF!</v>
      </c>
      <c r="FA42" t="e">
        <f>#REF!+"$Cm=!$Eg"</f>
        <v>#REF!</v>
      </c>
      <c r="FB42" t="e">
        <f>#REF!+"$Cm=!$Eh"</f>
        <v>#REF!</v>
      </c>
      <c r="FC42" t="e">
        <f>#REF!+"$Cm=!$Ei"</f>
        <v>#REF!</v>
      </c>
      <c r="FD42" t="e">
        <f>#REF!+"$Cm=!$Ej"</f>
        <v>#REF!</v>
      </c>
      <c r="FE42" t="e">
        <f>#REF!+"$Cm=!$Ek"</f>
        <v>#REF!</v>
      </c>
      <c r="FF42" t="e">
        <f>#REF!+"$Cm=!$El"</f>
        <v>#REF!</v>
      </c>
      <c r="FG42" t="e">
        <f>#REF!+"$Cm=!$Em"</f>
        <v>#REF!</v>
      </c>
      <c r="FH42" t="e">
        <f>#REF!+"$Cm=!$En"</f>
        <v>#REF!</v>
      </c>
      <c r="FI42" t="e">
        <f>#REF!+"$Cm=!$Eo"</f>
        <v>#REF!</v>
      </c>
      <c r="FJ42" t="e">
        <f>#REF!+"$Cm=!$Ep"</f>
        <v>#REF!</v>
      </c>
      <c r="FK42" t="e">
        <f>#REF!+"$Cm=!$Eq"</f>
        <v>#REF!</v>
      </c>
      <c r="FL42" t="e">
        <f>#REF!+"$Cm=!$Er"</f>
        <v>#REF!</v>
      </c>
      <c r="FM42" t="e">
        <f>#REF!+"$Cm=!$Es"</f>
        <v>#REF!</v>
      </c>
      <c r="FN42" t="e">
        <f>#REF!+"$Cm=!$Et"</f>
        <v>#REF!</v>
      </c>
      <c r="FO42" t="e">
        <f>#REF!+"$Cm=!$Eu"</f>
        <v>#REF!</v>
      </c>
      <c r="FP42" t="e">
        <f>#REF!+"$Cm=!$Ev"</f>
        <v>#REF!</v>
      </c>
      <c r="FQ42" t="e">
        <f>#REF!+"$Cm=!$Ew"</f>
        <v>#REF!</v>
      </c>
      <c r="FR42" t="e">
        <f>#REF!+"$Cm=!$Ex"</f>
        <v>#REF!</v>
      </c>
      <c r="FS42" t="e">
        <f>#REF!+"$Cm=!$Ey"</f>
        <v>#REF!</v>
      </c>
      <c r="FT42" t="e">
        <f>#REF!+"$Cm=!$Ez"</f>
        <v>#REF!</v>
      </c>
      <c r="FU42" t="e">
        <f>#REF!+"$Cm=!$E{"</f>
        <v>#REF!</v>
      </c>
      <c r="FV42" t="e">
        <f>#REF!+"$Cm=!$E|"</f>
        <v>#REF!</v>
      </c>
      <c r="FW42" t="e">
        <f>#REF!+"$Cm=!$E}"</f>
        <v>#REF!</v>
      </c>
      <c r="FX42" t="e">
        <f>#REF!+"$Cm=!$E~"</f>
        <v>#REF!</v>
      </c>
      <c r="FY42" t="e">
        <f>#REF!+"$Cm=!$F#"</f>
        <v>#REF!</v>
      </c>
      <c r="FZ42" t="e">
        <f>#REF!+"$Cm=!$F$"</f>
        <v>#REF!</v>
      </c>
      <c r="GA42" t="e">
        <f>#REF!+"$Cm=!$F%"</f>
        <v>#REF!</v>
      </c>
      <c r="GB42" t="e">
        <f>#REF!+"$Cm=!$F&amp;"</f>
        <v>#REF!</v>
      </c>
      <c r="GC42" t="e">
        <f>#REF!+"$Cm=!$F'"</f>
        <v>#REF!</v>
      </c>
      <c r="GD42" t="e">
        <f>#REF!+"$Cm=!$F("</f>
        <v>#REF!</v>
      </c>
      <c r="GE42" t="e">
        <f>#REF!+"$Cm=!$F)"</f>
        <v>#REF!</v>
      </c>
      <c r="GF42" t="e">
        <f>#REF!+"$Cm=!$F."</f>
        <v>#REF!</v>
      </c>
      <c r="GG42" t="e">
        <f>#REF!+"$Cm=!$F/"</f>
        <v>#REF!</v>
      </c>
      <c r="GH42" t="e">
        <f>#REF!+"$Cm=!$F0"</f>
        <v>#REF!</v>
      </c>
      <c r="GI42" t="e">
        <f>#REF!+"$Cm=!$F1"</f>
        <v>#REF!</v>
      </c>
      <c r="GJ42" t="e">
        <f>#REF!+"$Cm=!$F2"</f>
        <v>#REF!</v>
      </c>
      <c r="GK42" t="e">
        <f>#REF!+"$Cm=!$F3"</f>
        <v>#REF!</v>
      </c>
      <c r="GL42" t="e">
        <f>#REF!+"$Cm=!$F4"</f>
        <v>#REF!</v>
      </c>
      <c r="GM42" t="e">
        <f>#REF!+"$Cm=!$F5"</f>
        <v>#REF!</v>
      </c>
      <c r="GN42" t="e">
        <f>#REF!+"$Cm=!$F6"</f>
        <v>#REF!</v>
      </c>
      <c r="GO42" t="e">
        <f>#REF!+"$Cm=!$F7"</f>
        <v>#REF!</v>
      </c>
      <c r="GP42" t="e">
        <f>#REF!+"$Cm=!$F8"</f>
        <v>#REF!</v>
      </c>
      <c r="GQ42" t="e">
        <f>#REF!+"$Cm=!$F9"</f>
        <v>#REF!</v>
      </c>
      <c r="GR42" t="e">
        <f>#REF!+"$Cm=!$F:"</f>
        <v>#REF!</v>
      </c>
      <c r="GS42" t="e">
        <f>#REF!+"$Cm=!$F;"</f>
        <v>#REF!</v>
      </c>
      <c r="GT42" t="e">
        <f>#REF!+"$Cm=!$F&lt;"</f>
        <v>#REF!</v>
      </c>
      <c r="GU42" t="e">
        <f>#REF!+"$Cm=!$F="</f>
        <v>#REF!</v>
      </c>
      <c r="GV42" t="e">
        <f>#REF!+"$Cm=!$F&gt;"</f>
        <v>#REF!</v>
      </c>
      <c r="GW42" t="e">
        <f>#REF!+"$Cm=!$F?"</f>
        <v>#REF!</v>
      </c>
      <c r="GX42" t="e">
        <f>#REF!+"$Cm=!$F@"</f>
        <v>#REF!</v>
      </c>
      <c r="GY42" t="e">
        <f>#REF!+"$Cm=!$FA"</f>
        <v>#REF!</v>
      </c>
      <c r="GZ42" t="e">
        <f>#REF!+"$Cm=!$FB"</f>
        <v>#REF!</v>
      </c>
      <c r="HA42" t="e">
        <f>#REF!+"$Cm=!$FC"</f>
        <v>#REF!</v>
      </c>
      <c r="HB42" t="e">
        <f>#REF!+"$Cm=!$FD"</f>
        <v>#REF!</v>
      </c>
      <c r="HC42" t="e">
        <f>#REF!+"$Cm=!$FE"</f>
        <v>#REF!</v>
      </c>
      <c r="HD42" t="e">
        <f>#REF!+"$Cm=!$FF"</f>
        <v>#REF!</v>
      </c>
      <c r="HE42" t="e">
        <f>#REF!+"$Cm=!$FG"</f>
        <v>#REF!</v>
      </c>
      <c r="HF42" t="e">
        <f>#REF!+"$Cm=!$FH"</f>
        <v>#REF!</v>
      </c>
      <c r="HG42" t="e">
        <f>#REF!+"$Cm=!$FI"</f>
        <v>#REF!</v>
      </c>
      <c r="HH42" t="e">
        <f>#REF!+"$Cm=!$FJ"</f>
        <v>#REF!</v>
      </c>
      <c r="HI42" t="e">
        <f>#REF!+"$Cm=!$FK"</f>
        <v>#REF!</v>
      </c>
      <c r="HJ42" t="e">
        <f>#REF!+"$Cm=!$FL"</f>
        <v>#REF!</v>
      </c>
      <c r="HK42" t="e">
        <f>#REF!+"$Cm=!$FM"</f>
        <v>#REF!</v>
      </c>
      <c r="HL42" t="e">
        <f>#REF!+"$Cm=!$FN"</f>
        <v>#REF!</v>
      </c>
      <c r="HM42" t="e">
        <f>#REF!+"$Cm=!$FO"</f>
        <v>#REF!</v>
      </c>
      <c r="HN42" t="e">
        <f>#REF!+"$Cm=!$FP"</f>
        <v>#REF!</v>
      </c>
      <c r="HO42" t="e">
        <f>#REF!+"$Cm=!$FQ"</f>
        <v>#REF!</v>
      </c>
      <c r="HP42" t="e">
        <f>#REF!+"$Cm=!$FR"</f>
        <v>#REF!</v>
      </c>
      <c r="HQ42" t="e">
        <f>#REF!+"$Cm=!$FS"</f>
        <v>#REF!</v>
      </c>
      <c r="HR42" t="e">
        <f>#REF!+"$Cm=!$FT"</f>
        <v>#REF!</v>
      </c>
      <c r="HS42" t="e">
        <f>#REF!+"$Cm=!$FU"</f>
        <v>#REF!</v>
      </c>
      <c r="HT42" t="e">
        <f>#REF!+"$Cm=!$FV"</f>
        <v>#REF!</v>
      </c>
      <c r="HU42" t="e">
        <f>#REF!+"$Cm=!$FW"</f>
        <v>#REF!</v>
      </c>
      <c r="HV42" t="e">
        <f>#REF!+"$Cm=!$FX"</f>
        <v>#REF!</v>
      </c>
      <c r="HW42" t="e">
        <f>#REF!+"$Cm=!$FY"</f>
        <v>#REF!</v>
      </c>
      <c r="HX42" t="e">
        <f>#REF!+"$Cm=!$FZ"</f>
        <v>#REF!</v>
      </c>
      <c r="HY42" t="e">
        <f>#REF!+"$Cm=!$F["</f>
        <v>#REF!</v>
      </c>
      <c r="HZ42" t="e">
        <f>#REF!+"$Cm=!$F\"</f>
        <v>#REF!</v>
      </c>
      <c r="IA42" t="e">
        <f>#REF!+"$Cm=!$F]"</f>
        <v>#REF!</v>
      </c>
      <c r="IB42" t="e">
        <f>#REF!+"$Cm=!$F^"</f>
        <v>#REF!</v>
      </c>
      <c r="IC42" t="e">
        <f>#REF!+"$Cm=!$F_"</f>
        <v>#REF!</v>
      </c>
      <c r="ID42" t="e">
        <f>#REF!+"$Cm=!$F`"</f>
        <v>#REF!</v>
      </c>
      <c r="IE42" t="e">
        <f>#REF!+"$Cm=!$Fa"</f>
        <v>#REF!</v>
      </c>
      <c r="IF42" t="e">
        <f>#REF!+"$Cm=!$Fb"</f>
        <v>#REF!</v>
      </c>
      <c r="IG42" t="e">
        <f>#REF!+"$Cm=!$Fc"</f>
        <v>#REF!</v>
      </c>
      <c r="IH42" t="e">
        <f>#REF!+"$Cm=!$Fd"</f>
        <v>#REF!</v>
      </c>
      <c r="II42" t="e">
        <f>#REF!+"$Cm=!$Fe"</f>
        <v>#REF!</v>
      </c>
      <c r="IJ42" t="e">
        <f>#REF!+"$Cm=!$Ff"</f>
        <v>#REF!</v>
      </c>
      <c r="IK42" t="e">
        <f>#REF!+"$Cm=!$Fg"</f>
        <v>#REF!</v>
      </c>
      <c r="IL42" t="e">
        <f>#REF!+"$Cm=!$Fh"</f>
        <v>#REF!</v>
      </c>
      <c r="IM42" t="e">
        <f>#REF!+"$Cm=!$Fi"</f>
        <v>#REF!</v>
      </c>
      <c r="IN42" t="e">
        <f>#REF!+"$Cm=!$Fj"</f>
        <v>#REF!</v>
      </c>
      <c r="IO42" t="e">
        <f>#REF!+"$Cm=!$Fk"</f>
        <v>#REF!</v>
      </c>
      <c r="IP42" t="e">
        <f>#REF!+"$Cm=!$Fl"</f>
        <v>#REF!</v>
      </c>
      <c r="IQ42" t="e">
        <f>#REF!+"$Cm=!$Fm"</f>
        <v>#REF!</v>
      </c>
      <c r="IR42" t="e">
        <f>#REF!+"$Cm=!$Fn"</f>
        <v>#REF!</v>
      </c>
      <c r="IS42" t="e">
        <f>#REF!+"$Cm=!$Fo"</f>
        <v>#REF!</v>
      </c>
      <c r="IT42" t="e">
        <f>#REF!+"$Cm=!$Fp"</f>
        <v>#REF!</v>
      </c>
      <c r="IU42" t="e">
        <f>#REF!+"$Cm=!$Fq"</f>
        <v>#REF!</v>
      </c>
      <c r="IV42" t="e">
        <f>#REF!+"$Cm=!$Fr"</f>
        <v>#REF!</v>
      </c>
    </row>
    <row r="43" spans="6:256">
      <c r="F43" t="e">
        <f>#REF!+"$Cm=!$Fs"</f>
        <v>#REF!</v>
      </c>
      <c r="G43" t="e">
        <f>#REF!+"$Cm=!$Ft"</f>
        <v>#REF!</v>
      </c>
      <c r="H43" t="e">
        <f>#REF!+"$Cm=!$Fu"</f>
        <v>#REF!</v>
      </c>
      <c r="I43" t="e">
        <f>#REF!+"$Cm=!$Fv"</f>
        <v>#REF!</v>
      </c>
      <c r="J43" t="e">
        <f>#REF!+"$Cm=!$Fw"</f>
        <v>#REF!</v>
      </c>
      <c r="K43" t="e">
        <f>#REF!+"$Cm=!$Fx"</f>
        <v>#REF!</v>
      </c>
      <c r="L43" t="e">
        <f>#REF!+"$Cm=!$Fy"</f>
        <v>#REF!</v>
      </c>
      <c r="M43" t="e">
        <f>#REF!+"$Cm=!$Fz"</f>
        <v>#REF!</v>
      </c>
      <c r="N43" t="e">
        <f>#REF!+"$Cm=!$F{"</f>
        <v>#REF!</v>
      </c>
      <c r="O43" t="e">
        <f>#REF!+"$Cm=!$F|"</f>
        <v>#REF!</v>
      </c>
      <c r="P43" t="e">
        <f>#REF!+"$Cm=!$F}"</f>
        <v>#REF!</v>
      </c>
      <c r="Q43" t="e">
        <f>#REF!+"$Cm=!$F~"</f>
        <v>#REF!</v>
      </c>
      <c r="R43" t="e">
        <f>#REF!+"$Cm=!$G#"</f>
        <v>#REF!</v>
      </c>
      <c r="S43" t="e">
        <f>#REF!+"$Cm=!$G$"</f>
        <v>#REF!</v>
      </c>
      <c r="T43" t="e">
        <f>#REF!+"$Cm=!$G%"</f>
        <v>#REF!</v>
      </c>
      <c r="U43" t="e">
        <f>#REF!+"$Cm=!$G&amp;"</f>
        <v>#REF!</v>
      </c>
      <c r="V43" t="e">
        <f>#REF!+"$Cm=!$G'"</f>
        <v>#REF!</v>
      </c>
      <c r="W43" t="e">
        <f>#REF!+"$Cm=!$G("</f>
        <v>#REF!</v>
      </c>
      <c r="X43" t="e">
        <f>#REF!+"$Cm=!$G)"</f>
        <v>#REF!</v>
      </c>
      <c r="Y43" t="e">
        <f>#REF!+"$Cm=!$G."</f>
        <v>#REF!</v>
      </c>
      <c r="Z43" t="e">
        <f>#REF!+"$Cm=!$G/"</f>
        <v>#REF!</v>
      </c>
      <c r="AA43" t="e">
        <f>#REF!+"$Cm=!$G0"</f>
        <v>#REF!</v>
      </c>
      <c r="AB43" t="e">
        <f>#REF!+"$Cm=!$G1"</f>
        <v>#REF!</v>
      </c>
      <c r="AC43" t="e">
        <f>#REF!+"$Cm=!$G2"</f>
        <v>#REF!</v>
      </c>
      <c r="AD43" t="e">
        <f>#REF!+"$Cm=!$G3"</f>
        <v>#REF!</v>
      </c>
      <c r="AE43" t="e">
        <f>#REF!+"$Cm=!$G4"</f>
        <v>#REF!</v>
      </c>
      <c r="AF43" t="e">
        <f>#REF!+"$Cm=!$G5"</f>
        <v>#REF!</v>
      </c>
      <c r="AG43" t="e">
        <f>#REF!+"$Cm=!$G6"</f>
        <v>#REF!</v>
      </c>
      <c r="AH43" t="e">
        <f>#REF!+"$Cm=!$G7"</f>
        <v>#REF!</v>
      </c>
      <c r="AI43" t="e">
        <f>#REF!+"$Cm=!$G8"</f>
        <v>#REF!</v>
      </c>
      <c r="AJ43" t="e">
        <f>#REF!+"$Cm=!$G9"</f>
        <v>#REF!</v>
      </c>
      <c r="AK43" t="e">
        <f>#REF!+"$Cm=!$G:"</f>
        <v>#REF!</v>
      </c>
      <c r="AL43" t="e">
        <f>#REF!+"$Cm=!$G;"</f>
        <v>#REF!</v>
      </c>
      <c r="AM43" t="e">
        <f>#REF!+"$Cm=!$G&lt;"</f>
        <v>#REF!</v>
      </c>
      <c r="AN43" t="e">
        <f>#REF!+"$Cm=!$G="</f>
        <v>#REF!</v>
      </c>
      <c r="AO43" t="e">
        <f>#REF!+"$Cm=!$G&gt;"</f>
        <v>#REF!</v>
      </c>
      <c r="AP43" t="e">
        <f>#REF!+"$Cm=!$G?"</f>
        <v>#REF!</v>
      </c>
      <c r="AQ43" t="e">
        <f>#REF!+"$Cm=!$G@"</f>
        <v>#REF!</v>
      </c>
      <c r="AR43" t="e">
        <f>#REF!+"$Cm=!$GA"</f>
        <v>#REF!</v>
      </c>
      <c r="AS43" t="e">
        <f>#REF!+"$Cm=!$GB"</f>
        <v>#REF!</v>
      </c>
      <c r="AT43" t="e">
        <f>#REF!+"$Cm=!$GC"</f>
        <v>#REF!</v>
      </c>
      <c r="AU43" t="e">
        <f>#REF!+"$Cm=!$GD"</f>
        <v>#REF!</v>
      </c>
      <c r="AV43" t="e">
        <f>#REF!+"$Cm=!$GE"</f>
        <v>#REF!</v>
      </c>
      <c r="AW43" t="e">
        <f>#REF!+"$Cm=!$GF"</f>
        <v>#REF!</v>
      </c>
      <c r="AX43" t="e">
        <f>#REF!+"$Cm=!$GG"</f>
        <v>#REF!</v>
      </c>
      <c r="AY43" t="e">
        <f>#REF!+"$Cm=!$GH"</f>
        <v>#REF!</v>
      </c>
      <c r="AZ43" t="e">
        <f>#REF!+"$Cm=!$GI"</f>
        <v>#REF!</v>
      </c>
      <c r="BA43" t="e">
        <f>#REF!+"$Cm=!$GJ"</f>
        <v>#REF!</v>
      </c>
      <c r="BB43" t="e">
        <f>#REF!+"$Cm=!$GK"</f>
        <v>#REF!</v>
      </c>
      <c r="BC43" t="e">
        <f>#REF!+"$Cm=!$GL"</f>
        <v>#REF!</v>
      </c>
      <c r="BD43" t="e">
        <f>#REF!+"$Cm=!$GM"</f>
        <v>#REF!</v>
      </c>
      <c r="BE43" t="e">
        <f>#REF!+"$Cm=!$GN"</f>
        <v>#REF!</v>
      </c>
      <c r="BF43" t="e">
        <f>#REF!+"$Cm=!$GO"</f>
        <v>#REF!</v>
      </c>
      <c r="BG43" t="e">
        <f>#REF!+"$Cm=!$GP"</f>
        <v>#REF!</v>
      </c>
      <c r="BH43" t="e">
        <f>#REF!+"$Cm=!$GQ"</f>
        <v>#REF!</v>
      </c>
      <c r="BI43" t="e">
        <f>#REF!+"$Cm=!$GR"</f>
        <v>#REF!</v>
      </c>
      <c r="BJ43" t="e">
        <f>#REF!+"$Cm=!$GS"</f>
        <v>#REF!</v>
      </c>
      <c r="BK43" t="e">
        <f>#REF!+"$Cm=!$GT"</f>
        <v>#REF!</v>
      </c>
      <c r="BL43" t="e">
        <f>#REF!+"$Cm=!$GU"</f>
        <v>#REF!</v>
      </c>
      <c r="BM43" t="e">
        <f>#REF!+"$Cm=!$GV"</f>
        <v>#REF!</v>
      </c>
      <c r="BN43" t="e">
        <f>#REF!+"$Cm=!$GW"</f>
        <v>#REF!</v>
      </c>
      <c r="BO43" t="e">
        <f>#REF!+"$Cm=!$GX"</f>
        <v>#REF!</v>
      </c>
      <c r="BP43" t="e">
        <f>#REF!+"$Cm=!$GY"</f>
        <v>#REF!</v>
      </c>
      <c r="BQ43" t="e">
        <f>#REF!+"$Cm=!$GZ"</f>
        <v>#REF!</v>
      </c>
      <c r="BR43" t="e">
        <f>#REF!+"$Cm=!$G["</f>
        <v>#REF!</v>
      </c>
      <c r="BS43" t="e">
        <f>#REF!+"$Cm=!$G\"</f>
        <v>#REF!</v>
      </c>
      <c r="BT43" t="e">
        <f>#REF!+"$Cm=!$G]"</f>
        <v>#REF!</v>
      </c>
      <c r="BU43" t="e">
        <f>#REF!+"$Cm=!$G^"</f>
        <v>#REF!</v>
      </c>
      <c r="BV43" t="e">
        <f>#REF!+"$Cm=!$G_"</f>
        <v>#REF!</v>
      </c>
      <c r="BW43" t="e">
        <f>#REF!+"$Cm=!$G`"</f>
        <v>#REF!</v>
      </c>
      <c r="BX43" t="e">
        <f>#REF!+"$Cm=!$Ga"</f>
        <v>#REF!</v>
      </c>
      <c r="BY43" t="e">
        <f>#REF!+"$Cm=!$Gb"</f>
        <v>#REF!</v>
      </c>
      <c r="BZ43" t="e">
        <f>#REF!+"$Cm=!$Gc"</f>
        <v>#REF!</v>
      </c>
      <c r="CA43" t="e">
        <f>#REF!+"$Cm=!$Gd"</f>
        <v>#REF!</v>
      </c>
      <c r="CB43" t="e">
        <f>#REF!+"$Cm=!$Ge"</f>
        <v>#REF!</v>
      </c>
      <c r="CC43" t="e">
        <f>#REF!+"$Cm=!$Gf"</f>
        <v>#REF!</v>
      </c>
      <c r="CD43" t="e">
        <f>#REF!+"$Cm=!$Gg"</f>
        <v>#REF!</v>
      </c>
      <c r="CE43" t="e">
        <f>#REF!+"$Cm=!$Gh"</f>
        <v>#REF!</v>
      </c>
      <c r="CF43" t="e">
        <f>#REF!+"$Cm=!$Gi"</f>
        <v>#REF!</v>
      </c>
      <c r="CG43" t="e">
        <f>#REF!+"$Cm=!$Gj"</f>
        <v>#REF!</v>
      </c>
      <c r="CH43" t="e">
        <f>#REF!+"$Cm=!$Gk"</f>
        <v>#REF!</v>
      </c>
      <c r="CI43" t="e">
        <f>#REF!+"$Cm=!$Gl"</f>
        <v>#REF!</v>
      </c>
      <c r="CJ43" t="e">
        <f>#REF!+"$Cm=!$Gm"</f>
        <v>#REF!</v>
      </c>
      <c r="CK43" t="e">
        <f>#REF!+"$Cm=!$Gn"</f>
        <v>#REF!</v>
      </c>
      <c r="CL43" t="e">
        <f>#REF!+"$Cm=!$Go"</f>
        <v>#REF!</v>
      </c>
      <c r="CM43" t="e">
        <f>#REF!+"$Cm=!$Gp"</f>
        <v>#REF!</v>
      </c>
      <c r="CN43" t="e">
        <f>#REF!+"$Cm=!$Gq"</f>
        <v>#REF!</v>
      </c>
      <c r="CO43" t="e">
        <f>#REF!+"$Cm=!$Gr"</f>
        <v>#REF!</v>
      </c>
      <c r="CP43" t="e">
        <f>#REF!+"$Cm=!$Gs"</f>
        <v>#REF!</v>
      </c>
      <c r="CQ43" t="e">
        <f>#REF!+"$Cm=!$Gt"</f>
        <v>#REF!</v>
      </c>
      <c r="CR43" t="e">
        <f>#REF!+"$Cm=!$Gu"</f>
        <v>#REF!</v>
      </c>
      <c r="CS43" t="e">
        <f>#REF!+"$Cm=!$Gv"</f>
        <v>#REF!</v>
      </c>
      <c r="CT43" t="e">
        <f>#REF!+"$Cm=!$Gw"</f>
        <v>#REF!</v>
      </c>
      <c r="CU43" t="e">
        <f>#REF!+"$Cm=!$Gx"</f>
        <v>#REF!</v>
      </c>
      <c r="CV43" t="e">
        <f>#REF!+"$Cm=!$Gy"</f>
        <v>#REF!</v>
      </c>
      <c r="CW43" t="e">
        <f>#REF!+"$Cm=!$Gz"</f>
        <v>#REF!</v>
      </c>
      <c r="CX43" t="e">
        <f>#REF!+"$Cm=!$G{"</f>
        <v>#REF!</v>
      </c>
      <c r="CY43" t="e">
        <f>#REF!+"$Cm=!$G|"</f>
        <v>#REF!</v>
      </c>
      <c r="CZ43" t="e">
        <f>#REF!+"$Cm=!$G}"</f>
        <v>#REF!</v>
      </c>
      <c r="DA43" t="e">
        <f>#REF!+"$Cm=!$G~"</f>
        <v>#REF!</v>
      </c>
      <c r="DB43" t="e">
        <f>#REF!+"$Cm=!$H#"</f>
        <v>#REF!</v>
      </c>
      <c r="DC43" t="e">
        <f>#REF!+"$Cm=!$H$"</f>
        <v>#REF!</v>
      </c>
      <c r="DD43" t="e">
        <f>#REF!+"$Cm=!$H%"</f>
        <v>#REF!</v>
      </c>
      <c r="DE43" t="e">
        <f>#REF!+"$Cm=!$H&amp;"</f>
        <v>#REF!</v>
      </c>
      <c r="DF43" t="e">
        <f>#REF!+"$Cm=!$H'"</f>
        <v>#REF!</v>
      </c>
      <c r="DG43" t="e">
        <f>#REF!+"$Cm=!$H("</f>
        <v>#REF!</v>
      </c>
      <c r="DH43" t="e">
        <f>#REF!+"$Cm=!$H)"</f>
        <v>#REF!</v>
      </c>
      <c r="DI43" t="e">
        <f>#REF!+"$Cm=!$H."</f>
        <v>#REF!</v>
      </c>
      <c r="DJ43" t="e">
        <f>#REF!+"$Cm=!$H/"</f>
        <v>#REF!</v>
      </c>
      <c r="DK43" t="e">
        <f>#REF!+"$Cm=!$H0"</f>
        <v>#REF!</v>
      </c>
      <c r="DL43" t="e">
        <f>#REF!+"$Cm=!$H1"</f>
        <v>#REF!</v>
      </c>
      <c r="DM43" t="e">
        <f>#REF!+"$Cm=!$H2"</f>
        <v>#REF!</v>
      </c>
      <c r="DN43" t="e">
        <f>#REF!+"$Cm=!$H3"</f>
        <v>#REF!</v>
      </c>
      <c r="DO43" t="e">
        <f>#REF!+"$Cm=!$H4"</f>
        <v>#REF!</v>
      </c>
      <c r="DP43" t="e">
        <f>#REF!+"$Cm=!$H5"</f>
        <v>#REF!</v>
      </c>
      <c r="DQ43" t="e">
        <f>#REF!+"$Cm=!$H6"</f>
        <v>#REF!</v>
      </c>
      <c r="DR43" t="e">
        <f>#REF!+"$Cm=!$H7"</f>
        <v>#REF!</v>
      </c>
      <c r="DS43" t="e">
        <f>#REF!+"$Cm=!$H8"</f>
        <v>#REF!</v>
      </c>
      <c r="DT43" t="e">
        <f>#REF!+"$Cm=!$H9"</f>
        <v>#REF!</v>
      </c>
      <c r="DU43" t="e">
        <f>#REF!+"$Cm=!$H:"</f>
        <v>#REF!</v>
      </c>
      <c r="DV43" t="e">
        <f>#REF!+"$Cm=!$H;"</f>
        <v>#REF!</v>
      </c>
      <c r="DW43" t="e">
        <f>#REF!+"$Cm=!$H&lt;"</f>
        <v>#REF!</v>
      </c>
      <c r="DX43" t="e">
        <f>#REF!+"$Cm=!$H="</f>
        <v>#REF!</v>
      </c>
      <c r="DY43" t="e">
        <f>#REF!+"$Cm=!$H&gt;"</f>
        <v>#REF!</v>
      </c>
      <c r="DZ43" t="e">
        <f>#REF!+"$Cm=!$H?"</f>
        <v>#REF!</v>
      </c>
      <c r="EA43" t="e">
        <f>#REF!+"$Cm=!$H@"</f>
        <v>#REF!</v>
      </c>
      <c r="EB43" t="e">
        <f>#REF!+"$Cm=!$HA"</f>
        <v>#REF!</v>
      </c>
      <c r="EC43" t="e">
        <f>#REF!+"$Cm=!$HB"</f>
        <v>#REF!</v>
      </c>
      <c r="ED43" t="e">
        <f>#REF!+"$Cm=!$HC"</f>
        <v>#REF!</v>
      </c>
      <c r="EE43" t="e">
        <f>#REF!+"$Cm=!$HD"</f>
        <v>#REF!</v>
      </c>
      <c r="EF43" t="e">
        <f>#REF!+"$Cm=!$HE"</f>
        <v>#REF!</v>
      </c>
      <c r="EG43" t="e">
        <f>#REF!+"$Cm=!$HF"</f>
        <v>#REF!</v>
      </c>
      <c r="EH43" t="e">
        <f>#REF!+"$Cm=!$HG"</f>
        <v>#REF!</v>
      </c>
      <c r="EI43" t="e">
        <f>#REF!+"$Cm=!$HH"</f>
        <v>#REF!</v>
      </c>
      <c r="EJ43" t="e">
        <f>#REF!+"$Cm=!$HI"</f>
        <v>#REF!</v>
      </c>
      <c r="EK43" t="e">
        <f>#REF!+"$Cm=!$HJ"</f>
        <v>#REF!</v>
      </c>
      <c r="EL43" t="e">
        <f>#REF!+"$Cm=!$HK"</f>
        <v>#REF!</v>
      </c>
      <c r="EM43" t="e">
        <f>#REF!+"$Cm=!$HL"</f>
        <v>#REF!</v>
      </c>
      <c r="EN43" t="e">
        <f>#REF!+"$Cm=!$HM"</f>
        <v>#REF!</v>
      </c>
      <c r="EO43" t="e">
        <f>#REF!+"$Cm=!$HN"</f>
        <v>#REF!</v>
      </c>
      <c r="EP43" t="e">
        <f>#REF!+"$Cm=!$HO"</f>
        <v>#REF!</v>
      </c>
      <c r="EQ43" t="e">
        <f>#REF!+"$Cm=!$HP"</f>
        <v>#REF!</v>
      </c>
      <c r="ER43" t="e">
        <f>#REF!+"$Cm=!$HQ"</f>
        <v>#REF!</v>
      </c>
      <c r="ES43" t="e">
        <f>#REF!+"$Cm=!$HR"</f>
        <v>#REF!</v>
      </c>
      <c r="ET43" t="e">
        <f>#REF!+"$Cm=!$HS"</f>
        <v>#REF!</v>
      </c>
      <c r="EU43" t="e">
        <f>#REF!+"$Cm=!$HT"</f>
        <v>#REF!</v>
      </c>
      <c r="EV43" t="e">
        <f>#REF!+"$Cm=!$HU"</f>
        <v>#REF!</v>
      </c>
      <c r="EW43" t="e">
        <f>#REF!+"$Cm=!$HV"</f>
        <v>#REF!</v>
      </c>
      <c r="EX43" t="e">
        <f>#REF!+"$Cm=!$HW"</f>
        <v>#REF!</v>
      </c>
      <c r="EY43" t="e">
        <f>#REF!+"$Cm=!$HX"</f>
        <v>#REF!</v>
      </c>
      <c r="EZ43" t="e">
        <f>#REF!+"$Cm=!$HY"</f>
        <v>#REF!</v>
      </c>
      <c r="FA43" t="e">
        <f>#REF!+"$Cm=!$HZ"</f>
        <v>#REF!</v>
      </c>
      <c r="FB43" t="e">
        <f>#REF!+"$Cm=!$H["</f>
        <v>#REF!</v>
      </c>
      <c r="FC43" t="e">
        <f>#REF!+"$Cm=!$H\"</f>
        <v>#REF!</v>
      </c>
      <c r="FD43" t="e">
        <f>#REF!+"$Cm=!$H]"</f>
        <v>#REF!</v>
      </c>
      <c r="FE43" t="e">
        <f>#REF!+"$Cm=!$H^"</f>
        <v>#REF!</v>
      </c>
      <c r="FF43" t="e">
        <f>#REF!+"$Cm=!$H_"</f>
        <v>#REF!</v>
      </c>
      <c r="FG43" t="e">
        <f>#REF!+"$Cm=!$H`"</f>
        <v>#REF!</v>
      </c>
      <c r="FH43" t="e">
        <f>#REF!+"$Cm=!$Ha"</f>
        <v>#REF!</v>
      </c>
      <c r="FI43" t="e">
        <f>#REF!+"$Cm=!$Hb"</f>
        <v>#REF!</v>
      </c>
      <c r="FJ43" t="e">
        <f>#REF!+"$Cm=!$Hc"</f>
        <v>#REF!</v>
      </c>
      <c r="FK43" t="e">
        <f>#REF!+"$Cm=!$Hd"</f>
        <v>#REF!</v>
      </c>
      <c r="FL43" t="e">
        <f>#REF!+"$Cm=!$He"</f>
        <v>#REF!</v>
      </c>
      <c r="FM43" t="e">
        <f>#REF!+"$Cm=!$Hf"</f>
        <v>#REF!</v>
      </c>
      <c r="FN43" t="e">
        <f>#REF!+"$Cm=!$Hg"</f>
        <v>#REF!</v>
      </c>
      <c r="FO43" t="e">
        <f>#REF!+"$Cm=!$Hh"</f>
        <v>#REF!</v>
      </c>
      <c r="FP43" t="e">
        <f>#REF!+"$Cm=!$Hi"</f>
        <v>#REF!</v>
      </c>
      <c r="FQ43" t="e">
        <f>#REF!+"$Cm=!$Hj"</f>
        <v>#REF!</v>
      </c>
      <c r="FR43" t="e">
        <f>#REF!+"$Cm=!$Hk"</f>
        <v>#REF!</v>
      </c>
      <c r="FS43" t="e">
        <f>#REF!+"$Cm=!$Hl"</f>
        <v>#REF!</v>
      </c>
      <c r="FT43" t="e">
        <f>#REF!+"$Cm=!$Hm"</f>
        <v>#REF!</v>
      </c>
      <c r="FU43" t="e">
        <f>#REF!+"$Cm=!$Hn"</f>
        <v>#REF!</v>
      </c>
      <c r="FV43" t="e">
        <f>#REF!+"$Cm=!$Ho"</f>
        <v>#REF!</v>
      </c>
      <c r="FW43" t="e">
        <f>#REF!+"$Cm=!$Hp"</f>
        <v>#REF!</v>
      </c>
      <c r="FX43" t="e">
        <f>#REF!+"$Cm=!$Hq"</f>
        <v>#REF!</v>
      </c>
      <c r="FY43" t="e">
        <f>#REF!+"$Cm=!$Hr"</f>
        <v>#REF!</v>
      </c>
      <c r="FZ43" t="e">
        <f>#REF!+"$Cm=!$Hs"</f>
        <v>#REF!</v>
      </c>
      <c r="GA43" t="e">
        <f>#REF!+"$Cm=!$Ht"</f>
        <v>#REF!</v>
      </c>
      <c r="GB43" t="e">
        <f>#REF!+"$Cm=!$Hu"</f>
        <v>#REF!</v>
      </c>
      <c r="GC43" t="e">
        <f>#REF!+"$Cm=!$Hv"</f>
        <v>#REF!</v>
      </c>
      <c r="GD43" t="e">
        <f>#REF!+"$Cm=!$Hw"</f>
        <v>#REF!</v>
      </c>
      <c r="GE43" t="e">
        <f>#REF!+"$Cm=!$Hx"</f>
        <v>#REF!</v>
      </c>
      <c r="GF43" t="e">
        <f>#REF!+"$Cm=!$Hy"</f>
        <v>#REF!</v>
      </c>
      <c r="GG43" t="e">
        <f>#REF!+"$Cm=!$Hz"</f>
        <v>#REF!</v>
      </c>
      <c r="GH43" t="e">
        <f>#REF!+"$Cm=!$H{"</f>
        <v>#REF!</v>
      </c>
      <c r="GI43" t="e">
        <f>#REF!+"$Cm=!$H|"</f>
        <v>#REF!</v>
      </c>
      <c r="GJ43" t="e">
        <f>#REF!+"$Cm=!$H}"</f>
        <v>#REF!</v>
      </c>
      <c r="GK43" t="e">
        <f>#REF!+"$Cm=!$H~"</f>
        <v>#REF!</v>
      </c>
      <c r="GL43" t="e">
        <f>#REF!+"$Cm=!$I#"</f>
        <v>#REF!</v>
      </c>
      <c r="GM43" t="e">
        <f>#REF!+"$Cm=!$I$"</f>
        <v>#REF!</v>
      </c>
      <c r="GN43" t="e">
        <f>#REF!+"$Cm=!$I%"</f>
        <v>#REF!</v>
      </c>
      <c r="GO43" t="e">
        <f>#REF!+"$Cm=!$I&amp;"</f>
        <v>#REF!</v>
      </c>
      <c r="GP43" t="e">
        <f>#REF!+"$Cm=!$I'"</f>
        <v>#REF!</v>
      </c>
      <c r="GQ43" t="e">
        <f>#REF!+"$Cm=!$I("</f>
        <v>#REF!</v>
      </c>
      <c r="GR43" t="e">
        <f>#REF!+"$Cm=!$I)"</f>
        <v>#REF!</v>
      </c>
      <c r="GS43" t="e">
        <f>#REF!+"$Cm=!$I."</f>
        <v>#REF!</v>
      </c>
      <c r="GT43" t="e">
        <f>#REF!+"$Cm=!$I/"</f>
        <v>#REF!</v>
      </c>
      <c r="GU43" t="e">
        <f>#REF!+"$Cm=!$I0"</f>
        <v>#REF!</v>
      </c>
      <c r="GV43" t="e">
        <f>#REF!+"$Cm=!$I1"</f>
        <v>#REF!</v>
      </c>
      <c r="GW43" t="e">
        <f>#REF!+"$Cm=!$I2"</f>
        <v>#REF!</v>
      </c>
      <c r="GX43" t="e">
        <f>#REF!+"$Cm=!$I3"</f>
        <v>#REF!</v>
      </c>
      <c r="GY43" t="e">
        <f>#REF!+"$Cm=!$I4"</f>
        <v>#REF!</v>
      </c>
      <c r="GZ43" t="e">
        <f>#REF!+"$Cm=!$I5"</f>
        <v>#REF!</v>
      </c>
      <c r="HA43" t="e">
        <f>#REF!+"$Cm=!$I6"</f>
        <v>#REF!</v>
      </c>
      <c r="HB43" t="e">
        <f>#REF!+"$Cm=!$I7"</f>
        <v>#REF!</v>
      </c>
      <c r="HC43" t="e">
        <f>#REF!+"$Cm=!$I8"</f>
        <v>#REF!</v>
      </c>
      <c r="HD43" t="e">
        <f>#REF!+"$Cm=!$I9"</f>
        <v>#REF!</v>
      </c>
      <c r="HE43" t="e">
        <f>#REF!+"$Cm=!$I:"</f>
        <v>#REF!</v>
      </c>
      <c r="HF43" t="e">
        <f>#REF!+"$Cm=!$I;"</f>
        <v>#REF!</v>
      </c>
      <c r="HG43" t="e">
        <f>#REF!+"$Cm=!$I&lt;"</f>
        <v>#REF!</v>
      </c>
      <c r="HH43" t="e">
        <f>#REF!+"$Cm=!$I="</f>
        <v>#REF!</v>
      </c>
      <c r="HI43" t="e">
        <f>#REF!+"$Cm=!$I&gt;"</f>
        <v>#REF!</v>
      </c>
      <c r="HJ43" t="e">
        <f>#REF!+"$Cm=!$I?"</f>
        <v>#REF!</v>
      </c>
      <c r="HK43" t="e">
        <f>#REF!+"$Cm=!$I@"</f>
        <v>#REF!</v>
      </c>
      <c r="HL43" t="e">
        <f>#REF!+"$Cm=!$IA"</f>
        <v>#REF!</v>
      </c>
      <c r="HM43" t="e">
        <f>#REF!+"$Cm=!$IB"</f>
        <v>#REF!</v>
      </c>
      <c r="HN43" t="e">
        <f>#REF!+"$Cm=!$IC"</f>
        <v>#REF!</v>
      </c>
      <c r="HO43" t="e">
        <f>#REF!+"$Cm=!$ID"</f>
        <v>#REF!</v>
      </c>
      <c r="HP43" t="e">
        <f>#REF!+"$Cm=!$IE"</f>
        <v>#REF!</v>
      </c>
      <c r="HQ43" t="e">
        <f>#REF!+"$Cm=!$IF"</f>
        <v>#REF!</v>
      </c>
      <c r="HR43" t="e">
        <f>#REF!+"$Cm=!$IG"</f>
        <v>#REF!</v>
      </c>
      <c r="HS43" t="e">
        <f>#REF!+"$Cm=!$IH"</f>
        <v>#REF!</v>
      </c>
      <c r="HT43" t="e">
        <f>#REF!+"$Cm=!$II"</f>
        <v>#REF!</v>
      </c>
      <c r="HU43" t="e">
        <f>#REF!+"$Cm=!$IJ"</f>
        <v>#REF!</v>
      </c>
      <c r="HV43" t="e">
        <f>#REF!+"$Cm=!$IK"</f>
        <v>#REF!</v>
      </c>
      <c r="HW43" t="e">
        <f>#REF!+"$Cm=!$IL"</f>
        <v>#REF!</v>
      </c>
      <c r="HX43" t="e">
        <f>#REF!+"$Cm=!$IM"</f>
        <v>#REF!</v>
      </c>
      <c r="HY43" t="e">
        <f>#REF!+"$Cm=!$IN"</f>
        <v>#REF!</v>
      </c>
      <c r="HZ43" t="e">
        <f>#REF!+"$Cm=!$IO"</f>
        <v>#REF!</v>
      </c>
      <c r="IA43" t="e">
        <f>#REF!+"$Cm=!$IP"</f>
        <v>#REF!</v>
      </c>
      <c r="IB43" t="e">
        <f>#REF!+"$Cm=!$IQ"</f>
        <v>#REF!</v>
      </c>
      <c r="IC43" t="e">
        <f>#REF!+"$Cm=!$IR"</f>
        <v>#REF!</v>
      </c>
      <c r="ID43" t="e">
        <f>#REF!+"$Cm=!$IS"</f>
        <v>#REF!</v>
      </c>
      <c r="IE43" t="e">
        <f>#REF!+"$Cm=!$IT"</f>
        <v>#REF!</v>
      </c>
      <c r="IF43" t="e">
        <f>#REF!+"$Cm=!$IU"</f>
        <v>#REF!</v>
      </c>
      <c r="IG43" t="e">
        <f>#REF!+"$Cm=!$IV"</f>
        <v>#REF!</v>
      </c>
      <c r="IH43" t="e">
        <f>#REF!+"$Cm=!$IW"</f>
        <v>#REF!</v>
      </c>
      <c r="II43" t="e">
        <f>#REF!+"$Cm=!$IX"</f>
        <v>#REF!</v>
      </c>
      <c r="IJ43" t="e">
        <f>#REF!+"$Cm=!$IY"</f>
        <v>#REF!</v>
      </c>
      <c r="IK43" t="e">
        <f>#REF!+"$Cm=!$IZ"</f>
        <v>#REF!</v>
      </c>
      <c r="IL43" t="e">
        <f>#REF!+"$Cm=!$I["</f>
        <v>#REF!</v>
      </c>
      <c r="IM43" t="e">
        <f>#REF!+"$Cm=!$I\"</f>
        <v>#REF!</v>
      </c>
      <c r="IN43" t="e">
        <f>#REF!+"$Cm=!$I]"</f>
        <v>#REF!</v>
      </c>
      <c r="IO43" t="e">
        <f>#REF!+"$Cm=!$I^"</f>
        <v>#REF!</v>
      </c>
      <c r="IP43" t="e">
        <f>#REF!+"$Cm=!$I_"</f>
        <v>#REF!</v>
      </c>
      <c r="IQ43" t="e">
        <f>#REF!+"$Cm=!$I`"</f>
        <v>#REF!</v>
      </c>
      <c r="IR43" t="e">
        <f>#REF!+"$Cm=!$Ia"</f>
        <v>#REF!</v>
      </c>
      <c r="IS43" t="e">
        <f>#REF!+"$Cm=!$Ib"</f>
        <v>#REF!</v>
      </c>
      <c r="IT43" t="e">
        <f>#REF!+"$Cm=!$Ic"</f>
        <v>#REF!</v>
      </c>
      <c r="IU43" t="e">
        <f>#REF!+"$Cm=!$Id"</f>
        <v>#REF!</v>
      </c>
      <c r="IV43" t="e">
        <f>#REF!+"$Cm=!$Ie"</f>
        <v>#REF!</v>
      </c>
    </row>
    <row r="44" spans="6:256">
      <c r="F44" t="e">
        <f>#REF!+"$Cm=!$If"</f>
        <v>#REF!</v>
      </c>
      <c r="G44" t="e">
        <f>#REF!+"$Cm=!$Ig"</f>
        <v>#REF!</v>
      </c>
      <c r="H44" t="e">
        <f>#REF!+"$Cm=!$Ih"</f>
        <v>#REF!</v>
      </c>
      <c r="I44" t="e">
        <f>#REF!+"$Cm=!$Ii"</f>
        <v>#REF!</v>
      </c>
      <c r="J44" t="e">
        <f>#REF!+"$Cm=!$Ij"</f>
        <v>#REF!</v>
      </c>
      <c r="K44" t="e">
        <f>#REF!+"$Cm=!$Ik"</f>
        <v>#REF!</v>
      </c>
      <c r="L44" t="e">
        <f>#REF!+"$Cm=!$Il"</f>
        <v>#REF!</v>
      </c>
      <c r="M44" t="e">
        <f>#REF!+"$Cm=!$Im"</f>
        <v>#REF!</v>
      </c>
      <c r="N44" t="e">
        <f>#REF!+"$Cm=!$In"</f>
        <v>#REF!</v>
      </c>
      <c r="O44" t="e">
        <f>#REF!+"$Cm=!$Io"</f>
        <v>#REF!</v>
      </c>
      <c r="P44" t="e">
        <f>#REF!+"$Cm=!$Ip"</f>
        <v>#REF!</v>
      </c>
      <c r="Q44" t="e">
        <f>#REF!+"$Cm=!$Iq"</f>
        <v>#REF!</v>
      </c>
      <c r="R44" t="e">
        <f>#REF!+"$Cm=!$Ir"</f>
        <v>#REF!</v>
      </c>
      <c r="S44" t="e">
        <f>#REF!+"$Cm=!$Is"</f>
        <v>#REF!</v>
      </c>
      <c r="T44" t="e">
        <f>#REF!+"$Cm=!$It"</f>
        <v>#REF!</v>
      </c>
      <c r="U44" t="e">
        <f>#REF!+"$Cm=!$Iu"</f>
        <v>#REF!</v>
      </c>
      <c r="V44" t="e">
        <f>#REF!+"$Cm=!$Iv"</f>
        <v>#REF!</v>
      </c>
      <c r="W44" t="e">
        <f>#REF!+"$Cm=!$Iw"</f>
        <v>#REF!</v>
      </c>
      <c r="X44" t="e">
        <f>#REF!+"$Cm=!$Ix"</f>
        <v>#REF!</v>
      </c>
      <c r="Y44" t="e">
        <f>#REF!+"$Cm=!$Iy"</f>
        <v>#REF!</v>
      </c>
      <c r="Z44" t="e">
        <f>#REF!+"$Cm=!$Iz"</f>
        <v>#REF!</v>
      </c>
      <c r="AA44" t="e">
        <f>#REF!+"$Cm=!$I{"</f>
        <v>#REF!</v>
      </c>
      <c r="AB44" t="e">
        <f>#REF!+"$Cm=!$I|"</f>
        <v>#REF!</v>
      </c>
      <c r="AC44" t="e">
        <f>#REF!+"$Cm=!$I}"</f>
        <v>#REF!</v>
      </c>
      <c r="AD44" t="e">
        <f>#REF!+"$Cm=!$I~"</f>
        <v>#REF!</v>
      </c>
      <c r="AE44" t="e">
        <f>#REF!+"$Cm=!$J#"</f>
        <v>#REF!</v>
      </c>
      <c r="AF44" t="e">
        <f>#REF!+"$Cm=!$J$"</f>
        <v>#REF!</v>
      </c>
      <c r="AG44" t="e">
        <f>#REF!+"$Cm=!$J%"</f>
        <v>#REF!</v>
      </c>
      <c r="AH44" t="e">
        <f>#REF!+"$Cm=!$J&amp;"</f>
        <v>#REF!</v>
      </c>
      <c r="AI44" t="e">
        <f>#REF!+"$Cm=!$J'"</f>
        <v>#REF!</v>
      </c>
      <c r="AJ44" t="e">
        <f>#REF!+"$Cm=!$J("</f>
        <v>#REF!</v>
      </c>
      <c r="AK44" t="e">
        <f>#REF!+"$Cm=!$J)"</f>
        <v>#REF!</v>
      </c>
      <c r="AL44" t="e">
        <f>#REF!+"$Cm=!$J."</f>
        <v>#REF!</v>
      </c>
      <c r="AM44" t="e">
        <f>#REF!+"$Cm=!$J/"</f>
        <v>#REF!</v>
      </c>
      <c r="AN44" t="e">
        <f>#REF!+"$Cm=!$J0"</f>
        <v>#REF!</v>
      </c>
      <c r="AO44" t="e">
        <f>#REF!+"$Cm=!$J1"</f>
        <v>#REF!</v>
      </c>
      <c r="AP44" t="e">
        <f>#REF!+"$Cm=!$J2"</f>
        <v>#REF!</v>
      </c>
      <c r="AQ44" t="e">
        <f>#REF!+"$Cm=!$J3"</f>
        <v>#REF!</v>
      </c>
      <c r="AR44" t="e">
        <f>#REF!+"$Cm=!$J4"</f>
        <v>#REF!</v>
      </c>
      <c r="AS44" t="e">
        <f>#REF!+"$Cm=!$J5"</f>
        <v>#REF!</v>
      </c>
      <c r="AT44" t="e">
        <f>#REF!+"$Cm=!$J6"</f>
        <v>#REF!</v>
      </c>
      <c r="AU44" t="e">
        <f>#REF!+"$Cm=!$J7"</f>
        <v>#REF!</v>
      </c>
      <c r="AV44" t="e">
        <f>#REF!+"$Cm=!$J8"</f>
        <v>#REF!</v>
      </c>
      <c r="AW44" t="e">
        <f>#REF!+"$Cm=!$J9"</f>
        <v>#REF!</v>
      </c>
      <c r="AX44" t="e">
        <f>#REF!+"$Cm=!$J:"</f>
        <v>#REF!</v>
      </c>
      <c r="AY44" t="e">
        <f>#REF!+"$Cm=!$J;"</f>
        <v>#REF!</v>
      </c>
      <c r="AZ44" t="e">
        <f>#REF!+"$Cm=!$J&lt;"</f>
        <v>#REF!</v>
      </c>
      <c r="BA44" t="e">
        <f>#REF!+"$Cm=!$J="</f>
        <v>#REF!</v>
      </c>
      <c r="BB44" t="e">
        <f>#REF!+"$Cm=!$J&gt;"</f>
        <v>#REF!</v>
      </c>
      <c r="BC44" t="e">
        <f>#REF!+"$Cm=!$J?"</f>
        <v>#REF!</v>
      </c>
      <c r="BD44" t="e">
        <f>#REF!+"$Cm=!$J@"</f>
        <v>#REF!</v>
      </c>
      <c r="BE44" t="e">
        <f>#REF!+"$Cm=!$JA"</f>
        <v>#REF!</v>
      </c>
      <c r="BF44" t="e">
        <f>#REF!+"$Cm=!$JB"</f>
        <v>#REF!</v>
      </c>
      <c r="BG44" t="e">
        <f>#REF!+"$Cm=!$JC"</f>
        <v>#REF!</v>
      </c>
      <c r="BH44" t="e">
        <f>#REF!+"$Cm=!$JD"</f>
        <v>#REF!</v>
      </c>
      <c r="BI44" t="e">
        <f>#REF!+"$Cm=!$JE"</f>
        <v>#REF!</v>
      </c>
      <c r="BJ44" t="e">
        <f>#REF!+"$Cm=!$JF"</f>
        <v>#REF!</v>
      </c>
      <c r="BK44" t="e">
        <f>#REF!+"$Cm=!$JG"</f>
        <v>#REF!</v>
      </c>
      <c r="BL44" t="e">
        <f>#REF!+"$Cm=!$JH"</f>
        <v>#REF!</v>
      </c>
      <c r="BM44" t="e">
        <f>#REF!+"$Cm=!$JI"</f>
        <v>#REF!</v>
      </c>
      <c r="BN44" t="e">
        <f>#REF!+"$Cm=!$JJ"</f>
        <v>#REF!</v>
      </c>
      <c r="BO44" t="e">
        <f>#REF!+"$Cm=!$JK"</f>
        <v>#REF!</v>
      </c>
      <c r="BP44" t="e">
        <f>#REF!+"$Cm=!$JL"</f>
        <v>#REF!</v>
      </c>
      <c r="BQ44" t="e">
        <f>#REF!+"$Cm=!$JM"</f>
        <v>#REF!</v>
      </c>
      <c r="BR44" t="e">
        <f>#REF!+"$Cm=!$JN"</f>
        <v>#REF!</v>
      </c>
      <c r="BS44" t="e">
        <f>#REF!+"$Cm=!$JO"</f>
        <v>#REF!</v>
      </c>
      <c r="BT44" t="e">
        <f>#REF!+"$Cm=!$JP"</f>
        <v>#REF!</v>
      </c>
      <c r="BU44" t="e">
        <f>#REF!+"$Cm=!$JQ"</f>
        <v>#REF!</v>
      </c>
      <c r="BV44" t="e">
        <f>#REF!+"$Cm=!$JR"</f>
        <v>#REF!</v>
      </c>
      <c r="BW44" t="e">
        <f>#REF!+"$Cm=!$JS"</f>
        <v>#REF!</v>
      </c>
      <c r="BX44" t="e">
        <f>#REF!+"$Cm=!$JT"</f>
        <v>#REF!</v>
      </c>
      <c r="BY44" t="e">
        <f>#REF!+"$Cm=!$JU"</f>
        <v>#REF!</v>
      </c>
      <c r="BZ44" t="e">
        <f>#REF!+"$Cm=!$JV"</f>
        <v>#REF!</v>
      </c>
      <c r="CA44" t="e">
        <f>#REF!+"$Cm=!$JW"</f>
        <v>#REF!</v>
      </c>
      <c r="CB44" t="e">
        <f>#REF!+"$Cm=!$JX"</f>
        <v>#REF!</v>
      </c>
      <c r="CC44" t="e">
        <f>#REF!+"$Cm=!$JY"</f>
        <v>#REF!</v>
      </c>
      <c r="CD44" t="e">
        <f>#REF!+"$Cm=!$JZ"</f>
        <v>#REF!</v>
      </c>
      <c r="CE44" t="e">
        <f>#REF!+"$Cm=!$J["</f>
        <v>#REF!</v>
      </c>
      <c r="CF44" t="e">
        <f>#REF!+"$Cm=!$J\"</f>
        <v>#REF!</v>
      </c>
      <c r="CG44" t="e">
        <f>#REF!+"$Cm=!$J]"</f>
        <v>#REF!</v>
      </c>
      <c r="CH44" t="e">
        <f>#REF!+"$Cm=!$J^"</f>
        <v>#REF!</v>
      </c>
      <c r="CI44" t="e">
        <f>#REF!+"$Cm=!$J_"</f>
        <v>#REF!</v>
      </c>
      <c r="CJ44" t="e">
        <f>#REF!+"$Cm=!$J`"</f>
        <v>#REF!</v>
      </c>
      <c r="CK44" t="e">
        <f>#REF!+"$Cm=!$Ja"</f>
        <v>#REF!</v>
      </c>
      <c r="CL44" t="e">
        <f>#REF!+"$Cm=!$Jb"</f>
        <v>#REF!</v>
      </c>
      <c r="CM44" t="e">
        <f>#REF!+"$Cm=!$Jc"</f>
        <v>#REF!</v>
      </c>
      <c r="CN44" t="e">
        <f>#REF!+"$Cm=!$Jd"</f>
        <v>#REF!</v>
      </c>
      <c r="CO44" t="e">
        <f>#REF!+"$Cm=!$Je"</f>
        <v>#REF!</v>
      </c>
      <c r="CP44" t="e">
        <f>#REF!+"$Cm=!$Jf"</f>
        <v>#REF!</v>
      </c>
      <c r="CQ44" t="e">
        <f>#REF!+"$Cm=!$Jg"</f>
        <v>#REF!</v>
      </c>
      <c r="CR44" t="e">
        <f>#REF!+"$Cm=!$Jh"</f>
        <v>#REF!</v>
      </c>
      <c r="CS44" t="e">
        <f>#REF!+"$Cm=!$Ji"</f>
        <v>#REF!</v>
      </c>
      <c r="CT44" t="e">
        <f>#REF!+"$Cm=!$Jj"</f>
        <v>#REF!</v>
      </c>
      <c r="CU44" t="e">
        <f>#REF!+"$Cm=!$Jk"</f>
        <v>#REF!</v>
      </c>
      <c r="CV44" t="e">
        <f>#REF!+"$Cm=!$Jl"</f>
        <v>#REF!</v>
      </c>
      <c r="CW44" t="e">
        <f>#REF!+"$Cm=!$Jm"</f>
        <v>#REF!</v>
      </c>
      <c r="CX44" t="e">
        <f>#REF!+"$Cm=!$Jn"</f>
        <v>#REF!</v>
      </c>
      <c r="CY44" t="e">
        <f>#REF!+"$Cm=!$Jo"</f>
        <v>#REF!</v>
      </c>
      <c r="CZ44" t="e">
        <f>#REF!+"$Cm=!$Jp"</f>
        <v>#REF!</v>
      </c>
      <c r="DA44" t="e">
        <f>#REF!+"$Cm=!$Jq"</f>
        <v>#REF!</v>
      </c>
      <c r="DB44" t="e">
        <f>#REF!+"$Cm=!$Jr"</f>
        <v>#REF!</v>
      </c>
      <c r="DC44" t="e">
        <f>#REF!+"$Cm=!$Js"</f>
        <v>#REF!</v>
      </c>
      <c r="DD44" t="e">
        <f>#REF!+"$Cm=!$Jt"</f>
        <v>#REF!</v>
      </c>
      <c r="DE44" t="e">
        <f>#REF!+"$Cm=!$Ju"</f>
        <v>#REF!</v>
      </c>
      <c r="DF44" t="e">
        <f>#REF!+"$Cm=!$Jv"</f>
        <v>#REF!</v>
      </c>
      <c r="DG44" t="e">
        <f>#REF!+"$Cm=!$Jw"</f>
        <v>#REF!</v>
      </c>
      <c r="DH44" t="e">
        <f>#REF!+"$Cm=!$Jx"</f>
        <v>#REF!</v>
      </c>
      <c r="DI44" t="e">
        <f>#REF!+"$Cm=!$Jy"</f>
        <v>#REF!</v>
      </c>
      <c r="DJ44" t="e">
        <f>#REF!+"$Cm=!$Jz"</f>
        <v>#REF!</v>
      </c>
      <c r="DK44" t="e">
        <f>#REF!+"$Cm=!$J{"</f>
        <v>#REF!</v>
      </c>
      <c r="DL44" t="e">
        <f>#REF!+"$Cm=!$J|"</f>
        <v>#REF!</v>
      </c>
      <c r="DM44" t="e">
        <f>#REF!+"$Cm=!$J}"</f>
        <v>#REF!</v>
      </c>
      <c r="DN44" t="e">
        <f>#REF!+"$Cm=!$J~"</f>
        <v>#REF!</v>
      </c>
      <c r="DO44" t="e">
        <f>#REF!+"$Cm=!$K#"</f>
        <v>#REF!</v>
      </c>
      <c r="DP44" t="e">
        <f>#REF!+"$Cm=!$K$"</f>
        <v>#REF!</v>
      </c>
      <c r="DQ44" t="e">
        <f>#REF!+"$Cm=!$K%"</f>
        <v>#REF!</v>
      </c>
      <c r="DR44" t="e">
        <f>#REF!+"$Cm=!$K&amp;"</f>
        <v>#REF!</v>
      </c>
      <c r="DS44" t="e">
        <f>#REF!+"$Cm=!$K'"</f>
        <v>#REF!</v>
      </c>
      <c r="DT44" t="e">
        <f>#REF!+"$Cm=!$K("</f>
        <v>#REF!</v>
      </c>
      <c r="DU44" t="e">
        <f>#REF!+"$Cm=!$K)"</f>
        <v>#REF!</v>
      </c>
      <c r="DV44" t="e">
        <f>#REF!+"$Cm=!$K."</f>
        <v>#REF!</v>
      </c>
      <c r="DW44" t="e">
        <f>#REF!+"$Cm=!$K/"</f>
        <v>#REF!</v>
      </c>
      <c r="DX44" t="e">
        <f>#REF!+"$Cm=!$K0"</f>
        <v>#REF!</v>
      </c>
      <c r="DY44" t="e">
        <f>#REF!+"$Cm=!$K1"</f>
        <v>#REF!</v>
      </c>
      <c r="DZ44" t="e">
        <f>#REF!+"$Cm=!$K2"</f>
        <v>#REF!</v>
      </c>
      <c r="EA44" t="e">
        <f>#REF!+"$Cm=!$K3"</f>
        <v>#REF!</v>
      </c>
      <c r="EB44" t="e">
        <f>#REF!+"$Cm=!$K4"</f>
        <v>#REF!</v>
      </c>
      <c r="EC44" t="e">
        <f>#REF!+"$Cm=!$K5"</f>
        <v>#REF!</v>
      </c>
      <c r="ED44" t="e">
        <f>#REF!+"$Cm=!$K6"</f>
        <v>#REF!</v>
      </c>
      <c r="EE44" t="e">
        <f>#REF!+"$Cm=!$K7"</f>
        <v>#REF!</v>
      </c>
      <c r="EF44" t="e">
        <f>#REF!+"$Cm=!$K8"</f>
        <v>#REF!</v>
      </c>
      <c r="EG44" t="e">
        <f>#REF!+"$Cm=!$K9"</f>
        <v>#REF!</v>
      </c>
      <c r="EH44" t="e">
        <f>#REF!+"$Cm=!$K:"</f>
        <v>#REF!</v>
      </c>
      <c r="EI44" t="e">
        <f>#REF!+"$Cm=!$K;"</f>
        <v>#REF!</v>
      </c>
      <c r="EJ44" t="e">
        <f>#REF!+"$Cm=!$K&lt;"</f>
        <v>#REF!</v>
      </c>
      <c r="EK44" t="e">
        <f>#REF!+"$Cm=!$K="</f>
        <v>#REF!</v>
      </c>
      <c r="EL44" t="e">
        <f>#REF!+"$Cm=!$K&gt;"</f>
        <v>#REF!</v>
      </c>
      <c r="EM44" t="e">
        <f>#REF!+"$Cm=!$K?"</f>
        <v>#REF!</v>
      </c>
      <c r="EN44" t="e">
        <f>#REF!+"$Cm=!$K@"</f>
        <v>#REF!</v>
      </c>
      <c r="EO44" t="e">
        <f>#REF!+"$Cm=!$KA"</f>
        <v>#REF!</v>
      </c>
      <c r="EP44" t="e">
        <f>#REF!+"$Cm=!$KB"</f>
        <v>#REF!</v>
      </c>
      <c r="EQ44" t="e">
        <f>#REF!+"$Cm=!$KC"</f>
        <v>#REF!</v>
      </c>
      <c r="ER44" t="e">
        <f>#REF!+"$Cm=!$KD"</f>
        <v>#REF!</v>
      </c>
      <c r="ES44" t="e">
        <f>#REF!+"$Cm=!$KE"</f>
        <v>#REF!</v>
      </c>
      <c r="ET44" t="e">
        <f>#REF!+"$Cm=!$KF"</f>
        <v>#REF!</v>
      </c>
      <c r="EU44" t="e">
        <f>#REF!+"$Cm=!$KG"</f>
        <v>#REF!</v>
      </c>
      <c r="EV44" t="e">
        <f>#REF!+"$Cm=!$KH"</f>
        <v>#REF!</v>
      </c>
      <c r="EW44" t="e">
        <f>#REF!+"$Cm=!$KI"</f>
        <v>#REF!</v>
      </c>
      <c r="EX44" t="e">
        <f>#REF!+"$Cm=!$KJ"</f>
        <v>#REF!</v>
      </c>
      <c r="EY44" t="e">
        <f>#REF!+"$Cm=!$KK"</f>
        <v>#REF!</v>
      </c>
      <c r="EZ44" t="e">
        <f>#REF!+"$Cm=!$KL"</f>
        <v>#REF!</v>
      </c>
      <c r="FA44" t="e">
        <f>#REF!+"$Cm=!$KM"</f>
        <v>#REF!</v>
      </c>
      <c r="FB44" t="e">
        <f>#REF!+"$Cm=!$KN"</f>
        <v>#REF!</v>
      </c>
      <c r="FC44" t="e">
        <f>#REF!+"$Cm=!$KO"</f>
        <v>#REF!</v>
      </c>
      <c r="FD44" t="e">
        <f>#REF!+"$Cm=!$KP"</f>
        <v>#REF!</v>
      </c>
      <c r="FE44" t="e">
        <f>#REF!+"$Cm=!$KQ"</f>
        <v>#REF!</v>
      </c>
      <c r="FF44" t="e">
        <f>#REF!+"$Cm=!$KR"</f>
        <v>#REF!</v>
      </c>
      <c r="FG44" t="e">
        <f>#REF!+"$Cm=!$KS"</f>
        <v>#REF!</v>
      </c>
      <c r="FH44" t="e">
        <f>#REF!+"$Cm=!$KT"</f>
        <v>#REF!</v>
      </c>
      <c r="FI44" t="e">
        <f>#REF!+"$Cm=!$KU"</f>
        <v>#REF!</v>
      </c>
      <c r="FJ44" t="e">
        <f>#REF!+"$Cm=!$KV"</f>
        <v>#REF!</v>
      </c>
      <c r="FK44" t="e">
        <f>#REF!+"$Cm=!$KW"</f>
        <v>#REF!</v>
      </c>
      <c r="FL44" t="e">
        <f>#REF!+"$Cm=!$KX"</f>
        <v>#REF!</v>
      </c>
      <c r="FM44" t="e">
        <f>#REF!+"$Cm=!$KY"</f>
        <v>#REF!</v>
      </c>
      <c r="FN44" t="e">
        <f>#REF!+"$Cm=!$KZ"</f>
        <v>#REF!</v>
      </c>
      <c r="FO44" t="e">
        <f>#REF!+"$Cm=!$K["</f>
        <v>#REF!</v>
      </c>
      <c r="FP44" t="e">
        <f>#REF!+"$Cm=!$K\"</f>
        <v>#REF!</v>
      </c>
      <c r="FQ44" t="e">
        <f>#REF!+"$Cm=!$K]"</f>
        <v>#REF!</v>
      </c>
      <c r="FR44" t="e">
        <f>#REF!+"$Cm=!$K^"</f>
        <v>#REF!</v>
      </c>
      <c r="FS44" t="e">
        <f>#REF!+"$Cm=!$K_"</f>
        <v>#REF!</v>
      </c>
      <c r="FT44" t="e">
        <f>#REF!+"$Cm=!$K`"</f>
        <v>#REF!</v>
      </c>
      <c r="FU44" t="e">
        <f>#REF!+"$Cm=!$Ka"</f>
        <v>#REF!</v>
      </c>
      <c r="FV44" t="e">
        <f>#REF!+"$Cm=!$Kb"</f>
        <v>#REF!</v>
      </c>
      <c r="FW44" t="e">
        <f>#REF!+"$Cm=!$Kc"</f>
        <v>#REF!</v>
      </c>
      <c r="FX44" t="e">
        <f>#REF!+"$Cm=!$Kd"</f>
        <v>#REF!</v>
      </c>
      <c r="FY44" t="e">
        <f>#REF!+"$Cm=!$Ke"</f>
        <v>#REF!</v>
      </c>
      <c r="FZ44" t="e">
        <f>#REF!+"$Cm=!$Kf"</f>
        <v>#REF!</v>
      </c>
      <c r="GA44" t="e">
        <f>#REF!+"$Cm=!$Kg"</f>
        <v>#REF!</v>
      </c>
      <c r="GB44" t="e">
        <f>#REF!+"$Cm=!$Kh"</f>
        <v>#REF!</v>
      </c>
      <c r="GC44" t="e">
        <f>#REF!+"$Cm=!$Ki"</f>
        <v>#REF!</v>
      </c>
      <c r="GD44" t="e">
        <f>#REF!+"$Cm=!$Kj"</f>
        <v>#REF!</v>
      </c>
      <c r="GE44" t="e">
        <f>#REF!+"$Cm=!$Kk"</f>
        <v>#REF!</v>
      </c>
      <c r="GF44" t="e">
        <f>#REF!+"$Cm=!$Kl"</f>
        <v>#REF!</v>
      </c>
      <c r="GG44" t="e">
        <f>#REF!+"$Cm=!$Km"</f>
        <v>#REF!</v>
      </c>
      <c r="GH44" t="e">
        <f>#REF!+"$Cm=!$Kn"</f>
        <v>#REF!</v>
      </c>
      <c r="GI44" t="e">
        <f>#REF!+"$Cm=!$Ko"</f>
        <v>#REF!</v>
      </c>
      <c r="GJ44" t="e">
        <f>#REF!+"$Cm=!$Kp"</f>
        <v>#REF!</v>
      </c>
      <c r="GK44" t="e">
        <f>#REF!+"$Cm=!$Kq"</f>
        <v>#REF!</v>
      </c>
      <c r="GL44" t="e">
        <f>#REF!+"$Cm=!$Kr"</f>
        <v>#REF!</v>
      </c>
      <c r="GM44" t="e">
        <f>#REF!+"$Cm=!$Ks"</f>
        <v>#REF!</v>
      </c>
      <c r="GN44" t="e">
        <f>#REF!+"$Cm=!$Kt"</f>
        <v>#REF!</v>
      </c>
      <c r="GO44" t="e">
        <f>#REF!+"$Cm=!$Ku"</f>
        <v>#REF!</v>
      </c>
      <c r="GP44" t="e">
        <f>#REF!+"$Cm=!$Kv"</f>
        <v>#REF!</v>
      </c>
      <c r="GQ44" t="e">
        <f>#REF!+"$Cm=!$Kw"</f>
        <v>#REF!</v>
      </c>
      <c r="GR44" t="e">
        <f>#REF!+"$Cm=!$Kx"</f>
        <v>#REF!</v>
      </c>
      <c r="GS44" t="e">
        <f>#REF!+"$Cm=!$Ky"</f>
        <v>#REF!</v>
      </c>
      <c r="GT44" t="e">
        <f>#REF!+"$Cm=!$Kz"</f>
        <v>#REF!</v>
      </c>
      <c r="GU44" t="e">
        <f>#REF!+"$Cm=!$K{"</f>
        <v>#REF!</v>
      </c>
      <c r="GV44" t="e">
        <f>#REF!+"$Cm=!$K|"</f>
        <v>#REF!</v>
      </c>
      <c r="GW44" t="e">
        <f>#REF!+"$Cm=!$K}"</f>
        <v>#REF!</v>
      </c>
      <c r="GX44" t="e">
        <f>#REF!+"$Cm=!$K~"</f>
        <v>#REF!</v>
      </c>
      <c r="GY44" t="e">
        <f>#REF!+"$Cm=!$L#"</f>
        <v>#REF!</v>
      </c>
      <c r="GZ44" t="e">
        <f>#REF!+"$Cm=!$L$"</f>
        <v>#REF!</v>
      </c>
      <c r="HA44" t="e">
        <f>#REF!+"$Cm=!$L%"</f>
        <v>#REF!</v>
      </c>
      <c r="HB44" t="e">
        <f>#REF!+"$Cm=!$L&amp;"</f>
        <v>#REF!</v>
      </c>
      <c r="HC44" t="e">
        <f>#REF!+"$Cm=!$L'"</f>
        <v>#REF!</v>
      </c>
      <c r="HD44" t="e">
        <f>#REF!+"$Cm=!$L("</f>
        <v>#REF!</v>
      </c>
      <c r="HE44" t="e">
        <f>#REF!+"$Cm=!$L)"</f>
        <v>#REF!</v>
      </c>
      <c r="HF44" t="e">
        <f>#REF!+"$Cm=!$L."</f>
        <v>#REF!</v>
      </c>
      <c r="HG44" t="e">
        <f>#REF!+"$Cm=!$L/"</f>
        <v>#REF!</v>
      </c>
      <c r="HH44" t="e">
        <f>#REF!+"$Cm=!$L0"</f>
        <v>#REF!</v>
      </c>
      <c r="HI44" t="e">
        <f>#REF!+"$Cm=!$L1"</f>
        <v>#REF!</v>
      </c>
      <c r="HJ44" t="e">
        <f>#REF!+"$Cm=!$L2"</f>
        <v>#REF!</v>
      </c>
      <c r="HK44" t="e">
        <f>#REF!+"$Cm=!$L3"</f>
        <v>#REF!</v>
      </c>
      <c r="HL44" t="e">
        <f>#REF!+"$Cm=!$L4"</f>
        <v>#REF!</v>
      </c>
      <c r="HM44" t="e">
        <f>#REF!+"$Cm=!$L5"</f>
        <v>#REF!</v>
      </c>
      <c r="HN44" t="e">
        <f>#REF!+"$Cm=!$L6"</f>
        <v>#REF!</v>
      </c>
      <c r="HO44" t="e">
        <f>#REF!+"$Cm=!$L7"</f>
        <v>#REF!</v>
      </c>
      <c r="HP44" t="e">
        <f>#REF!+"$Cm=!$L8"</f>
        <v>#REF!</v>
      </c>
      <c r="HQ44" t="e">
        <f>#REF!+"$Cm=!$L9"</f>
        <v>#REF!</v>
      </c>
      <c r="HR44" t="e">
        <f>#REF!+"$Cm=!$L:"</f>
        <v>#REF!</v>
      </c>
      <c r="HS44" t="e">
        <f>#REF!+"$Cm=!$L;"</f>
        <v>#REF!</v>
      </c>
      <c r="HT44" t="e">
        <f>#REF!+"$Cm=!$L&lt;"</f>
        <v>#REF!</v>
      </c>
      <c r="HU44" t="e">
        <f>#REF!+"$Cm=!$L="</f>
        <v>#REF!</v>
      </c>
      <c r="HV44" t="e">
        <f>#REF!+"$Cm=!$L&gt;"</f>
        <v>#REF!</v>
      </c>
      <c r="HW44" t="e">
        <f>#REF!+"$Cm=!$L?"</f>
        <v>#REF!</v>
      </c>
      <c r="HX44" t="e">
        <f>#REF!+"$Cm=!$L@"</f>
        <v>#REF!</v>
      </c>
      <c r="HY44" t="e">
        <f>#REF!+"$Cm=!$LA"</f>
        <v>#REF!</v>
      </c>
      <c r="HZ44" t="e">
        <f>#REF!+"$Cm=!$LB"</f>
        <v>#REF!</v>
      </c>
      <c r="IA44" t="e">
        <f>#REF!+"$Cm=!$LC"</f>
        <v>#REF!</v>
      </c>
      <c r="IB44" t="e">
        <f>#REF!+"$Cm=!$LD"</f>
        <v>#REF!</v>
      </c>
      <c r="IC44" t="e">
        <f>#REF!+"$Cm=!$LE"</f>
        <v>#REF!</v>
      </c>
      <c r="ID44" t="e">
        <f>#REF!+"$Cm=!$LF"</f>
        <v>#REF!</v>
      </c>
      <c r="IE44" t="e">
        <f>#REF!+"$Cm=!$LG"</f>
        <v>#REF!</v>
      </c>
      <c r="IF44" t="e">
        <f>#REF!+"$Cm=!$LH"</f>
        <v>#REF!</v>
      </c>
      <c r="IG44" t="e">
        <f>#REF!+"$Cm=!$LI"</f>
        <v>#REF!</v>
      </c>
      <c r="IH44" t="e">
        <f>#REF!+"$Cm=!$LJ"</f>
        <v>#REF!</v>
      </c>
      <c r="II44" t="e">
        <f>#REF!+"$Cm=!$LK"</f>
        <v>#REF!</v>
      </c>
      <c r="IJ44" t="e">
        <f>#REF!+"$Cm=!$LL"</f>
        <v>#REF!</v>
      </c>
      <c r="IK44" t="e">
        <f>#REF!+"$Cm=!$LM"</f>
        <v>#REF!</v>
      </c>
      <c r="IL44" t="e">
        <f>#REF!+"$Cm=!$LN"</f>
        <v>#REF!</v>
      </c>
      <c r="IM44" t="e">
        <f>#REF!+"$Cm=!$LO"</f>
        <v>#REF!</v>
      </c>
      <c r="IN44" t="e">
        <f>#REF!+"$Cm=!$LP"</f>
        <v>#REF!</v>
      </c>
      <c r="IO44" t="e">
        <f>#REF!+"$Cm=!$LQ"</f>
        <v>#REF!</v>
      </c>
      <c r="IP44" t="e">
        <f>#REF!+"$Cm=!$LR"</f>
        <v>#REF!</v>
      </c>
      <c r="IQ44" t="e">
        <f>#REF!+"$Cm=!$LS"</f>
        <v>#REF!</v>
      </c>
      <c r="IR44" t="e">
        <f>#REF!+"$Cm=!$LT"</f>
        <v>#REF!</v>
      </c>
      <c r="IS44" t="e">
        <f>#REF!+"$Cm=!$LU"</f>
        <v>#REF!</v>
      </c>
      <c r="IT44" t="e">
        <f>#REF!+"$Cm=!$LV"</f>
        <v>#REF!</v>
      </c>
      <c r="IU44" t="e">
        <f>#REF!+"$Cm=!$LW"</f>
        <v>#REF!</v>
      </c>
      <c r="IV44" t="e">
        <f>#REF!+"$Cm=!$LX"</f>
        <v>#REF!</v>
      </c>
    </row>
    <row r="45" spans="6:256">
      <c r="F45" t="e">
        <f>#REF!+"$Cm=!$LY"</f>
        <v>#REF!</v>
      </c>
      <c r="G45" t="e">
        <f>#REF!+"$Cm=!$LZ"</f>
        <v>#REF!</v>
      </c>
      <c r="H45" t="e">
        <f>#REF!+"$Cm=!$L["</f>
        <v>#REF!</v>
      </c>
      <c r="I45" t="e">
        <f>#REF!+"$Cm=!$L\"</f>
        <v>#REF!</v>
      </c>
      <c r="J45" t="e">
        <f>#REF!+"$Cm=!$L]"</f>
        <v>#REF!</v>
      </c>
      <c r="K45" t="e">
        <f>#REF!+"$Cm=!$L^"</f>
        <v>#REF!</v>
      </c>
      <c r="L45" t="e">
        <f>#REF!+"$Cm=!$L_"</f>
        <v>#REF!</v>
      </c>
      <c r="M45" t="e">
        <f>#REF!+"$Cm=!$L`"</f>
        <v>#REF!</v>
      </c>
      <c r="N45" t="e">
        <f>#REF!+"$Cm=!$La"</f>
        <v>#REF!</v>
      </c>
      <c r="O45" t="e">
        <f>#REF!+"$Cm=!$Lb"</f>
        <v>#REF!</v>
      </c>
      <c r="P45" t="e">
        <f>#REF!+"$Cm=!$Lc"</f>
        <v>#REF!</v>
      </c>
      <c r="Q45" t="e">
        <f>#REF!+"$Cm=!$Ld"</f>
        <v>#REF!</v>
      </c>
      <c r="R45" t="e">
        <f>#REF!+"$Cm=!$Le"</f>
        <v>#REF!</v>
      </c>
      <c r="S45" t="e">
        <f>#REF!+"$Cm=!$Lf"</f>
        <v>#REF!</v>
      </c>
      <c r="T45" t="e">
        <f>#REF!+"$Cm=!$Lg"</f>
        <v>#REF!</v>
      </c>
      <c r="U45" t="e">
        <f>#REF!+"$Cm=!$Lh"</f>
        <v>#REF!</v>
      </c>
      <c r="V45" t="e">
        <f>#REF!+"$Cm=!$Li"</f>
        <v>#REF!</v>
      </c>
      <c r="W45" t="e">
        <f>#REF!+"$Cm=!$Lj"</f>
        <v>#REF!</v>
      </c>
      <c r="X45" t="e">
        <f>#REF!+"$Cm=!$Lk"</f>
        <v>#REF!</v>
      </c>
      <c r="Y45" t="e">
        <f>#REF!+"$Cm=!$Ll"</f>
        <v>#REF!</v>
      </c>
      <c r="Z45" t="e">
        <f>#REF!+"$Cm=!$Lm"</f>
        <v>#REF!</v>
      </c>
      <c r="AA45" t="e">
        <f>#REF!+"$Cm=!$Ln"</f>
        <v>#REF!</v>
      </c>
      <c r="AB45" t="e">
        <f>#REF!+"$Cm=!$Lo"</f>
        <v>#REF!</v>
      </c>
      <c r="AC45" t="e">
        <f>#REF!+"$Cm=!$Lp"</f>
        <v>#REF!</v>
      </c>
      <c r="AD45" t="e">
        <f>#REF!+"$Cm=!$Lq"</f>
        <v>#REF!</v>
      </c>
      <c r="AE45" t="e">
        <f>#REF!+"$Cm=!$Lr"</f>
        <v>#REF!</v>
      </c>
      <c r="AF45" t="e">
        <f>#REF!+"$Cm=!$Ls"</f>
        <v>#REF!</v>
      </c>
      <c r="AG45" t="e">
        <f>#REF!+"$Cm=!$Lt"</f>
        <v>#REF!</v>
      </c>
      <c r="AH45" t="e">
        <f>#REF!+"$Cm=!$Lu"</f>
        <v>#REF!</v>
      </c>
      <c r="AI45" t="e">
        <f>#REF!+"$Cm=!$Lv"</f>
        <v>#REF!</v>
      </c>
      <c r="AJ45" t="e">
        <f>#REF!+"$Cm=!$Lw"</f>
        <v>#REF!</v>
      </c>
      <c r="AK45" t="e">
        <f>#REF!+"$Cm=!$Lx"</f>
        <v>#REF!</v>
      </c>
      <c r="AL45" t="e">
        <f>#REF!+"$Cm=!$Ly"</f>
        <v>#REF!</v>
      </c>
      <c r="AM45" t="e">
        <f>#REF!+"$Cm=!$Lz"</f>
        <v>#REF!</v>
      </c>
      <c r="AN45" t="e">
        <f>#REF!+"$Cm=!$L{"</f>
        <v>#REF!</v>
      </c>
      <c r="AO45" t="e">
        <f>#REF!+"$Cm=!$L|"</f>
        <v>#REF!</v>
      </c>
      <c r="AP45" t="e">
        <f>#REF!+"$Cm=!$L}"</f>
        <v>#REF!</v>
      </c>
      <c r="AQ45" t="e">
        <f>#REF!+"$Cm=!$L~"</f>
        <v>#REF!</v>
      </c>
      <c r="AR45" t="e">
        <f>#REF!+"$Cm=!$M#"</f>
        <v>#REF!</v>
      </c>
      <c r="AS45" t="e">
        <f>#REF!+"$Cm=!$M$"</f>
        <v>#REF!</v>
      </c>
      <c r="AT45" t="e">
        <f>#REF!+"$Cm=!$M%"</f>
        <v>#REF!</v>
      </c>
      <c r="AU45" t="e">
        <f>#REF!+"$Cm=!$M&amp;"</f>
        <v>#REF!</v>
      </c>
      <c r="AV45" t="e">
        <f>#REF!+"$Cm=!$M'"</f>
        <v>#REF!</v>
      </c>
      <c r="AW45" t="e">
        <f>#REF!+"$Cm=!$M("</f>
        <v>#REF!</v>
      </c>
      <c r="AX45" t="e">
        <f>#REF!+"$Cm=!$M)"</f>
        <v>#REF!</v>
      </c>
      <c r="AY45" t="e">
        <f>#REF!+"$Cm=!$M."</f>
        <v>#REF!</v>
      </c>
      <c r="AZ45" t="e">
        <f>#REF!+"$Cm=!$M/"</f>
        <v>#REF!</v>
      </c>
      <c r="BA45" t="e">
        <f>#REF!+"$Cm=!$M0"</f>
        <v>#REF!</v>
      </c>
      <c r="BB45" t="e">
        <f>#REF!+"$Cm=!$M1"</f>
        <v>#REF!</v>
      </c>
      <c r="BC45" t="e">
        <f>#REF!+"$Cm=!$M2"</f>
        <v>#REF!</v>
      </c>
      <c r="BD45" t="e">
        <f>#REF!+"$Cm=!$M3"</f>
        <v>#REF!</v>
      </c>
      <c r="BE45" t="e">
        <f>#REF!+"$Cm=!$M4"</f>
        <v>#REF!</v>
      </c>
      <c r="BF45" t="e">
        <f>#REF!+"$Cm=!$M5"</f>
        <v>#REF!</v>
      </c>
      <c r="BG45" t="e">
        <f>#REF!+"$Cm=!$M6"</f>
        <v>#REF!</v>
      </c>
      <c r="BH45" t="e">
        <f>#REF!+"$Cm=!$M7"</f>
        <v>#REF!</v>
      </c>
      <c r="BI45" t="e">
        <f>#REF!+"$Cm=!$M8"</f>
        <v>#REF!</v>
      </c>
      <c r="BJ45" t="e">
        <f>#REF!+"$Cm=!$M9"</f>
        <v>#REF!</v>
      </c>
      <c r="BK45" t="e">
        <f>#REF!+"$Cm=!$M:"</f>
        <v>#REF!</v>
      </c>
      <c r="BL45" t="e">
        <f>#REF!+"$Cm=!$M;"</f>
        <v>#REF!</v>
      </c>
      <c r="BM45" t="e">
        <f>#REF!+"$Cm=!$M&lt;"</f>
        <v>#REF!</v>
      </c>
      <c r="BN45" t="e">
        <f>#REF!+"$Cm=!$M="</f>
        <v>#REF!</v>
      </c>
      <c r="BO45" t="e">
        <f>#REF!+"$Cm=!$M&gt;"</f>
        <v>#REF!</v>
      </c>
      <c r="BP45" t="e">
        <f>#REF!+"$Cm=!$M?"</f>
        <v>#REF!</v>
      </c>
      <c r="BQ45" t="e">
        <f>#REF!+"$Cm=!$M@"</f>
        <v>#REF!</v>
      </c>
      <c r="BR45" t="e">
        <f>#REF!+"$Cm=!$MA"</f>
        <v>#REF!</v>
      </c>
      <c r="BS45" t="e">
        <f>#REF!+"$Cm=!$MB"</f>
        <v>#REF!</v>
      </c>
      <c r="BT45" t="e">
        <f>#REF!+"$Cm=!$MC"</f>
        <v>#REF!</v>
      </c>
      <c r="BU45" t="e">
        <f>#REF!+"$Cm=!$MD"</f>
        <v>#REF!</v>
      </c>
      <c r="BV45" t="e">
        <f>#REF!+"$Cm=!$ME"</f>
        <v>#REF!</v>
      </c>
      <c r="BW45" t="e">
        <f>#REF!+"$Cm=!$MF"</f>
        <v>#REF!</v>
      </c>
      <c r="BX45" t="e">
        <f>#REF!+"$Cm=!$MG"</f>
        <v>#REF!</v>
      </c>
      <c r="BY45" t="e">
        <f>#REF!+"$Cm=!$MH"</f>
        <v>#REF!</v>
      </c>
      <c r="BZ45" t="e">
        <f>#REF!+"$Cm=!$MI"</f>
        <v>#REF!</v>
      </c>
      <c r="CA45" t="e">
        <f>#REF!+"$Cm=!$MJ"</f>
        <v>#REF!</v>
      </c>
      <c r="CB45" t="e">
        <f>#REF!+"$Cm=!$MK"</f>
        <v>#REF!</v>
      </c>
      <c r="CC45" t="e">
        <f>#REF!+"$Cm=!$ML"</f>
        <v>#REF!</v>
      </c>
      <c r="CD45" t="e">
        <f>#REF!+"$Cm=!$MM"</f>
        <v>#REF!</v>
      </c>
      <c r="CE45" t="e">
        <f>#REF!+"$Cm=!$MN"</f>
        <v>#REF!</v>
      </c>
      <c r="CF45" t="e">
        <f>#REF!+"$Cm=!$MO"</f>
        <v>#REF!</v>
      </c>
      <c r="CG45" t="e">
        <f>#REF!+"$Cm=!$MP"</f>
        <v>#REF!</v>
      </c>
      <c r="CH45" t="e">
        <f>#REF!+"$Cm=!$MQ"</f>
        <v>#REF!</v>
      </c>
      <c r="CI45" t="e">
        <f>#REF!+"$Cm=!$MR"</f>
        <v>#REF!</v>
      </c>
      <c r="CJ45" t="e">
        <f>#REF!+"$Cm=!$MS"</f>
        <v>#REF!</v>
      </c>
      <c r="CK45" t="e">
        <f>#REF!+"$Cm=!$MT"</f>
        <v>#REF!</v>
      </c>
      <c r="CL45" t="e">
        <f>#REF!+"$Cm=!$MU"</f>
        <v>#REF!</v>
      </c>
      <c r="CM45" t="e">
        <f>#REF!+"$Cm=!$MV"</f>
        <v>#REF!</v>
      </c>
      <c r="CN45" t="e">
        <f>#REF!+"$Cm=!$MW"</f>
        <v>#REF!</v>
      </c>
      <c r="CO45" t="e">
        <f>#REF!+"$Cm=!$MX"</f>
        <v>#REF!</v>
      </c>
      <c r="CP45" t="e">
        <f>#REF!+"$Cm=!$MY"</f>
        <v>#REF!</v>
      </c>
      <c r="CQ45" t="e">
        <f>#REF!+"$Cm=!$MZ"</f>
        <v>#REF!</v>
      </c>
      <c r="CR45" t="e">
        <f>#REF!+"$Cm=!$M["</f>
        <v>#REF!</v>
      </c>
      <c r="CS45" t="e">
        <f>#REF!+"$Cm=!$M\"</f>
        <v>#REF!</v>
      </c>
      <c r="CT45" t="e">
        <f>#REF!+"$Cm=!$M]"</f>
        <v>#REF!</v>
      </c>
      <c r="CU45" t="e">
        <f>#REF!+"$Cm=!$M^"</f>
        <v>#REF!</v>
      </c>
      <c r="CV45" t="e">
        <f>#REF!+"$Cm=!$M_"</f>
        <v>#REF!</v>
      </c>
      <c r="CW45" t="e">
        <f>#REF!+"$Cm=!$M`"</f>
        <v>#REF!</v>
      </c>
      <c r="CX45" t="e">
        <f>#REF!+"$Cm=!$Ma"</f>
        <v>#REF!</v>
      </c>
      <c r="CY45" t="e">
        <f>#REF!+"$Cm=!$Mb"</f>
        <v>#REF!</v>
      </c>
      <c r="CZ45" t="e">
        <f>#REF!+"$Cm=!$Mc"</f>
        <v>#REF!</v>
      </c>
      <c r="DA45" t="e">
        <f>#REF!+"$Cm=!$Md"</f>
        <v>#REF!</v>
      </c>
      <c r="DB45" t="e">
        <f>#REF!+"$Cm=!$Me"</f>
        <v>#REF!</v>
      </c>
      <c r="DC45" t="e">
        <f>#REF!+"$Cm=!$Mf"</f>
        <v>#REF!</v>
      </c>
      <c r="DD45" t="e">
        <f>#REF!+"$Cm=!$Mg"</f>
        <v>#REF!</v>
      </c>
      <c r="DE45" t="e">
        <f>#REF!+"$Cm=!$Mh"</f>
        <v>#REF!</v>
      </c>
      <c r="DF45" t="e">
        <f>#REF!+"$Cm=!$Mi"</f>
        <v>#REF!</v>
      </c>
      <c r="DG45" t="e">
        <f>#REF!+"$Cm=!$Mj"</f>
        <v>#REF!</v>
      </c>
      <c r="DH45" t="e">
        <f>#REF!+"$Cm=!$Mk"</f>
        <v>#REF!</v>
      </c>
      <c r="DI45" t="e">
        <f>#REF!+"$Cm=!$Ml"</f>
        <v>#REF!</v>
      </c>
      <c r="DJ45" t="e">
        <f>#REF!+"$Cm=!$Mm"</f>
        <v>#REF!</v>
      </c>
      <c r="DK45" t="e">
        <f>#REF!+"$Cm=!$Mn"</f>
        <v>#REF!</v>
      </c>
      <c r="DL45" t="e">
        <f>#REF!+"$Cm=!$Mo"</f>
        <v>#REF!</v>
      </c>
      <c r="DM45" t="e">
        <f>#REF!+"$Cm=!$Mp"</f>
        <v>#REF!</v>
      </c>
      <c r="DN45" t="e">
        <f>#REF!+"$Cm=!$Mq"</f>
        <v>#REF!</v>
      </c>
      <c r="DO45" t="e">
        <f>#REF!+"$Cm=!$Mr"</f>
        <v>#REF!</v>
      </c>
      <c r="DP45" t="e">
        <f>#REF!+"$Cm=!$Ms"</f>
        <v>#REF!</v>
      </c>
      <c r="DQ45" t="e">
        <f>#REF!+"$Cm=!$Mt"</f>
        <v>#REF!</v>
      </c>
      <c r="DR45" t="e">
        <f>#REF!+"$Cm=!$Mu"</f>
        <v>#REF!</v>
      </c>
      <c r="DS45" t="e">
        <f>#REF!+"$Cm=!$Mv"</f>
        <v>#REF!</v>
      </c>
      <c r="DT45" t="e">
        <f>#REF!+"$Cm=!$Mw"</f>
        <v>#REF!</v>
      </c>
      <c r="DU45" t="e">
        <f>#REF!+"$Cm=!$Mx"</f>
        <v>#REF!</v>
      </c>
      <c r="DV45" t="e">
        <f>#REF!+"$Cm=!$My"</f>
        <v>#REF!</v>
      </c>
      <c r="DW45" t="e">
        <f>#REF!+"$Cm=!$Mz"</f>
        <v>#REF!</v>
      </c>
      <c r="DX45" t="e">
        <f>#REF!+"$Cm=!$M{"</f>
        <v>#REF!</v>
      </c>
      <c r="DY45" t="e">
        <f>#REF!+"$Cm=!$M|"</f>
        <v>#REF!</v>
      </c>
      <c r="DZ45" t="e">
        <f>#REF!+"$Cm=!$M}"</f>
        <v>#REF!</v>
      </c>
      <c r="EA45" t="e">
        <f>#REF!+"$Cm=!$M~"</f>
        <v>#REF!</v>
      </c>
      <c r="EB45" t="e">
        <f>#REF!+"$Cm=!$N#"</f>
        <v>#REF!</v>
      </c>
      <c r="EC45" t="e">
        <f>#REF!+"$Cm=!$N$"</f>
        <v>#REF!</v>
      </c>
      <c r="ED45" t="e">
        <f>#REF!+"$Cm=!$N%"</f>
        <v>#REF!</v>
      </c>
      <c r="EE45" t="e">
        <f>#REF!+"$Cm=!$N&amp;"</f>
        <v>#REF!</v>
      </c>
      <c r="EF45" t="e">
        <f>#REF!+"$Cm=!$N'"</f>
        <v>#REF!</v>
      </c>
      <c r="EG45" t="e">
        <f>#REF!+"$Cm=!$N("</f>
        <v>#REF!</v>
      </c>
      <c r="EH45" t="e">
        <f>#REF!+"$Cm=!$N)"</f>
        <v>#REF!</v>
      </c>
      <c r="EI45" t="e">
        <f>#REF!+"$Cm=!$N."</f>
        <v>#REF!</v>
      </c>
      <c r="EJ45" t="e">
        <f>#REF!+"$Cm=!$N/"</f>
        <v>#REF!</v>
      </c>
      <c r="EK45" t="e">
        <f>#REF!+"$Cm=!$N0"</f>
        <v>#REF!</v>
      </c>
      <c r="EL45" t="e">
        <f>#REF!+"$Cm=!$N1"</f>
        <v>#REF!</v>
      </c>
      <c r="EM45" t="e">
        <f>#REF!+"$Cm=!$N2"</f>
        <v>#REF!</v>
      </c>
      <c r="EN45" t="e">
        <f>#REF!+"$Cm=!$N3"</f>
        <v>#REF!</v>
      </c>
      <c r="EO45" t="e">
        <f>#REF!+"$Cm=!$N4"</f>
        <v>#REF!</v>
      </c>
      <c r="EP45" t="e">
        <f>#REF!+"$Cm=!$N5"</f>
        <v>#REF!</v>
      </c>
      <c r="EQ45" t="e">
        <f>#REF!+"$Cm=!$N6"</f>
        <v>#REF!</v>
      </c>
      <c r="ER45" t="e">
        <f>#REF!+"$Cm=!$N7"</f>
        <v>#REF!</v>
      </c>
      <c r="ES45" t="e">
        <f>#REF!+"$Cm=!$N8"</f>
        <v>#REF!</v>
      </c>
      <c r="ET45" t="e">
        <f>#REF!+"$Cm=!$N9"</f>
        <v>#REF!</v>
      </c>
      <c r="EU45" t="e">
        <f>#REF!+"$Cm=!$N:"</f>
        <v>#REF!</v>
      </c>
      <c r="EV45" t="e">
        <f>#REF!+"$Cm=!$N;"</f>
        <v>#REF!</v>
      </c>
      <c r="EW45" t="e">
        <f>#REF!+"$Cm=!$N&lt;"</f>
        <v>#REF!</v>
      </c>
      <c r="EX45" t="e">
        <f>#REF!+"$Cm=!$N="</f>
        <v>#REF!</v>
      </c>
      <c r="EY45" t="e">
        <f>#REF!+"$Cm=!$N&gt;"</f>
        <v>#REF!</v>
      </c>
      <c r="EZ45" t="e">
        <f>#REF!+"$Cm=!$N?"</f>
        <v>#REF!</v>
      </c>
      <c r="FA45" t="e">
        <f>#REF!+"$Cm=!$N@"</f>
        <v>#REF!</v>
      </c>
      <c r="FB45" t="e">
        <f>#REF!+"$Cm=!$NA"</f>
        <v>#REF!</v>
      </c>
      <c r="FC45" t="e">
        <f>#REF!+"$Cm=!$NB"</f>
        <v>#REF!</v>
      </c>
      <c r="FD45" t="e">
        <f>#REF!+"$Cm=!$NC"</f>
        <v>#REF!</v>
      </c>
      <c r="FE45" t="e">
        <f>#REF!+"$Cm=!$ND"</f>
        <v>#REF!</v>
      </c>
      <c r="FF45" t="e">
        <f>#REF!+"$Cm=!$NE"</f>
        <v>#REF!</v>
      </c>
      <c r="FG45" t="e">
        <f>#REF!+"$Cm=!$NF"</f>
        <v>#REF!</v>
      </c>
      <c r="FH45" t="e">
        <f>#REF!+"$Cm=!$NG"</f>
        <v>#REF!</v>
      </c>
      <c r="FI45" t="e">
        <f>#REF!+"$Cm=!$NH"</f>
        <v>#REF!</v>
      </c>
      <c r="FJ45" t="e">
        <f>#REF!+"$Cm=!$NI"</f>
        <v>#REF!</v>
      </c>
      <c r="FK45" t="e">
        <f>#REF!+"$Cm=!$NJ"</f>
        <v>#REF!</v>
      </c>
      <c r="FL45" t="e">
        <f>#REF!+"$Cm=!$NK"</f>
        <v>#REF!</v>
      </c>
      <c r="FM45" t="e">
        <f>#REF!+"$Cm=!$NL"</f>
        <v>#REF!</v>
      </c>
      <c r="FN45" t="e">
        <f>#REF!+"$Cm=!$NM"</f>
        <v>#REF!</v>
      </c>
      <c r="FO45" t="e">
        <f>#REF!+"$Cm=!$NN"</f>
        <v>#REF!</v>
      </c>
      <c r="FP45" t="e">
        <f>#REF!+"$Cm=!$NO"</f>
        <v>#REF!</v>
      </c>
      <c r="FQ45" t="e">
        <f>#REF!+"$Cm=!$NP"</f>
        <v>#REF!</v>
      </c>
      <c r="FR45" t="e">
        <f>#REF!+"$Cm=!$NQ"</f>
        <v>#REF!</v>
      </c>
      <c r="FS45" t="e">
        <f>#REF!+"$Cm=!$NR"</f>
        <v>#REF!</v>
      </c>
      <c r="FT45" t="e">
        <f>#REF!+"$Cm=!$NS"</f>
        <v>#REF!</v>
      </c>
      <c r="FU45" t="e">
        <f>#REF!+"$Cm=!$NT"</f>
        <v>#REF!</v>
      </c>
      <c r="FV45" t="e">
        <f>#REF!+"$Cm=!$NU"</f>
        <v>#REF!</v>
      </c>
      <c r="FW45" t="e">
        <f>#REF!+"$Cm=!$NV"</f>
        <v>#REF!</v>
      </c>
      <c r="FX45" t="e">
        <f>#REF!+"$Cm=!$NW"</f>
        <v>#REF!</v>
      </c>
      <c r="FY45" t="e">
        <f>#REF!+"$Cm=!$NX"</f>
        <v>#REF!</v>
      </c>
      <c r="FZ45" t="e">
        <f>#REF!+"$Cm=!$NY"</f>
        <v>#REF!</v>
      </c>
      <c r="GA45" t="e">
        <f>#REF!+"$Cm=!$NZ"</f>
        <v>#REF!</v>
      </c>
      <c r="GB45" t="e">
        <f>#REF!+"$Cm=!$N["</f>
        <v>#REF!</v>
      </c>
      <c r="GC45" t="e">
        <f>#REF!+"$Cm=!$N\"</f>
        <v>#REF!</v>
      </c>
      <c r="GD45" t="e">
        <f>#REF!+"$Cm=!$N]"</f>
        <v>#REF!</v>
      </c>
      <c r="GE45" t="e">
        <f>#REF!+"$Cm=!$N^"</f>
        <v>#REF!</v>
      </c>
      <c r="GF45" t="e">
        <f>#REF!+"$Cm=!$N_"</f>
        <v>#REF!</v>
      </c>
      <c r="GG45" t="e">
        <f>#REF!+"$Cm=!$N`"</f>
        <v>#REF!</v>
      </c>
      <c r="GH45" t="e">
        <f>#REF!+"$Cm=!$Na"</f>
        <v>#REF!</v>
      </c>
      <c r="GI45" t="e">
        <f>#REF!+"$Cm=!$Nb"</f>
        <v>#REF!</v>
      </c>
      <c r="GJ45" t="e">
        <f>#REF!+"$Cm=!$Nc"</f>
        <v>#REF!</v>
      </c>
      <c r="GK45" t="e">
        <f>#REF!+"$Cm=!$Nd"</f>
        <v>#REF!</v>
      </c>
      <c r="GL45" t="e">
        <f>#REF!+"$Cm=!$Ne"</f>
        <v>#REF!</v>
      </c>
      <c r="GM45" t="e">
        <f>#REF!+"$Cm=!$Nf"</f>
        <v>#REF!</v>
      </c>
      <c r="GN45" t="e">
        <f>#REF!+"$Cm=!$Ng"</f>
        <v>#REF!</v>
      </c>
      <c r="GO45" t="e">
        <f>#REF!+"$Cm=!$Nh"</f>
        <v>#REF!</v>
      </c>
      <c r="GP45" t="e">
        <f>#REF!+"$Cm=!$Ni"</f>
        <v>#REF!</v>
      </c>
      <c r="GQ45" t="e">
        <f>#REF!+"$Cm=!$Nj"</f>
        <v>#REF!</v>
      </c>
      <c r="GR45" t="e">
        <f>#REF!+"$Cm=!$Nk"</f>
        <v>#REF!</v>
      </c>
      <c r="GS45" t="e">
        <f>#REF!+"$Cm=!$Nl"</f>
        <v>#REF!</v>
      </c>
      <c r="GT45" t="e">
        <f>#REF!+"$Cm=!$Nm"</f>
        <v>#REF!</v>
      </c>
      <c r="GU45" t="e">
        <f>#REF!+"$Cm=!$Nn"</f>
        <v>#REF!</v>
      </c>
      <c r="GV45" t="e">
        <f>#REF!+"$Cm=!$No"</f>
        <v>#REF!</v>
      </c>
      <c r="GW45" t="e">
        <f>#REF!+"$Cm=!$Np"</f>
        <v>#REF!</v>
      </c>
      <c r="GX45" t="e">
        <f>#REF!+"$Cm=!$Nq"</f>
        <v>#REF!</v>
      </c>
      <c r="GY45" t="e">
        <f>#REF!+"$Cm=!$Nr"</f>
        <v>#REF!</v>
      </c>
      <c r="GZ45" t="e">
        <f>#REF!+"$Cm=!$Ns"</f>
        <v>#REF!</v>
      </c>
      <c r="HA45" t="e">
        <f>#REF!+"$Cm=!$Nt"</f>
        <v>#REF!</v>
      </c>
      <c r="HB45" t="e">
        <f>#REF!+"$Cm=!$Nu"</f>
        <v>#REF!</v>
      </c>
      <c r="HC45" t="e">
        <f>#REF!+"$Cm=!$Nv"</f>
        <v>#REF!</v>
      </c>
      <c r="HD45" t="e">
        <f>#REF!+"$Cm=!$Nw"</f>
        <v>#REF!</v>
      </c>
      <c r="HE45" t="e">
        <f>#REF!+"$Cm=!$Nx"</f>
        <v>#REF!</v>
      </c>
      <c r="HF45" t="e">
        <f>#REF!+"$Cm=!$Ny"</f>
        <v>#REF!</v>
      </c>
      <c r="HG45" t="e">
        <f>#REF!+"$Cm=!$Nz"</f>
        <v>#REF!</v>
      </c>
      <c r="HH45" t="e">
        <f>#REF!+"$Cm=!$N{"</f>
        <v>#REF!</v>
      </c>
      <c r="HI45" t="e">
        <f>#REF!+"$Cm=!$N|"</f>
        <v>#REF!</v>
      </c>
      <c r="HJ45" t="e">
        <f>#REF!+"$Cm=!$N}"</f>
        <v>#REF!</v>
      </c>
      <c r="HK45" t="e">
        <f>#REF!+"$Cm=!$N~"</f>
        <v>#REF!</v>
      </c>
      <c r="HL45" t="e">
        <f>#REF!+"$Cm=!$O#"</f>
        <v>#REF!</v>
      </c>
      <c r="HM45" t="e">
        <f>#REF!+"$Cm=!$O$"</f>
        <v>#REF!</v>
      </c>
      <c r="HN45" t="e">
        <f>#REF!+"$Cm=!$O%"</f>
        <v>#REF!</v>
      </c>
      <c r="HO45" t="e">
        <f>#REF!+"$Cm=!$O&amp;"</f>
        <v>#REF!</v>
      </c>
      <c r="HP45" t="e">
        <f>#REF!+"$Cm=!$O'"</f>
        <v>#REF!</v>
      </c>
      <c r="HQ45" t="e">
        <f>#REF!+"$Cm=!$O("</f>
        <v>#REF!</v>
      </c>
      <c r="HR45" t="e">
        <f>#REF!+"$Cm=!$O)"</f>
        <v>#REF!</v>
      </c>
      <c r="HS45" t="e">
        <f>#REF!+"$Cm=!$O."</f>
        <v>#REF!</v>
      </c>
      <c r="HT45" t="e">
        <f>#REF!+"$Cm=!$O/"</f>
        <v>#REF!</v>
      </c>
      <c r="HU45" t="e">
        <f>#REF!+"$Cm=!$O0"</f>
        <v>#REF!</v>
      </c>
      <c r="HV45" t="e">
        <f>#REF!+"$Cm=!$O1"</f>
        <v>#REF!</v>
      </c>
      <c r="HW45" t="e">
        <f>#REF!+"$Cm=!$O2"</f>
        <v>#REF!</v>
      </c>
      <c r="HX45" t="e">
        <f>#REF!+"$Cm=!$O3"</f>
        <v>#REF!</v>
      </c>
      <c r="HY45" t="e">
        <f>#REF!+"$Cm=!$O4"</f>
        <v>#REF!</v>
      </c>
      <c r="HZ45" t="e">
        <f>#REF!+"$Cm=!$O5"</f>
        <v>#REF!</v>
      </c>
      <c r="IA45" t="e">
        <f>#REF!+"$Cm=!$O6"</f>
        <v>#REF!</v>
      </c>
      <c r="IB45" t="e">
        <f>#REF!+"$Cm=!$O7"</f>
        <v>#REF!</v>
      </c>
      <c r="IC45" t="e">
        <f>#REF!+"$Cm=!$O8"</f>
        <v>#REF!</v>
      </c>
      <c r="ID45" t="e">
        <f>#REF!+"$Cm=!$O9"</f>
        <v>#REF!</v>
      </c>
      <c r="IE45" t="e">
        <f>#REF!+"$Cm=!$O:"</f>
        <v>#REF!</v>
      </c>
      <c r="IF45" t="e">
        <f>#REF!+"$Cm=!$O;"</f>
        <v>#REF!</v>
      </c>
      <c r="IG45" t="e">
        <f>#REF!+"$Cm=!$O&lt;"</f>
        <v>#REF!</v>
      </c>
      <c r="IH45" t="e">
        <f>#REF!+"$Cm=!$O="</f>
        <v>#REF!</v>
      </c>
      <c r="II45" t="e">
        <f>#REF!+"$Cm=!$O&gt;"</f>
        <v>#REF!</v>
      </c>
      <c r="IJ45" t="e">
        <f>#REF!+"$Cm=!$O?"</f>
        <v>#REF!</v>
      </c>
      <c r="IK45" t="e">
        <f>#REF!+"$Cm=!$O@"</f>
        <v>#REF!</v>
      </c>
      <c r="IL45" t="e">
        <f>#REF!+"$Cm=!$OA"</f>
        <v>#REF!</v>
      </c>
      <c r="IM45" t="e">
        <f>#REF!+"$Cm=!$OB"</f>
        <v>#REF!</v>
      </c>
      <c r="IN45" t="e">
        <f>#REF!+"$Cm=!$OC"</f>
        <v>#REF!</v>
      </c>
      <c r="IO45" t="e">
        <f>#REF!+"$Cm=!$OD"</f>
        <v>#REF!</v>
      </c>
      <c r="IP45" t="e">
        <f>#REF!+"$Cm=!$OE"</f>
        <v>#REF!</v>
      </c>
      <c r="IQ45" t="e">
        <f>#REF!+"$Cm=!$OF"</f>
        <v>#REF!</v>
      </c>
      <c r="IR45" t="e">
        <f>#REF!+"$Cm=!$OG"</f>
        <v>#REF!</v>
      </c>
      <c r="IS45" t="e">
        <f>#REF!+"$Cm=!$OH"</f>
        <v>#REF!</v>
      </c>
      <c r="IT45" t="e">
        <f>#REF!+"$Cm=!$OI"</f>
        <v>#REF!</v>
      </c>
      <c r="IU45" t="e">
        <f>#REF!+"$Cm=!$OJ"</f>
        <v>#REF!</v>
      </c>
      <c r="IV45" t="e">
        <f>#REF!+"$Cm=!$OK"</f>
        <v>#REF!</v>
      </c>
    </row>
    <row r="46" spans="6:256">
      <c r="F46" t="e">
        <f>#REF!+"$Cm=!$OL"</f>
        <v>#REF!</v>
      </c>
      <c r="G46" t="e">
        <f>#REF!+"$Cm=!$OM"</f>
        <v>#REF!</v>
      </c>
      <c r="H46" t="e">
        <f>#REF!+"$Cm=!$ON"</f>
        <v>#REF!</v>
      </c>
      <c r="I46" t="e">
        <f>#REF!+"$Cm=!$OO"</f>
        <v>#REF!</v>
      </c>
      <c r="J46" t="e">
        <f>#REF!+"$Cm=!$OP"</f>
        <v>#REF!</v>
      </c>
      <c r="K46" t="e">
        <f>#REF!+"$Cm=!$OQ"</f>
        <v>#REF!</v>
      </c>
      <c r="L46" t="e">
        <f>#REF!+"$Cm=!$OR"</f>
        <v>#REF!</v>
      </c>
      <c r="M46" t="e">
        <f>#REF!+"$Cm=!$OS"</f>
        <v>#REF!</v>
      </c>
      <c r="N46" t="e">
        <f>#REF!+"$Cm=!$OT"</f>
        <v>#REF!</v>
      </c>
      <c r="O46" t="e">
        <f>#REF!+"$Cm=!$OU"</f>
        <v>#REF!</v>
      </c>
      <c r="P46" t="e">
        <f>#REF!+"$Cm=!$OV"</f>
        <v>#REF!</v>
      </c>
      <c r="Q46" t="e">
        <f>#REF!+"$Cm=!$OW"</f>
        <v>#REF!</v>
      </c>
      <c r="R46" t="e">
        <f>#REF!+"$Cm=!$OX"</f>
        <v>#REF!</v>
      </c>
      <c r="S46" t="e">
        <f>#REF!+"$Cm=!$OY"</f>
        <v>#REF!</v>
      </c>
      <c r="T46" t="e">
        <f>#REF!+"$Cm=!$OZ"</f>
        <v>#REF!</v>
      </c>
      <c r="U46" t="e">
        <f>#REF!+"$Cm=!$O["</f>
        <v>#REF!</v>
      </c>
      <c r="V46" t="e">
        <f>#REF!+"$Cm=!$O\"</f>
        <v>#REF!</v>
      </c>
      <c r="W46" t="e">
        <f>#REF!+"$Cm=!$O]"</f>
        <v>#REF!</v>
      </c>
      <c r="X46" t="e">
        <f>#REF!+"$Cm=!$O^"</f>
        <v>#REF!</v>
      </c>
      <c r="Y46" t="e">
        <f>#REF!+"$Cm=!$O_"</f>
        <v>#REF!</v>
      </c>
      <c r="Z46" t="e">
        <f>#REF!+"$Cm=!$O`"</f>
        <v>#REF!</v>
      </c>
      <c r="AA46" t="e">
        <f>#REF!+"$Cm=!$Oa"</f>
        <v>#REF!</v>
      </c>
      <c r="AB46" t="e">
        <f>#REF!+"$Cm=!$Ob"</f>
        <v>#REF!</v>
      </c>
      <c r="AC46" t="e">
        <f>#REF!+"$Cm=!$Oc"</f>
        <v>#REF!</v>
      </c>
      <c r="AD46" t="e">
        <f>#REF!+"$Cm=!$Od"</f>
        <v>#REF!</v>
      </c>
      <c r="AE46" t="e">
        <f>#REF!+"$Cm=!$Oe"</f>
        <v>#REF!</v>
      </c>
      <c r="AF46" t="e">
        <f>#REF!+"$Cm=!$Of"</f>
        <v>#REF!</v>
      </c>
      <c r="AG46" t="e">
        <f>#REF!+"$Cm=!$Og"</f>
        <v>#REF!</v>
      </c>
      <c r="AH46" t="e">
        <f>#REF!+"$Cm=!$Oh"</f>
        <v>#REF!</v>
      </c>
      <c r="AI46" t="e">
        <f>#REF!+"$Cm=!$Oi"</f>
        <v>#REF!</v>
      </c>
      <c r="AJ46" t="e">
        <f>#REF!+"$Cm=!$Oj"</f>
        <v>#REF!</v>
      </c>
      <c r="AK46" t="e">
        <f>#REF!+"$Cm=!$Ok"</f>
        <v>#REF!</v>
      </c>
      <c r="AL46" t="e">
        <f>#REF!+"$Cm=!$Ol"</f>
        <v>#REF!</v>
      </c>
      <c r="AM46" t="e">
        <f>#REF!+"$Cm=!$Om"</f>
        <v>#REF!</v>
      </c>
      <c r="AN46" t="e">
        <f>#REF!+"$Cm=!$On"</f>
        <v>#REF!</v>
      </c>
      <c r="AO46" t="e">
        <f>#REF!+"$Cm=!$Oo"</f>
        <v>#REF!</v>
      </c>
      <c r="AP46" t="e">
        <f>#REF!+"$Cm=!$Op"</f>
        <v>#REF!</v>
      </c>
      <c r="AQ46" t="e">
        <f>#REF!+"$Cm=!$Oq"</f>
        <v>#REF!</v>
      </c>
      <c r="AR46" t="e">
        <f>#REF!+"$Cm=!$Or"</f>
        <v>#REF!</v>
      </c>
      <c r="AS46" t="e">
        <f>#REF!+"$Cm=!$Os"</f>
        <v>#REF!</v>
      </c>
      <c r="AT46" t="e">
        <f>#REF!+"$Cm=!$Ot"</f>
        <v>#REF!</v>
      </c>
      <c r="AU46" t="e">
        <f>#REF!+"$Cm=!$Ou"</f>
        <v>#REF!</v>
      </c>
      <c r="AV46" t="e">
        <f>#REF!+"$Cm=!$Ov"</f>
        <v>#REF!</v>
      </c>
      <c r="AW46" t="e">
        <f>#REF!+"$Cm=!$Ow"</f>
        <v>#REF!</v>
      </c>
      <c r="AX46" t="e">
        <f>#REF!+"$Cm=!$Ox"</f>
        <v>#REF!</v>
      </c>
      <c r="AY46" t="e">
        <f>#REF!+"$Cm=!$Oy"</f>
        <v>#REF!</v>
      </c>
      <c r="AZ46" t="e">
        <f>#REF!+"$Cm=!$Oz"</f>
        <v>#REF!</v>
      </c>
      <c r="BA46" t="e">
        <f>#REF!+"$Cm=!$O{"</f>
        <v>#REF!</v>
      </c>
      <c r="BB46" t="e">
        <f>#REF!+"$Cm=!$O|"</f>
        <v>#REF!</v>
      </c>
      <c r="BC46" t="e">
        <f>#REF!+"$Cm=!$O}"</f>
        <v>#REF!</v>
      </c>
      <c r="BD46" t="e">
        <f>#REF!+"$Cm=!$O~"</f>
        <v>#REF!</v>
      </c>
      <c r="BE46" t="e">
        <f>#REF!+"$Cm=!$P#"</f>
        <v>#REF!</v>
      </c>
      <c r="BF46" t="e">
        <f>#REF!+"$Cm=!$P$"</f>
        <v>#REF!</v>
      </c>
      <c r="BG46" t="e">
        <f>#REF!+"$Cm=!$P%"</f>
        <v>#REF!</v>
      </c>
      <c r="BH46" t="e">
        <f>#REF!+"$Cm=!$P&amp;"</f>
        <v>#REF!</v>
      </c>
      <c r="BI46" t="e">
        <f>#REF!+"$Cm=!$P'"</f>
        <v>#REF!</v>
      </c>
      <c r="BJ46" t="e">
        <f>#REF!+"$Cm=!$P("</f>
        <v>#REF!</v>
      </c>
      <c r="BK46" t="e">
        <f>#REF!+"$Cm=!$P)"</f>
        <v>#REF!</v>
      </c>
      <c r="BL46" t="e">
        <f>#REF!+"$Cm=!$P."</f>
        <v>#REF!</v>
      </c>
      <c r="BM46" t="e">
        <f>#REF!+"$Cm=!$P/"</f>
        <v>#REF!</v>
      </c>
      <c r="BN46" t="e">
        <f>#REF!+"$Cm=!$P0"</f>
        <v>#REF!</v>
      </c>
      <c r="BO46" t="e">
        <f>#REF!+"$Cm=!$P1"</f>
        <v>#REF!</v>
      </c>
      <c r="BP46" t="e">
        <f>#REF!+"$Cm=!$P2"</f>
        <v>#REF!</v>
      </c>
      <c r="BQ46" t="e">
        <f>#REF!+"$Cm=!$P3"</f>
        <v>#REF!</v>
      </c>
      <c r="BR46" t="e">
        <f>#REF!+"$Cm=!$P4"</f>
        <v>#REF!</v>
      </c>
      <c r="BS46" t="e">
        <f>#REF!+"$Cm=!$P5"</f>
        <v>#REF!</v>
      </c>
      <c r="BT46" t="e">
        <f>#REF!+"$Cm=!$P6"</f>
        <v>#REF!</v>
      </c>
      <c r="BU46" t="e">
        <f>#REF!+"$Cm=!$P7"</f>
        <v>#REF!</v>
      </c>
      <c r="BV46" t="e">
        <f>#REF!+"$Cm=!$P8"</f>
        <v>#REF!</v>
      </c>
      <c r="BW46" t="e">
        <f>#REF!+"$Cm=!$P9"</f>
        <v>#REF!</v>
      </c>
      <c r="BX46" t="e">
        <f>#REF!+"$Cm=!$P:"</f>
        <v>#REF!</v>
      </c>
      <c r="BY46" t="e">
        <f>#REF!+"$Cm=!$P;"</f>
        <v>#REF!</v>
      </c>
      <c r="BZ46" t="e">
        <f>#REF!+"$Cm=!$P&lt;"</f>
        <v>#REF!</v>
      </c>
      <c r="CA46" t="e">
        <f>#REF!+"$Cm=!$P="</f>
        <v>#REF!</v>
      </c>
      <c r="CB46" t="e">
        <f>#REF!+"$Cm=!$P&gt;"</f>
        <v>#REF!</v>
      </c>
      <c r="CC46" t="e">
        <f>#REF!+"$Cm=!$P?"</f>
        <v>#REF!</v>
      </c>
      <c r="CD46" t="e">
        <f>#REF!+"$Cm=!$P@"</f>
        <v>#REF!</v>
      </c>
      <c r="CE46" t="e">
        <f>#REF!+"$Cm=!$PA"</f>
        <v>#REF!</v>
      </c>
      <c r="CF46" t="e">
        <f>#REF!+"$Cm=!$PB"</f>
        <v>#REF!</v>
      </c>
      <c r="CG46" t="e">
        <f>#REF!+"$Cm=!$PC"</f>
        <v>#REF!</v>
      </c>
      <c r="CH46" t="e">
        <f>#REF!+"$Cm=!$PD"</f>
        <v>#REF!</v>
      </c>
      <c r="CI46" t="e">
        <f>#REF!+"$Cm=!$PE"</f>
        <v>#REF!</v>
      </c>
      <c r="CJ46" t="e">
        <f>#REF!+"$Cm=!$PF"</f>
        <v>#REF!</v>
      </c>
      <c r="CK46" t="e">
        <f>#REF!+"$Cm=!$PG"</f>
        <v>#REF!</v>
      </c>
      <c r="CL46" t="e">
        <f>#REF!+"$Cm=!$PH"</f>
        <v>#REF!</v>
      </c>
      <c r="CM46" t="e">
        <f>#REF!+"$Cm=!$PI"</f>
        <v>#REF!</v>
      </c>
      <c r="CN46" t="e">
        <f>#REF!+"$Cm=!$PJ"</f>
        <v>#REF!</v>
      </c>
      <c r="CO46" t="e">
        <f>#REF!+"$Cm=!$PK"</f>
        <v>#REF!</v>
      </c>
      <c r="CP46" t="e">
        <f>#REF!+"$Cm=!$PL"</f>
        <v>#REF!</v>
      </c>
      <c r="CQ46" t="e">
        <f>#REF!+"$Cm=!$PM"</f>
        <v>#REF!</v>
      </c>
      <c r="CR46" t="e">
        <f>#REF!+"$Cm=!$PN"</f>
        <v>#REF!</v>
      </c>
      <c r="CS46" t="e">
        <f>#REF!+"$Cm=!$PO"</f>
        <v>#REF!</v>
      </c>
      <c r="CT46" t="e">
        <f>#REF!+"$Cm=!$PP"</f>
        <v>#REF!</v>
      </c>
      <c r="CU46" t="e">
        <f>#REF!+"$Cm=!$PQ"</f>
        <v>#REF!</v>
      </c>
      <c r="CV46" t="e">
        <f>#REF!+"$Cm=!$PR"</f>
        <v>#REF!</v>
      </c>
      <c r="CW46" t="e">
        <f>#REF!+"$Cm=!$PS"</f>
        <v>#REF!</v>
      </c>
      <c r="CX46" t="e">
        <f>#REF!+"$Cm=!$PT"</f>
        <v>#REF!</v>
      </c>
      <c r="CY46" t="e">
        <f>#REF!+"$Cm=!$PU"</f>
        <v>#REF!</v>
      </c>
      <c r="CZ46" t="e">
        <f>#REF!+"$Cm=!$PV"</f>
        <v>#REF!</v>
      </c>
      <c r="DA46" t="e">
        <f>#REF!+"$Cm=!$PW"</f>
        <v>#REF!</v>
      </c>
      <c r="DB46" t="e">
        <f>#REF!+"$Cm=!$PX"</f>
        <v>#REF!</v>
      </c>
      <c r="DC46" t="e">
        <f>#REF!+"$Cm=!$PY"</f>
        <v>#REF!</v>
      </c>
      <c r="DD46" t="e">
        <f>#REF!+"$Cm=!$PZ"</f>
        <v>#REF!</v>
      </c>
      <c r="DE46" t="e">
        <f>#REF!+"$Cm=!$P["</f>
        <v>#REF!</v>
      </c>
      <c r="DF46" t="e">
        <f>#REF!+"$Cm=!$P\"</f>
        <v>#REF!</v>
      </c>
      <c r="DG46" t="e">
        <f>#REF!+"$Cm=!$P]"</f>
        <v>#REF!</v>
      </c>
      <c r="DH46" t="e">
        <f>#REF!+"$Cm=!$P^"</f>
        <v>#REF!</v>
      </c>
      <c r="DI46" t="e">
        <f>#REF!+"$Cm=!$P_"</f>
        <v>#REF!</v>
      </c>
      <c r="DJ46" t="e">
        <f>#REF!+"$Cm=!$P`"</f>
        <v>#REF!</v>
      </c>
      <c r="DK46" t="e">
        <f>#REF!+"$Cm=!$Pa"</f>
        <v>#REF!</v>
      </c>
      <c r="DL46" t="e">
        <f>#REF!+"$Cm=!$Pb"</f>
        <v>#REF!</v>
      </c>
      <c r="DM46" t="e">
        <f>#REF!+"$Cm=!$Pc"</f>
        <v>#REF!</v>
      </c>
      <c r="DN46" t="e">
        <f>#REF!+"$Cm=!$Pd"</f>
        <v>#REF!</v>
      </c>
      <c r="DO46" t="e">
        <f>#REF!+"$Cm=!$Pe"</f>
        <v>#REF!</v>
      </c>
      <c r="DP46" t="e">
        <f>#REF!+"$Cm=!$Pf"</f>
        <v>#REF!</v>
      </c>
      <c r="DQ46" t="e">
        <f>#REF!+"$Cm=!$Pg"</f>
        <v>#REF!</v>
      </c>
      <c r="DR46" t="e">
        <f>#REF!+"$Cm=!$Ph"</f>
        <v>#REF!</v>
      </c>
      <c r="DS46" t="e">
        <f>#REF!+"$Cm=!$Pi"</f>
        <v>#REF!</v>
      </c>
      <c r="DT46" t="e">
        <f>#REF!+"$Cm=!$Pj"</f>
        <v>#REF!</v>
      </c>
      <c r="DU46" t="e">
        <f>#REF!+"$Cm=!$Pk"</f>
        <v>#REF!</v>
      </c>
      <c r="DV46" t="e">
        <f>#REF!+"$Cm=!$Pl"</f>
        <v>#REF!</v>
      </c>
      <c r="DW46" t="e">
        <f>#REF!+"$Cm=!$Pm"</f>
        <v>#REF!</v>
      </c>
      <c r="DX46" t="e">
        <f>#REF!+"$Cm=!$Pn"</f>
        <v>#REF!</v>
      </c>
      <c r="DY46" t="e">
        <f>#REF!+"$Cm=!$Po"</f>
        <v>#REF!</v>
      </c>
      <c r="DZ46" t="e">
        <f>#REF!+"$Cm=!$Pp"</f>
        <v>#REF!</v>
      </c>
      <c r="EA46" t="e">
        <f>#REF!+"$Cm=!$Pq"</f>
        <v>#REF!</v>
      </c>
      <c r="EB46" t="e">
        <f>#REF!+"$Cm=!$Pr"</f>
        <v>#REF!</v>
      </c>
      <c r="EC46" t="e">
        <f>#REF!+"$Cm=!$Ps"</f>
        <v>#REF!</v>
      </c>
      <c r="ED46" t="e">
        <f>#REF!+"$Cm=!$Pt"</f>
        <v>#REF!</v>
      </c>
      <c r="EE46" t="e">
        <f>#REF!+"$Cm=!$Pu"</f>
        <v>#REF!</v>
      </c>
      <c r="EF46" t="e">
        <f>#REF!+"$Cm=!$Pv"</f>
        <v>#REF!</v>
      </c>
      <c r="EG46" t="e">
        <f>#REF!+"$Cm=!$Pw"</f>
        <v>#REF!</v>
      </c>
      <c r="EH46" t="e">
        <f>#REF!+"$Cm=!$Px"</f>
        <v>#REF!</v>
      </c>
      <c r="EI46" t="e">
        <f>#REF!+"$Cm=!$Py"</f>
        <v>#REF!</v>
      </c>
      <c r="EJ46" t="e">
        <f>#REF!+"$Cm=!$Pz"</f>
        <v>#REF!</v>
      </c>
      <c r="EK46" t="e">
        <f>#REF!+"$Cm=!$P{"</f>
        <v>#REF!</v>
      </c>
      <c r="EL46" t="e">
        <f>#REF!+"$Cm=!$P|"</f>
        <v>#REF!</v>
      </c>
      <c r="EM46" t="e">
        <f>#REF!+"$Cm=!$P}"</f>
        <v>#REF!</v>
      </c>
      <c r="EN46" t="e">
        <f>#REF!+"$Cm=!$P~"</f>
        <v>#REF!</v>
      </c>
      <c r="EO46" t="e">
        <f>#REF!+"$Cm=!$Q#"</f>
        <v>#REF!</v>
      </c>
      <c r="EP46" t="e">
        <f>#REF!+"$Cm=!$Q$"</f>
        <v>#REF!</v>
      </c>
      <c r="EQ46" t="e">
        <f>#REF!+"$Cm=!$Q%"</f>
        <v>#REF!</v>
      </c>
      <c r="ER46" t="e">
        <f>#REF!+"$Cm=!$Q&amp;"</f>
        <v>#REF!</v>
      </c>
      <c r="ES46" t="e">
        <f>#REF!+"$Cm=!$Q'"</f>
        <v>#REF!</v>
      </c>
      <c r="ET46" t="e">
        <f>#REF!+"$Cm=!$Q("</f>
        <v>#REF!</v>
      </c>
      <c r="EU46" t="e">
        <f>#REF!+"$Cm=!$Q)"</f>
        <v>#REF!</v>
      </c>
      <c r="EV46" t="e">
        <f>#REF!+"$Cm=!$Q."</f>
        <v>#REF!</v>
      </c>
      <c r="EW46" t="e">
        <f>#REF!+"$Cm=!$Q/"</f>
        <v>#REF!</v>
      </c>
      <c r="EX46" t="e">
        <f>#REF!+"$Cm=!$Q0"</f>
        <v>#REF!</v>
      </c>
      <c r="EY46" t="e">
        <f>#REF!+"$Cm=!$Q1"</f>
        <v>#REF!</v>
      </c>
      <c r="EZ46" t="e">
        <f>#REF!+"$Cm=!$Q2"</f>
        <v>#REF!</v>
      </c>
      <c r="FA46" t="e">
        <f>#REF!+"$Cm=!$Q3"</f>
        <v>#REF!</v>
      </c>
      <c r="FB46" t="e">
        <f>#REF!+"$Cm=!$Q4"</f>
        <v>#REF!</v>
      </c>
      <c r="FC46" t="e">
        <f>#REF!+"$Cm=!$Q5"</f>
        <v>#REF!</v>
      </c>
      <c r="FD46" t="e">
        <f>#REF!+"$Cm=!$Q6"</f>
        <v>#REF!</v>
      </c>
      <c r="FE46" t="e">
        <f>#REF!+"$Cm=!$Q7"</f>
        <v>#REF!</v>
      </c>
      <c r="FF46" t="e">
        <f>#REF!+"$Cm=!$Q8"</f>
        <v>#REF!</v>
      </c>
      <c r="FG46" t="e">
        <f>#REF!+"$Cm=!$Q9"</f>
        <v>#REF!</v>
      </c>
      <c r="FH46" t="e">
        <f>#REF!+"$Cm=!$Q:"</f>
        <v>#REF!</v>
      </c>
      <c r="FI46" t="e">
        <f>#REF!+"$Cm=!$Q;"</f>
        <v>#REF!</v>
      </c>
      <c r="FJ46" t="e">
        <f>#REF!+"$Cm=!$Q&lt;"</f>
        <v>#REF!</v>
      </c>
      <c r="FK46" t="e">
        <f>#REF!+"$Cm=!$Q="</f>
        <v>#REF!</v>
      </c>
      <c r="FL46" t="e">
        <f>#REF!+"$Cm=!$Q&gt;"</f>
        <v>#REF!</v>
      </c>
      <c r="FM46" t="e">
        <f>#REF!+"$Cm=!$Q?"</f>
        <v>#REF!</v>
      </c>
      <c r="FN46" t="e">
        <f>#REF!+"$Cm=!$Q@"</f>
        <v>#REF!</v>
      </c>
      <c r="FO46" t="e">
        <f>#REF!+"$Cm=!$QA"</f>
        <v>#REF!</v>
      </c>
      <c r="FP46" t="e">
        <f>#REF!+"$Cm=!$QB"</f>
        <v>#REF!</v>
      </c>
      <c r="FQ46" t="e">
        <f>#REF!+"$Cm=!$QC"</f>
        <v>#REF!</v>
      </c>
      <c r="FR46" t="e">
        <f>#REF!+"$Cm=!$QD"</f>
        <v>#REF!</v>
      </c>
      <c r="FS46" t="e">
        <f>#REF!+"$Cm=!$QE"</f>
        <v>#REF!</v>
      </c>
      <c r="FT46" t="e">
        <f>#REF!+"$Cm=!$QF"</f>
        <v>#REF!</v>
      </c>
      <c r="FU46" t="e">
        <f>#REF!+"$Cm=!$QG"</f>
        <v>#REF!</v>
      </c>
      <c r="FV46" t="e">
        <f>#REF!+"$Cm=!$QH"</f>
        <v>#REF!</v>
      </c>
      <c r="FW46" t="e">
        <f>#REF!+"$Cm=!$QI"</f>
        <v>#REF!</v>
      </c>
      <c r="FX46" t="e">
        <f>#REF!+"$Cm=!$QJ"</f>
        <v>#REF!</v>
      </c>
      <c r="FY46" t="e">
        <f>#REF!+"$Cm=!$QK"</f>
        <v>#REF!</v>
      </c>
      <c r="FZ46" t="e">
        <f>#REF!+"$Cm=!$QL"</f>
        <v>#REF!</v>
      </c>
      <c r="GA46" t="e">
        <f>#REF!+"$Cm=!$QM"</f>
        <v>#REF!</v>
      </c>
      <c r="GB46" t="e">
        <f>#REF!+"$Cm=!$QN"</f>
        <v>#REF!</v>
      </c>
      <c r="GC46" t="e">
        <f>#REF!+"$Cm=!$QO"</f>
        <v>#REF!</v>
      </c>
      <c r="GD46" t="e">
        <f>#REF!+"$Cm=!$QP"</f>
        <v>#REF!</v>
      </c>
      <c r="GE46" t="e">
        <f>#REF!+"$Cm=!$QQ"</f>
        <v>#REF!</v>
      </c>
      <c r="GF46" t="e">
        <f>#REF!+"$Cm=!$QR"</f>
        <v>#REF!</v>
      </c>
      <c r="GG46" t="e">
        <f>#REF!+"$Cm=!$QS"</f>
        <v>#REF!</v>
      </c>
      <c r="GH46" t="e">
        <f>#REF!+"$Cm=!$QT"</f>
        <v>#REF!</v>
      </c>
      <c r="GI46" t="e">
        <f>#REF!+"$Cm=!$QU"</f>
        <v>#REF!</v>
      </c>
      <c r="GJ46" t="e">
        <f>#REF!+"$Cm=!$QV"</f>
        <v>#REF!</v>
      </c>
      <c r="GK46" t="e">
        <f>#REF!+"$Cm=!$QW"</f>
        <v>#REF!</v>
      </c>
      <c r="GL46" t="e">
        <f>#REF!+"$Cm=!$QX"</f>
        <v>#REF!</v>
      </c>
      <c r="GM46" t="e">
        <f>#REF!+"$Cm=!$QY"</f>
        <v>#REF!</v>
      </c>
      <c r="GN46" t="e">
        <f>#REF!+"$Cm=!$QZ"</f>
        <v>#REF!</v>
      </c>
      <c r="GO46" t="e">
        <f>#REF!+"$Cm=!$Q["</f>
        <v>#REF!</v>
      </c>
      <c r="GP46" t="e">
        <f>#REF!+"$Cm=!$Q\"</f>
        <v>#REF!</v>
      </c>
      <c r="GQ46" t="e">
        <f>#REF!+"$Cm=!$Q]"</f>
        <v>#REF!</v>
      </c>
      <c r="GR46" t="e">
        <f>#REF!+"$Cm=!$Q^"</f>
        <v>#REF!</v>
      </c>
      <c r="GS46" t="e">
        <f>#REF!+"$Cm=!$Q_"</f>
        <v>#REF!</v>
      </c>
      <c r="GT46" t="e">
        <f>#REF!+"$Cm=!$Q`"</f>
        <v>#REF!</v>
      </c>
      <c r="GU46" t="e">
        <f>#REF!+"$Cm=!$Qa"</f>
        <v>#REF!</v>
      </c>
      <c r="GV46" t="e">
        <f>#REF!+"$Cm=!$Qb"</f>
        <v>#REF!</v>
      </c>
      <c r="GW46" t="e">
        <f>#REF!+"$Cm=!$Qc"</f>
        <v>#REF!</v>
      </c>
      <c r="GX46" t="e">
        <f>#REF!+"$Cm=!$Qd"</f>
        <v>#REF!</v>
      </c>
      <c r="GY46" t="e">
        <f>#REF!+"$Cm=!$Qe"</f>
        <v>#REF!</v>
      </c>
      <c r="GZ46" t="e">
        <f>#REF!+"$Cm=!$Qf"</f>
        <v>#REF!</v>
      </c>
      <c r="HA46" t="e">
        <f>#REF!+"$Cm=!$Qg"</f>
        <v>#REF!</v>
      </c>
      <c r="HB46" t="e">
        <f>#REF!+"$Cm=!$Qh"</f>
        <v>#REF!</v>
      </c>
      <c r="HC46" t="e">
        <f>#REF!+"$Cm=!$Qi"</f>
        <v>#REF!</v>
      </c>
      <c r="HD46" t="e">
        <f>#REF!+"$Cm=!$Qj"</f>
        <v>#REF!</v>
      </c>
      <c r="HE46" t="e">
        <f>#REF!+"$Cm=!$Qk"</f>
        <v>#REF!</v>
      </c>
      <c r="HF46" t="e">
        <f>#REF!+"$Cm=!$Ql"</f>
        <v>#REF!</v>
      </c>
      <c r="HG46" t="e">
        <f>#REF!+"$Cm=!$Qm"</f>
        <v>#REF!</v>
      </c>
      <c r="HH46" t="e">
        <f>#REF!+"$Cm=!$Qn"</f>
        <v>#REF!</v>
      </c>
      <c r="HI46" t="e">
        <f>#REF!+"$Cm=!$Qo"</f>
        <v>#REF!</v>
      </c>
      <c r="HJ46" t="e">
        <f>#REF!+"$Cm=!$Qp"</f>
        <v>#REF!</v>
      </c>
      <c r="HK46" t="e">
        <f>#REF!+"$Cm=!$Qq"</f>
        <v>#REF!</v>
      </c>
      <c r="HL46" t="e">
        <f>#REF!+"$Cm=!$Qr"</f>
        <v>#REF!</v>
      </c>
      <c r="HM46" t="e">
        <f>#REF!+"$Cm=!$Qs"</f>
        <v>#REF!</v>
      </c>
      <c r="HN46" t="e">
        <f>#REF!+"$Cm=!$Qt"</f>
        <v>#REF!</v>
      </c>
      <c r="HO46" t="e">
        <f>#REF!+"$Cm=!$Qu"</f>
        <v>#REF!</v>
      </c>
      <c r="HP46" t="e">
        <f>#REF!+"$Cm=!$Qv"</f>
        <v>#REF!</v>
      </c>
      <c r="HQ46" t="e">
        <f>#REF!+"$Cm=!$Qw"</f>
        <v>#REF!</v>
      </c>
      <c r="HR46" t="e">
        <f>#REF!+"$Cm=!$Qx"</f>
        <v>#REF!</v>
      </c>
      <c r="HS46" t="e">
        <f>#REF!+"$Cm=!$Qy"</f>
        <v>#REF!</v>
      </c>
      <c r="HT46" t="e">
        <f>#REF!+"$Cm=!$Qz"</f>
        <v>#REF!</v>
      </c>
      <c r="HU46" t="e">
        <f>#REF!+"$Cm=!$Q{"</f>
        <v>#REF!</v>
      </c>
      <c r="HV46" t="e">
        <f>#REF!+"$Cm=!$Q|"</f>
        <v>#REF!</v>
      </c>
      <c r="HW46" t="e">
        <f>#REF!+"$Cm=!$Q}"</f>
        <v>#REF!</v>
      </c>
      <c r="HX46" t="e">
        <f>#REF!+"$Cm=!$Q~"</f>
        <v>#REF!</v>
      </c>
      <c r="HY46" t="e">
        <f>#REF!+"$Cm=!$R#"</f>
        <v>#REF!</v>
      </c>
      <c r="HZ46" t="e">
        <f>#REF!+"$Cm=!$R$"</f>
        <v>#REF!</v>
      </c>
      <c r="IA46" t="e">
        <f>#REF!+"$Cm=!$R%"</f>
        <v>#REF!</v>
      </c>
      <c r="IB46" t="e">
        <f>#REF!+"$Cm=!$R&amp;"</f>
        <v>#REF!</v>
      </c>
      <c r="IC46" t="e">
        <f>#REF!+"$Cm=!$R'"</f>
        <v>#REF!</v>
      </c>
      <c r="ID46" t="e">
        <f>#REF!+"$Cm=!$R("</f>
        <v>#REF!</v>
      </c>
      <c r="IE46" t="e">
        <f>#REF!+"$Cm=!$R)"</f>
        <v>#REF!</v>
      </c>
      <c r="IF46" t="e">
        <f>#REF!+"$Cm=!$R."</f>
        <v>#REF!</v>
      </c>
      <c r="IG46" t="e">
        <f>#REF!+"$Cm=!$R/"</f>
        <v>#REF!</v>
      </c>
      <c r="IH46" t="e">
        <f>#REF!+"$Cm=!$R0"</f>
        <v>#REF!</v>
      </c>
      <c r="II46" t="e">
        <f>#REF!+"$Cm=!$R1"</f>
        <v>#REF!</v>
      </c>
      <c r="IJ46" t="e">
        <f>#REF!+"$Cm=!$R2"</f>
        <v>#REF!</v>
      </c>
      <c r="IK46" t="e">
        <f>#REF!+"$Cm=!$R3"</f>
        <v>#REF!</v>
      </c>
      <c r="IL46" t="e">
        <f>#REF!+"$Cm=!$R4"</f>
        <v>#REF!</v>
      </c>
      <c r="IM46" t="e">
        <f>#REF!+"$Cm=!$R5"</f>
        <v>#REF!</v>
      </c>
      <c r="IN46" t="e">
        <f>#REF!+"$Cm=!$R6"</f>
        <v>#REF!</v>
      </c>
      <c r="IO46" t="e">
        <f>#REF!+"$Cm=!$R7"</f>
        <v>#REF!</v>
      </c>
      <c r="IP46" t="e">
        <f>#REF!+"$Cm=!$R8"</f>
        <v>#REF!</v>
      </c>
      <c r="IQ46" t="e">
        <f>#REF!+"$Cm=!$R9"</f>
        <v>#REF!</v>
      </c>
      <c r="IR46" t="e">
        <f>#REF!+"$Cm=!$R:"</f>
        <v>#REF!</v>
      </c>
      <c r="IS46" t="e">
        <f>#REF!+"$Cm=!$R;"</f>
        <v>#REF!</v>
      </c>
      <c r="IT46" t="e">
        <f>#REF!+"$Cm=!$R&lt;"</f>
        <v>#REF!</v>
      </c>
      <c r="IU46" t="e">
        <f>#REF!+"$Cm=!$R="</f>
        <v>#REF!</v>
      </c>
      <c r="IV46" t="e">
        <f>#REF!+"$Cm=!$R&gt;"</f>
        <v>#REF!</v>
      </c>
    </row>
    <row r="47" spans="6:256">
      <c r="F47" t="e">
        <f>#REF!+"$Cm=!$R?"</f>
        <v>#REF!</v>
      </c>
      <c r="G47" t="e">
        <f>#REF!+"$Cm=!$R@"</f>
        <v>#REF!</v>
      </c>
      <c r="H47" t="e">
        <f>#REF!+"$Cm=!$RA"</f>
        <v>#REF!</v>
      </c>
      <c r="I47" t="e">
        <f>#REF!+"$Cm=!$RB"</f>
        <v>#REF!</v>
      </c>
      <c r="J47" t="e">
        <f>#REF!+"$Cm=!$RC"</f>
        <v>#REF!</v>
      </c>
      <c r="K47" t="e">
        <f>#REF!+"$Cm=!$RD"</f>
        <v>#REF!</v>
      </c>
      <c r="L47" t="e">
        <f>#REF!+"$Cm=!$RE"</f>
        <v>#REF!</v>
      </c>
      <c r="M47" t="e">
        <f>#REF!+"$Cm=!$RF"</f>
        <v>#REF!</v>
      </c>
      <c r="N47" t="e">
        <f>#REF!+"$Cm=!$RG"</f>
        <v>#REF!</v>
      </c>
      <c r="O47" t="e">
        <f>#REF!+"$Cm=!$RH"</f>
        <v>#REF!</v>
      </c>
      <c r="P47" t="e">
        <f>#REF!+"$Cm=!$RI"</f>
        <v>#REF!</v>
      </c>
      <c r="Q47" t="e">
        <f>#REF!+"$Cm=!$RJ"</f>
        <v>#REF!</v>
      </c>
      <c r="R47" t="e">
        <f>#REF!+"$Cm=!$RK"</f>
        <v>#REF!</v>
      </c>
      <c r="S47" t="e">
        <f>#REF!+"$Cm=!$RL"</f>
        <v>#REF!</v>
      </c>
      <c r="T47" t="e">
        <f>#REF!+"$Cm=!$RM"</f>
        <v>#REF!</v>
      </c>
      <c r="U47" t="e">
        <f>#REF!+"$Cm=!$RN"</f>
        <v>#REF!</v>
      </c>
      <c r="V47" t="e">
        <f>#REF!+"$Cm=!$RO"</f>
        <v>#REF!</v>
      </c>
      <c r="W47" t="e">
        <f>#REF!+"$Cm=!$RP"</f>
        <v>#REF!</v>
      </c>
      <c r="X47" t="e">
        <f>#REF!+"$Cm=!$RQ"</f>
        <v>#REF!</v>
      </c>
      <c r="Y47" t="e">
        <f>#REF!+"$Cm=!$RR"</f>
        <v>#REF!</v>
      </c>
      <c r="Z47" t="e">
        <f>#REF!+"$Cm=!$RS"</f>
        <v>#REF!</v>
      </c>
      <c r="AA47" t="e">
        <f>#REF!+"$Cm=!$RT"</f>
        <v>#REF!</v>
      </c>
      <c r="AB47" t="e">
        <f>#REF!+"$Cm=!$RU"</f>
        <v>#REF!</v>
      </c>
      <c r="AC47" t="e">
        <f>#REF!+"$Cm=!$RV"</f>
        <v>#REF!</v>
      </c>
      <c r="AD47" t="e">
        <f>#REF!+"$Cm=!$RW"</f>
        <v>#REF!</v>
      </c>
      <c r="AE47" t="e">
        <f>#REF!+"$Cm=!$RX"</f>
        <v>#REF!</v>
      </c>
      <c r="AF47" t="e">
        <f>#REF!+"$Cm=!$RY"</f>
        <v>#REF!</v>
      </c>
      <c r="AG47" t="e">
        <f>#REF!+"$Cm=!$RZ"</f>
        <v>#REF!</v>
      </c>
      <c r="AH47" t="e">
        <f>#REF!+"$Cm=!$R["</f>
        <v>#REF!</v>
      </c>
      <c r="AI47" t="e">
        <f>#REF!+"$Cm=!$R\"</f>
        <v>#REF!</v>
      </c>
      <c r="AJ47" t="e">
        <f>#REF!+"$Cm=!$R]"</f>
        <v>#REF!</v>
      </c>
      <c r="AK47" t="e">
        <f>#REF!+"$Cm=!$R^"</f>
        <v>#REF!</v>
      </c>
      <c r="AL47" t="e">
        <f>#REF!+"$Cm=!$R_"</f>
        <v>#REF!</v>
      </c>
      <c r="AM47" t="e">
        <f>#REF!+"$Cm=!$R`"</f>
        <v>#REF!</v>
      </c>
      <c r="AN47" t="e">
        <f>#REF!+"$Cm=!$Ra"</f>
        <v>#REF!</v>
      </c>
      <c r="AO47" t="e">
        <f>#REF!+"$Cm=!$Rb"</f>
        <v>#REF!</v>
      </c>
      <c r="AP47" t="e">
        <f>#REF!+"$Cm=!$Rc"</f>
        <v>#REF!</v>
      </c>
      <c r="AQ47" t="e">
        <f>#REF!+"$Cm=!$Rd"</f>
        <v>#REF!</v>
      </c>
      <c r="AR47" t="e">
        <f>#REF!+"$Cm=!$Re"</f>
        <v>#REF!</v>
      </c>
      <c r="AS47" t="e">
        <f>#REF!+"$Cm=!$Rf"</f>
        <v>#REF!</v>
      </c>
      <c r="AT47" t="e">
        <f>#REF!+"$Cm=!$Rg"</f>
        <v>#REF!</v>
      </c>
      <c r="AU47" t="e">
        <f>#REF!+"$Cm=!$Rh"</f>
        <v>#REF!</v>
      </c>
      <c r="AV47" t="e">
        <f>#REF!+"$Cm=!$Ri"</f>
        <v>#REF!</v>
      </c>
      <c r="AW47" t="e">
        <f>#REF!+"$Cm=!$Rj"</f>
        <v>#REF!</v>
      </c>
      <c r="AX47" t="e">
        <f>#REF!+"$Cm=!$Rk"</f>
        <v>#REF!</v>
      </c>
      <c r="AY47" t="e">
        <f>#REF!+"$Cm=!$Rl"</f>
        <v>#REF!</v>
      </c>
      <c r="AZ47" t="e">
        <f>#REF!+"$Cm=!$Rm"</f>
        <v>#REF!</v>
      </c>
      <c r="BA47" t="e">
        <f>#REF!+"$Cm=!$Rn"</f>
        <v>#REF!</v>
      </c>
      <c r="BB47" t="e">
        <f>#REF!+"$Cm=!$Ro"</f>
        <v>#REF!</v>
      </c>
      <c r="BC47" t="e">
        <f>#REF!+"$Cm=!$Rp"</f>
        <v>#REF!</v>
      </c>
      <c r="BD47" t="e">
        <f>#REF!+"$Cm=!$Rq"</f>
        <v>#REF!</v>
      </c>
      <c r="BE47" t="e">
        <f>#REF!+"$Cm=!$Rr"</f>
        <v>#REF!</v>
      </c>
      <c r="BF47" t="e">
        <f>#REF!+"$Cm=!$Rs"</f>
        <v>#REF!</v>
      </c>
      <c r="BG47" t="e">
        <f>#REF!+"$Cm=!$Rt"</f>
        <v>#REF!</v>
      </c>
      <c r="BH47" t="e">
        <f>#REF!+"$Cm=!$Ru"</f>
        <v>#REF!</v>
      </c>
      <c r="BI47" t="e">
        <f>#REF!+"$Cm=!$Rv"</f>
        <v>#REF!</v>
      </c>
      <c r="BJ47" t="e">
        <f>#REF!+"$Cm=!$Rw"</f>
        <v>#REF!</v>
      </c>
      <c r="BK47" t="e">
        <f>#REF!+"$Cm=!$Rx"</f>
        <v>#REF!</v>
      </c>
      <c r="BL47" t="e">
        <f>#REF!+"$Cm=!$Ry"</f>
        <v>#REF!</v>
      </c>
      <c r="BM47" t="e">
        <f>#REF!+"$Cm=!$Rz"</f>
        <v>#REF!</v>
      </c>
      <c r="BN47" t="e">
        <f>#REF!+"$Cm=!$R{"</f>
        <v>#REF!</v>
      </c>
      <c r="BO47" t="e">
        <f>#REF!+"$Cm=!$R|"</f>
        <v>#REF!</v>
      </c>
      <c r="BP47" t="e">
        <f>#REF!+"$Cm=!$R}"</f>
        <v>#REF!</v>
      </c>
      <c r="BQ47" t="e">
        <f>#REF!+"$Cm=!$R~"</f>
        <v>#REF!</v>
      </c>
      <c r="BR47" t="e">
        <f>#REF!+"$Cm=!$S#"</f>
        <v>#REF!</v>
      </c>
      <c r="BS47" t="e">
        <f>#REF!+"$Cm=!$S$"</f>
        <v>#REF!</v>
      </c>
      <c r="BT47" t="e">
        <f>#REF!+"$Cm=!$S%"</f>
        <v>#REF!</v>
      </c>
      <c r="BU47" t="e">
        <f>#REF!+"$Cm=!$S&amp;"</f>
        <v>#REF!</v>
      </c>
      <c r="BV47" t="e">
        <f>#REF!+"$Cm=!$S'"</f>
        <v>#REF!</v>
      </c>
      <c r="BW47" t="e">
        <f>#REF!+"$Cm=!$S("</f>
        <v>#REF!</v>
      </c>
      <c r="BX47" t="e">
        <f>#REF!+"$Cm=!$S)"</f>
        <v>#REF!</v>
      </c>
      <c r="BY47" t="e">
        <f>#REF!+"$Cm=!$S."</f>
        <v>#REF!</v>
      </c>
      <c r="BZ47" t="e">
        <f>#REF!+"$Cm=!$S/"</f>
        <v>#REF!</v>
      </c>
      <c r="CA47" t="e">
        <f>#REF!+"$Cm=!$S0"</f>
        <v>#REF!</v>
      </c>
      <c r="CB47" t="e">
        <f>#REF!+"$Cm=!$S1"</f>
        <v>#REF!</v>
      </c>
      <c r="CC47" t="e">
        <f>#REF!+"$Cm=!$S2"</f>
        <v>#REF!</v>
      </c>
      <c r="CD47" t="e">
        <f>#REF!+"$Cm=!$S3"</f>
        <v>#REF!</v>
      </c>
      <c r="CE47" t="e">
        <f>#REF!+"$Cm=!$S4"</f>
        <v>#REF!</v>
      </c>
      <c r="CF47" t="e">
        <f>#REF!+"$Cm=!$S5"</f>
        <v>#REF!</v>
      </c>
      <c r="CG47" t="e">
        <f>#REF!+"$Cm=!$S6"</f>
        <v>#REF!</v>
      </c>
      <c r="CH47" t="e">
        <f>#REF!+"$Cm=!$S7"</f>
        <v>#REF!</v>
      </c>
      <c r="CI47" t="e">
        <f>#REF!+"$Cm=!$S8"</f>
        <v>#REF!</v>
      </c>
      <c r="CJ47" t="e">
        <f>#REF!+"$Cm=!$S9"</f>
        <v>#REF!</v>
      </c>
      <c r="CK47" t="e">
        <f>#REF!+"$Cm=!$S:"</f>
        <v>#REF!</v>
      </c>
      <c r="CL47" t="e">
        <f>#REF!+"$Cm=!$S;"</f>
        <v>#REF!</v>
      </c>
      <c r="CM47" t="e">
        <f>#REF!+"$Cm=!$S&lt;"</f>
        <v>#REF!</v>
      </c>
      <c r="CN47" t="e">
        <f>#REF!+"$Cm=!$S="</f>
        <v>#REF!</v>
      </c>
      <c r="CO47" t="e">
        <f>#REF!+"$Cm=!$S&gt;"</f>
        <v>#REF!</v>
      </c>
      <c r="CP47" t="e">
        <f>#REF!+"$Cm=!$S?"</f>
        <v>#REF!</v>
      </c>
      <c r="CQ47" t="e">
        <f>#REF!+"$Cm=!$S@"</f>
        <v>#REF!</v>
      </c>
      <c r="CR47" t="e">
        <f>#REF!+"$Cm=!$SA"</f>
        <v>#REF!</v>
      </c>
      <c r="CS47" t="e">
        <f>#REF!+"$Cm=!$SB"</f>
        <v>#REF!</v>
      </c>
      <c r="CT47" t="e">
        <f>#REF!+"$Cm=!$SC"</f>
        <v>#REF!</v>
      </c>
      <c r="CU47" t="e">
        <f>#REF!+"$Cm=!$SD"</f>
        <v>#REF!</v>
      </c>
      <c r="CV47" t="e">
        <f>#REF!+"$Cm=!$SE"</f>
        <v>#REF!</v>
      </c>
      <c r="CW47" t="e">
        <f>#REF!+"$Cm=!$SF"</f>
        <v>#REF!</v>
      </c>
      <c r="CX47" t="e">
        <f>#REF!+"$Cm=!$SG"</f>
        <v>#REF!</v>
      </c>
      <c r="CY47" t="e">
        <f>#REF!+"$Cm=!$SH"</f>
        <v>#REF!</v>
      </c>
      <c r="CZ47" t="e">
        <f>#REF!+"$Cm=!$SI"</f>
        <v>#REF!</v>
      </c>
      <c r="DA47" t="e">
        <f>#REF!+"$Cm=!$SJ"</f>
        <v>#REF!</v>
      </c>
      <c r="DB47" t="e">
        <f>#REF!+"$Cm=!$SK"</f>
        <v>#REF!</v>
      </c>
      <c r="DC47" t="e">
        <f>#REF!+"$Cm=!$SL"</f>
        <v>#REF!</v>
      </c>
      <c r="DD47" t="e">
        <f>#REF!+"$Cm=!$SM"</f>
        <v>#REF!</v>
      </c>
      <c r="DE47" t="e">
        <f>#REF!+"$Cm=!$SN"</f>
        <v>#REF!</v>
      </c>
      <c r="DF47" t="e">
        <f>#REF!+"$Cm=!$SO"</f>
        <v>#REF!</v>
      </c>
      <c r="DG47" t="e">
        <f>#REF!+"$Cm=!$SP"</f>
        <v>#REF!</v>
      </c>
      <c r="DH47" t="e">
        <f>#REF!+"$Cm=!$SQ"</f>
        <v>#REF!</v>
      </c>
      <c r="DI47" t="e">
        <f>#REF!+"$Cm=!$SR"</f>
        <v>#REF!</v>
      </c>
      <c r="DJ47" t="e">
        <f>#REF!+"$Cm=!$SS"</f>
        <v>#REF!</v>
      </c>
      <c r="DK47" t="e">
        <f>#REF!+"$Cm=!$ST"</f>
        <v>#REF!</v>
      </c>
      <c r="DL47" t="e">
        <f>#REF!+"$Cm=!$SU"</f>
        <v>#REF!</v>
      </c>
      <c r="DM47" t="e">
        <f>#REF!+"$Cm=!$SV"</f>
        <v>#REF!</v>
      </c>
      <c r="DN47" t="e">
        <f>#REF!+"$Cm=!$SW"</f>
        <v>#REF!</v>
      </c>
      <c r="DO47" t="e">
        <f>#REF!+"$Cm=!$SX"</f>
        <v>#REF!</v>
      </c>
      <c r="DP47" t="e">
        <f>#REF!+"$Cm=!$SY"</f>
        <v>#REF!</v>
      </c>
      <c r="DQ47" t="e">
        <f>#REF!+"$Cm=!$SZ"</f>
        <v>#REF!</v>
      </c>
      <c r="DR47" t="e">
        <f>#REF!+"$Cm=!$S["</f>
        <v>#REF!</v>
      </c>
      <c r="DS47" t="e">
        <f>#REF!+"$Cm=!$S\"</f>
        <v>#REF!</v>
      </c>
      <c r="DT47" t="e">
        <f>#REF!+"$Cm=!$S]"</f>
        <v>#REF!</v>
      </c>
      <c r="DU47" t="e">
        <f>#REF!+"$Cm=!$S^"</f>
        <v>#REF!</v>
      </c>
      <c r="DV47" t="e">
        <f>#REF!+"$Cm=!$S_"</f>
        <v>#REF!</v>
      </c>
      <c r="DW47" t="e">
        <f>#REF!+"$Cm=!$S`"</f>
        <v>#REF!</v>
      </c>
      <c r="DX47" t="e">
        <f>#REF!+"$Cm=!$Sa"</f>
        <v>#REF!</v>
      </c>
      <c r="DY47" t="e">
        <f>#REF!+"$Cm=!$Sb"</f>
        <v>#REF!</v>
      </c>
      <c r="DZ47" t="e">
        <f>#REF!+"$Cm=!$Sc"</f>
        <v>#REF!</v>
      </c>
      <c r="EA47" t="e">
        <f>#REF!+"$Cm=!$Sd"</f>
        <v>#REF!</v>
      </c>
      <c r="EB47" t="e">
        <f>#REF!+"$Cm=!$Se"</f>
        <v>#REF!</v>
      </c>
      <c r="EC47" t="e">
        <f>#REF!+"$Cm=!$Sf"</f>
        <v>#REF!</v>
      </c>
      <c r="ED47" t="e">
        <f>#REF!+"$Cm=!$Sg"</f>
        <v>#REF!</v>
      </c>
      <c r="EE47" t="e">
        <f>#REF!+"$Cm=!$Sh"</f>
        <v>#REF!</v>
      </c>
      <c r="EF47" t="e">
        <f>#REF!+"$Cm=!$Si"</f>
        <v>#REF!</v>
      </c>
      <c r="EG47" t="e">
        <f>#REF!+"$Cm=!$Sj"</f>
        <v>#REF!</v>
      </c>
      <c r="EH47" t="e">
        <f>#REF!+"$Cm=!$Sk"</f>
        <v>#REF!</v>
      </c>
      <c r="EI47" t="e">
        <f>#REF!+"$Cm=!$Sl"</f>
        <v>#REF!</v>
      </c>
      <c r="EJ47" t="e">
        <f>#REF!+"$Cm=!$Sm"</f>
        <v>#REF!</v>
      </c>
      <c r="EK47" t="e">
        <f>#REF!+"$Cm=!$Sn"</f>
        <v>#REF!</v>
      </c>
      <c r="EL47" t="e">
        <f>#REF!+"$Cm=!$So"</f>
        <v>#REF!</v>
      </c>
      <c r="EM47" t="e">
        <f>#REF!+"$Cm=!$Sp"</f>
        <v>#REF!</v>
      </c>
      <c r="EN47" t="e">
        <f>#REF!+"$Cm=!$Sq"</f>
        <v>#REF!</v>
      </c>
      <c r="EO47" t="e">
        <f>#REF!+"$Cm=!$Sr"</f>
        <v>#REF!</v>
      </c>
      <c r="EP47" t="e">
        <f>#REF!+"$Cm=!$Ss"</f>
        <v>#REF!</v>
      </c>
      <c r="EQ47" t="e">
        <f>#REF!+"$Cm=!$St"</f>
        <v>#REF!</v>
      </c>
      <c r="ER47" t="e">
        <f>#REF!+"$Cm=!$Su"</f>
        <v>#REF!</v>
      </c>
      <c r="ES47" t="e">
        <f>#REF!+"$Cm=!$Sv"</f>
        <v>#REF!</v>
      </c>
      <c r="ET47" t="e">
        <f>#REF!+"$Cm=!$Sw"</f>
        <v>#REF!</v>
      </c>
      <c r="EU47" t="e">
        <f>#REF!+"$Cm=!$Sx"</f>
        <v>#REF!</v>
      </c>
      <c r="EV47" t="e">
        <f>#REF!+"$Cm=!$Sy"</f>
        <v>#REF!</v>
      </c>
      <c r="EW47" t="e">
        <f>#REF!+"$Cm=!$Sz"</f>
        <v>#REF!</v>
      </c>
      <c r="EX47" t="e">
        <f>#REF!+"$Cm=!$S{"</f>
        <v>#REF!</v>
      </c>
      <c r="EY47" t="e">
        <f>#REF!+"$Cm=!$S|"</f>
        <v>#REF!</v>
      </c>
      <c r="EZ47" t="e">
        <f>#REF!+"$Cm=!$S}"</f>
        <v>#REF!</v>
      </c>
      <c r="FA47" t="e">
        <f>#REF!+"$Cm=!$S~"</f>
        <v>#REF!</v>
      </c>
      <c r="FB47" t="e">
        <f>#REF!+"$Cm=!$T#"</f>
        <v>#REF!</v>
      </c>
      <c r="FC47" t="e">
        <f>#REF!+"$Cm=!$T$"</f>
        <v>#REF!</v>
      </c>
      <c r="FD47" t="e">
        <f>#REF!+"$Cm=!$T%"</f>
        <v>#REF!</v>
      </c>
      <c r="FE47" t="e">
        <f>#REF!+"$Cm=!$T&amp;"</f>
        <v>#REF!</v>
      </c>
      <c r="FF47" t="e">
        <f>#REF!+"$Cm=!$T'"</f>
        <v>#REF!</v>
      </c>
      <c r="FG47" t="e">
        <f>#REF!+"$Cm=!$T("</f>
        <v>#REF!</v>
      </c>
      <c r="FH47" t="e">
        <f>#REF!+"$Cm=!$T)"</f>
        <v>#REF!</v>
      </c>
      <c r="FI47" t="e">
        <f>#REF!+"$Cm=!$T."</f>
        <v>#REF!</v>
      </c>
      <c r="FJ47" t="e">
        <f>#REF!+"$Cm=!$T/"</f>
        <v>#REF!</v>
      </c>
      <c r="FK47" t="e">
        <f>#REF!+"$Cm=!$T0"</f>
        <v>#REF!</v>
      </c>
      <c r="FL47" t="e">
        <f>#REF!+"$Cm=!$T1"</f>
        <v>#REF!</v>
      </c>
      <c r="FM47" t="e">
        <f>#REF!+"$Cm=!$T2"</f>
        <v>#REF!</v>
      </c>
      <c r="FN47" t="e">
        <f>#REF!+"$Cm=!$T3"</f>
        <v>#REF!</v>
      </c>
      <c r="FO47" t="e">
        <f>#REF!+"$Cm=!$T4"</f>
        <v>#REF!</v>
      </c>
      <c r="FP47" t="e">
        <f>#REF!+"$Cm=!$T5"</f>
        <v>#REF!</v>
      </c>
      <c r="FQ47" t="e">
        <f>#REF!+"$Cm=!$T6"</f>
        <v>#REF!</v>
      </c>
      <c r="FR47" t="e">
        <f>#REF!+"$Cm=!$T7"</f>
        <v>#REF!</v>
      </c>
      <c r="FS47" t="e">
        <f>#REF!+"$Cm=!$T8"</f>
        <v>#REF!</v>
      </c>
      <c r="FT47" t="e">
        <f>#REF!+"$Cm=!$T9"</f>
        <v>#REF!</v>
      </c>
      <c r="FU47" t="e">
        <f>#REF!+"$Cm=!$T:"</f>
        <v>#REF!</v>
      </c>
      <c r="FV47" t="e">
        <f>#REF!+"$Cm=!$T;"</f>
        <v>#REF!</v>
      </c>
      <c r="FW47" t="e">
        <f>#REF!+"$Cm=!$T&lt;"</f>
        <v>#REF!</v>
      </c>
      <c r="FX47" t="e">
        <f>#REF!+"$Cm=!$T="</f>
        <v>#REF!</v>
      </c>
      <c r="FY47" t="e">
        <f>#REF!+"$Cm=!$T&gt;"</f>
        <v>#REF!</v>
      </c>
      <c r="FZ47" t="e">
        <f>#REF!+"$Cm=!$T?"</f>
        <v>#REF!</v>
      </c>
      <c r="GA47" t="e">
        <f>#REF!+"$Cm=!$T@"</f>
        <v>#REF!</v>
      </c>
      <c r="GB47" t="e">
        <f>#REF!+"$Cm=!$TA"</f>
        <v>#REF!</v>
      </c>
      <c r="GC47" t="e">
        <f>#REF!+"$Cm=!$TB"</f>
        <v>#REF!</v>
      </c>
      <c r="GD47" t="e">
        <f>#REF!+"$Cm=!$TC"</f>
        <v>#REF!</v>
      </c>
      <c r="GE47" t="e">
        <f>#REF!+"$Cm=!$TD"</f>
        <v>#REF!</v>
      </c>
      <c r="GF47" t="e">
        <f>#REF!+"$Cm=!$TE"</f>
        <v>#REF!</v>
      </c>
      <c r="GG47" t="e">
        <f>#REF!+"$Cm=!$TF"</f>
        <v>#REF!</v>
      </c>
      <c r="GH47" t="e">
        <f>#REF!+"$Cm=!$TG"</f>
        <v>#REF!</v>
      </c>
      <c r="GI47" t="e">
        <f>#REF!+"$Cm=!$TH"</f>
        <v>#REF!</v>
      </c>
      <c r="GJ47" t="e">
        <f>#REF!+"$Cm=!$TI"</f>
        <v>#REF!</v>
      </c>
      <c r="GK47" t="e">
        <f>#REF!+"$Cm=!$TJ"</f>
        <v>#REF!</v>
      </c>
      <c r="GL47" t="e">
        <f>#REF!+"$Cm=!$TK"</f>
        <v>#REF!</v>
      </c>
      <c r="GM47" t="e">
        <f>#REF!+"$Cm=!$TL"</f>
        <v>#REF!</v>
      </c>
      <c r="GN47" t="e">
        <f>#REF!+"$Cm=!$TM"</f>
        <v>#REF!</v>
      </c>
      <c r="GO47" t="e">
        <f>#REF!+"$Cm=!$TN"</f>
        <v>#REF!</v>
      </c>
      <c r="GP47" t="e">
        <f>#REF!+"$Cm=!$TO"</f>
        <v>#REF!</v>
      </c>
      <c r="GQ47" t="e">
        <f>#REF!+"$Cm=!$TP"</f>
        <v>#REF!</v>
      </c>
      <c r="GR47" t="e">
        <f>#REF!+"$Cm=!$TQ"</f>
        <v>#REF!</v>
      </c>
      <c r="GS47" t="e">
        <f>#REF!+"$Cm=!$TR"</f>
        <v>#REF!</v>
      </c>
      <c r="GT47" t="e">
        <f>#REF!+"$Cm=!$TS"</f>
        <v>#REF!</v>
      </c>
      <c r="GU47" t="e">
        <f>#REF!+"$Cm=!$TT"</f>
        <v>#REF!</v>
      </c>
      <c r="GV47" t="e">
        <f>#REF!+"$Cm=!$TU"</f>
        <v>#REF!</v>
      </c>
      <c r="GW47" t="e">
        <f>#REF!+"$Cm=!$TV"</f>
        <v>#REF!</v>
      </c>
      <c r="GX47" t="e">
        <f>#REF!+"$Cm=!$TW"</f>
        <v>#REF!</v>
      </c>
      <c r="GY47" t="e">
        <f>#REF!+"$Cm=!$TX"</f>
        <v>#REF!</v>
      </c>
      <c r="GZ47" t="e">
        <f>#REF!+"$Cm=!$TY"</f>
        <v>#REF!</v>
      </c>
      <c r="HA47" t="e">
        <f>#REF!+"$Cm=!$TZ"</f>
        <v>#REF!</v>
      </c>
      <c r="HB47" t="e">
        <f>#REF!+"$Cm=!$T["</f>
        <v>#REF!</v>
      </c>
      <c r="HC47" t="e">
        <f>#REF!+"$Cm=!$T\"</f>
        <v>#REF!</v>
      </c>
      <c r="HD47" t="e">
        <f>#REF!+"$Cm=!$T]"</f>
        <v>#REF!</v>
      </c>
      <c r="HE47" t="e">
        <f>#REF!+"$Cm=!$T^"</f>
        <v>#REF!</v>
      </c>
      <c r="HF47" t="e">
        <f>#REF!+"$Cm=!$T_"</f>
        <v>#REF!</v>
      </c>
      <c r="HG47" t="e">
        <f>#REF!+"$Cm=!$T`"</f>
        <v>#REF!</v>
      </c>
      <c r="HH47" t="e">
        <f>#REF!+"$Cm=!$Ta"</f>
        <v>#REF!</v>
      </c>
      <c r="HI47" t="e">
        <f>#REF!+"$Cm=!$Tb"</f>
        <v>#REF!</v>
      </c>
      <c r="HJ47" t="e">
        <f>#REF!+"$Cm=!$Tc"</f>
        <v>#REF!</v>
      </c>
      <c r="HK47" t="e">
        <f>#REF!+"$Cm=!$Td"</f>
        <v>#REF!</v>
      </c>
      <c r="HL47" t="e">
        <f>#REF!+"$Cm=!$Te"</f>
        <v>#REF!</v>
      </c>
      <c r="HM47" t="e">
        <f>#REF!+"$Cm=!$Tf"</f>
        <v>#REF!</v>
      </c>
      <c r="HN47" t="e">
        <f>#REF!+"$Cm=!$Tg"</f>
        <v>#REF!</v>
      </c>
      <c r="HO47" t="e">
        <f>#REF!+"$Cm=!$Th"</f>
        <v>#REF!</v>
      </c>
      <c r="HP47" t="e">
        <f>#REF!+"$Cm=!$Ti"</f>
        <v>#REF!</v>
      </c>
      <c r="HQ47" t="e">
        <f>#REF!+"$Cm=!$Tj"</f>
        <v>#REF!</v>
      </c>
      <c r="HR47" t="e">
        <f>#REF!+"$Cm=!$Tk"</f>
        <v>#REF!</v>
      </c>
      <c r="HS47" t="e">
        <f>#REF!+"$Cm=!$Tl"</f>
        <v>#REF!</v>
      </c>
      <c r="HT47" t="e">
        <f>#REF!+"$Cm=!$Tm"</f>
        <v>#REF!</v>
      </c>
      <c r="HU47" t="e">
        <f>#REF!+"$Cm=!$Tn"</f>
        <v>#REF!</v>
      </c>
      <c r="HV47" t="e">
        <f>#REF!+"$Cm=!$To"</f>
        <v>#REF!</v>
      </c>
      <c r="HW47" t="e">
        <f>#REF!+"$Cm=!$Tp"</f>
        <v>#REF!</v>
      </c>
      <c r="HX47" t="e">
        <f>#REF!+"$Cm=!$Tq"</f>
        <v>#REF!</v>
      </c>
      <c r="HY47" t="e">
        <f>#REF!+"$Cm=!$Tr"</f>
        <v>#REF!</v>
      </c>
      <c r="HZ47" t="e">
        <f>#REF!+"$Cm=!$Ts"</f>
        <v>#REF!</v>
      </c>
      <c r="IA47" t="e">
        <f>#REF!+"$Cm=!$Tt"</f>
        <v>#REF!</v>
      </c>
      <c r="IB47" t="e">
        <f>#REF!+"$Cm=!$Tu"</f>
        <v>#REF!</v>
      </c>
      <c r="IC47" t="e">
        <f>#REF!+"$Cm=!$Tv"</f>
        <v>#REF!</v>
      </c>
      <c r="ID47" t="e">
        <f>#REF!+"$Cm=!$Tw"</f>
        <v>#REF!</v>
      </c>
      <c r="IE47" t="e">
        <f>#REF!+"$Cm=!$Tx"</f>
        <v>#REF!</v>
      </c>
      <c r="IF47" t="e">
        <f>#REF!+"$Cm=!$Ty"</f>
        <v>#REF!</v>
      </c>
      <c r="IG47" t="e">
        <f>#REF!+"$Cm=!$Tz"</f>
        <v>#REF!</v>
      </c>
      <c r="IH47" t="e">
        <f>#REF!+"$Cm=!$T{"</f>
        <v>#REF!</v>
      </c>
      <c r="II47" t="e">
        <f>#REF!+"$Cm=!$T|"</f>
        <v>#REF!</v>
      </c>
      <c r="IJ47" t="e">
        <f>#REF!+"$Cm=!$T}"</f>
        <v>#REF!</v>
      </c>
      <c r="IK47" t="e">
        <f>#REF!+"$Cm=!$T~"</f>
        <v>#REF!</v>
      </c>
      <c r="IL47" t="e">
        <f>#REF!+"$Cm=!$U#"</f>
        <v>#REF!</v>
      </c>
      <c r="IM47" t="e">
        <f>#REF!+"$Cm=!$U$"</f>
        <v>#REF!</v>
      </c>
      <c r="IN47" t="e">
        <f>#REF!+"$Cm=!$U%"</f>
        <v>#REF!</v>
      </c>
      <c r="IO47" t="e">
        <f>#REF!+"$Cm=!$U&amp;"</f>
        <v>#REF!</v>
      </c>
      <c r="IP47" t="e">
        <f>#REF!+"$Cm=!$U'"</f>
        <v>#REF!</v>
      </c>
      <c r="IQ47" t="e">
        <f>#REF!+"$Cm=!$U("</f>
        <v>#REF!</v>
      </c>
      <c r="IR47" t="e">
        <f>#REF!+"$Cm=!$U)"</f>
        <v>#REF!</v>
      </c>
      <c r="IS47" t="e">
        <f>#REF!+"$Cm=!$U."</f>
        <v>#REF!</v>
      </c>
      <c r="IT47" t="e">
        <f>#REF!+"$Cm=!$U/"</f>
        <v>#REF!</v>
      </c>
      <c r="IU47" t="e">
        <f>#REF!+"$Cm=!$U0"</f>
        <v>#REF!</v>
      </c>
      <c r="IV47" t="e">
        <f>#REF!+"$Cm=!$U1"</f>
        <v>#REF!</v>
      </c>
    </row>
    <row r="48" spans="6:256">
      <c r="F48" t="e">
        <f>#REF!+"$Cm=!$U2"</f>
        <v>#REF!</v>
      </c>
      <c r="G48" t="e">
        <f>#REF!+"$Cm=!$U3"</f>
        <v>#REF!</v>
      </c>
      <c r="H48" t="e">
        <f>#REF!+"$Cm=!$U4"</f>
        <v>#REF!</v>
      </c>
      <c r="I48" t="e">
        <f>#REF!+"$Cm=!$U5"</f>
        <v>#REF!</v>
      </c>
      <c r="J48" t="e">
        <f>#REF!+"$Cm=!$U6"</f>
        <v>#REF!</v>
      </c>
      <c r="K48" t="e">
        <f>#REF!+"$Cm=!$U7"</f>
        <v>#REF!</v>
      </c>
      <c r="L48" t="e">
        <f>#REF!+"$Cm=!$U8"</f>
        <v>#REF!</v>
      </c>
      <c r="M48" t="e">
        <f>#REF!+"$Cm=!$U9"</f>
        <v>#REF!</v>
      </c>
      <c r="N48" t="e">
        <f>#REF!+"$Cm=!$U:"</f>
        <v>#REF!</v>
      </c>
      <c r="O48" t="e">
        <f>#REF!+"$Cm=!$U;"</f>
        <v>#REF!</v>
      </c>
      <c r="P48" t="e">
        <f>#REF!+"$Cm=!$U&lt;"</f>
        <v>#REF!</v>
      </c>
      <c r="Q48" t="e">
        <f>#REF!+"$Cm=!$U="</f>
        <v>#REF!</v>
      </c>
      <c r="R48" t="e">
        <f>#REF!+"$Cm=!$U&gt;"</f>
        <v>#REF!</v>
      </c>
      <c r="S48" t="e">
        <f>#REF!+"$Cm=!$U?"</f>
        <v>#REF!</v>
      </c>
      <c r="T48" t="e">
        <f>#REF!+"$Cm=!$U@"</f>
        <v>#REF!</v>
      </c>
      <c r="U48" t="e">
        <f>#REF!+"$Cm=!$UA"</f>
        <v>#REF!</v>
      </c>
      <c r="V48" t="e">
        <f>#REF!+"$Cm=!$UB"</f>
        <v>#REF!</v>
      </c>
      <c r="W48" t="e">
        <f>#REF!+"$Cm=!$UC"</f>
        <v>#REF!</v>
      </c>
      <c r="X48" t="e">
        <f>#REF!+"$Cm=!$UD"</f>
        <v>#REF!</v>
      </c>
      <c r="Y48" t="e">
        <f>#REF!+"$Cm=!$UE"</f>
        <v>#REF!</v>
      </c>
      <c r="Z48" t="e">
        <f>#REF!+"$Cm=!$UF"</f>
        <v>#REF!</v>
      </c>
      <c r="AA48" t="e">
        <f>#REF!+"$Cm=!$UG"</f>
        <v>#REF!</v>
      </c>
      <c r="AB48" t="e">
        <f>#REF!+"$Cm=!$UH"</f>
        <v>#REF!</v>
      </c>
      <c r="AC48" t="e">
        <f>#REF!+"$Cm=!$UI"</f>
        <v>#REF!</v>
      </c>
      <c r="AD48" t="e">
        <f>#REF!+"$Cm=!$UJ"</f>
        <v>#REF!</v>
      </c>
      <c r="AE48" t="e">
        <f>#REF!+"$Cm=!$UK"</f>
        <v>#REF!</v>
      </c>
      <c r="AF48" t="e">
        <f>#REF!+"$Cm=!$UL"</f>
        <v>#REF!</v>
      </c>
      <c r="AG48" t="e">
        <f>#REF!+"$Cm=!$UM"</f>
        <v>#REF!</v>
      </c>
      <c r="AH48" t="e">
        <f>#REF!+"$Cm=!$UN"</f>
        <v>#REF!</v>
      </c>
      <c r="AI48" t="e">
        <f>#REF!+"$Cm=!$UO"</f>
        <v>#REF!</v>
      </c>
      <c r="AJ48" t="e">
        <f>#REF!+"$Cm=!$UP"</f>
        <v>#REF!</v>
      </c>
      <c r="AK48" t="e">
        <f>#REF!+"$Cm=!$UQ"</f>
        <v>#REF!</v>
      </c>
      <c r="AL48" t="e">
        <f>#REF!+"$Cm=!$UR"</f>
        <v>#REF!</v>
      </c>
      <c r="AM48" t="e">
        <f>#REF!+"$Cm=!$US"</f>
        <v>#REF!</v>
      </c>
      <c r="AN48" t="e">
        <f>#REF!+"$Cm=!$UT"</f>
        <v>#REF!</v>
      </c>
      <c r="AO48" t="e">
        <f>#REF!+"$Cm=!$UU"</f>
        <v>#REF!</v>
      </c>
      <c r="AP48" t="e">
        <f>#REF!+"$Cm=!$UV"</f>
        <v>#REF!</v>
      </c>
      <c r="AQ48" t="e">
        <f>#REF!+"$Cm=!$UW"</f>
        <v>#REF!</v>
      </c>
      <c r="AR48" t="e">
        <f>#REF!+"$Cm=!$UX"</f>
        <v>#REF!</v>
      </c>
      <c r="AS48" t="e">
        <f>#REF!+"$Cm=!$UY"</f>
        <v>#REF!</v>
      </c>
      <c r="AT48" t="e">
        <f>#REF!+"$Cm=!$UZ"</f>
        <v>#REF!</v>
      </c>
      <c r="AU48" t="e">
        <f>#REF!+"$Cm=!$U["</f>
        <v>#REF!</v>
      </c>
      <c r="AV48" t="e">
        <f>#REF!+"$Cm=!$U\"</f>
        <v>#REF!</v>
      </c>
      <c r="AW48" t="e">
        <f>#REF!+"$Cm=!$U]"</f>
        <v>#REF!</v>
      </c>
      <c r="AX48" t="e">
        <f>#REF!+"$Cm=!$U^"</f>
        <v>#REF!</v>
      </c>
      <c r="AY48" t="e">
        <f>#REF!+"$Cm=!$U_"</f>
        <v>#REF!</v>
      </c>
      <c r="AZ48" t="e">
        <f>#REF!+"$Cm=!$U`"</f>
        <v>#REF!</v>
      </c>
      <c r="BA48" t="e">
        <f>#REF!+"$Cm=!$Ua"</f>
        <v>#REF!</v>
      </c>
      <c r="BB48" t="e">
        <f>#REF!+"$Cm=!$Ub"</f>
        <v>#REF!</v>
      </c>
      <c r="BC48" t="e">
        <f>#REF!+"$Cm=!$Uc"</f>
        <v>#REF!</v>
      </c>
      <c r="BD48" t="e">
        <f>#REF!+"$Cm=!$Ud"</f>
        <v>#REF!</v>
      </c>
      <c r="BE48" t="e">
        <f>#REF!+"$Cm=!$Ue"</f>
        <v>#REF!</v>
      </c>
      <c r="BF48" t="e">
        <f>#REF!+"$Cm=!$Uf"</f>
        <v>#REF!</v>
      </c>
      <c r="BG48" t="e">
        <f>#REF!+"$Cm=!$Ug"</f>
        <v>#REF!</v>
      </c>
      <c r="BH48" t="e">
        <f>#REF!+"$Cm=!$Uh"</f>
        <v>#REF!</v>
      </c>
      <c r="BI48" t="e">
        <f>#REF!+"$Cm=!$Ui"</f>
        <v>#REF!</v>
      </c>
      <c r="BJ48" t="e">
        <f>#REF!+"$Cm=!$Uj"</f>
        <v>#REF!</v>
      </c>
      <c r="BK48" t="e">
        <f>#REF!+"$Cm=!$Uk"</f>
        <v>#REF!</v>
      </c>
      <c r="BL48" t="e">
        <f>#REF!+"$Cm=!$Ul"</f>
        <v>#REF!</v>
      </c>
      <c r="BM48" t="e">
        <f>#REF!+"$Cm=!$Um"</f>
        <v>#REF!</v>
      </c>
      <c r="BN48" t="e">
        <f>#REF!+"$Cm=!$Un"</f>
        <v>#REF!</v>
      </c>
      <c r="BO48" t="e">
        <f>#REF!+"$Cm=!$Uo"</f>
        <v>#REF!</v>
      </c>
      <c r="BP48" t="e">
        <f>#REF!+"$Cm=!$Up"</f>
        <v>#REF!</v>
      </c>
      <c r="BQ48" t="e">
        <f>#REF!+"$Cm=!$Uq"</f>
        <v>#REF!</v>
      </c>
      <c r="BR48" t="e">
        <f>#REF!+"$Cm=!$Ur"</f>
        <v>#REF!</v>
      </c>
      <c r="BS48" t="e">
        <f>#REF!+"$Cm=!$Us"</f>
        <v>#REF!</v>
      </c>
      <c r="BT48" t="e">
        <f>#REF!+"$Cm=!$Ut"</f>
        <v>#REF!</v>
      </c>
      <c r="BU48" t="e">
        <f>#REF!+"$Cm=!$Uu"</f>
        <v>#REF!</v>
      </c>
      <c r="BV48" t="e">
        <f>#REF!+"$Cm=!$Uv"</f>
        <v>#REF!</v>
      </c>
      <c r="BW48" t="e">
        <f>#REF!+"$Cm=!$Uw"</f>
        <v>#REF!</v>
      </c>
      <c r="BX48" t="e">
        <f>#REF!+"$Cm=!$Ux"</f>
        <v>#REF!</v>
      </c>
      <c r="BY48" t="e">
        <f>#REF!+"$Cm=!$Uy"</f>
        <v>#REF!</v>
      </c>
      <c r="BZ48" t="e">
        <f>#REF!+"$Cm=!$Uz"</f>
        <v>#REF!</v>
      </c>
      <c r="CA48" t="e">
        <f>#REF!+"$Cm=!$U{"</f>
        <v>#REF!</v>
      </c>
      <c r="CB48" t="e">
        <f>#REF!+"$Cm=!$U|"</f>
        <v>#REF!</v>
      </c>
      <c r="CC48" t="e">
        <f>#REF!+"$Cm=!$U}"</f>
        <v>#REF!</v>
      </c>
      <c r="CD48" t="e">
        <f>#REF!+"$Cm=!$U~"</f>
        <v>#REF!</v>
      </c>
      <c r="CE48" t="e">
        <f>#REF!+"$Cm=!$V#"</f>
        <v>#REF!</v>
      </c>
      <c r="CF48" t="e">
        <f>#REF!+"$Cm=!$V$"</f>
        <v>#REF!</v>
      </c>
      <c r="CG48" t="e">
        <f>#REF!+"$Cm=!$V%"</f>
        <v>#REF!</v>
      </c>
      <c r="CH48" t="e">
        <f>#REF!+"$Cm=!$V&amp;"</f>
        <v>#REF!</v>
      </c>
      <c r="CI48" t="e">
        <f>#REF!+"$Cm=!$V'"</f>
        <v>#REF!</v>
      </c>
      <c r="CJ48" t="e">
        <f>#REF!+"$Cm=!$V("</f>
        <v>#REF!</v>
      </c>
      <c r="CK48" t="e">
        <f>#REF!+"$Cm=!$V)"</f>
        <v>#REF!</v>
      </c>
      <c r="CL48" t="e">
        <f>#REF!+"$Cm=!$V."</f>
        <v>#REF!</v>
      </c>
      <c r="CM48" t="e">
        <f>#REF!+"$Cm=!$V/"</f>
        <v>#REF!</v>
      </c>
      <c r="CN48" t="e">
        <f>#REF!+"$Cm=!$V0"</f>
        <v>#REF!</v>
      </c>
      <c r="CO48" t="e">
        <f>#REF!+"$Cm=!$V1"</f>
        <v>#REF!</v>
      </c>
      <c r="CP48" t="e">
        <f>#REF!+"$Cm=!$V2"</f>
        <v>#REF!</v>
      </c>
      <c r="CQ48" t="e">
        <f>#REF!+"$Cm=!$V3"</f>
        <v>#REF!</v>
      </c>
      <c r="CR48" t="e">
        <f>#REF!+"$Cm=!$V4"</f>
        <v>#REF!</v>
      </c>
      <c r="CS48" t="e">
        <f>#REF!+"$Cm=!$V5"</f>
        <v>#REF!</v>
      </c>
      <c r="CT48" t="e">
        <f>#REF!+"$Cm=!$V6"</f>
        <v>#REF!</v>
      </c>
      <c r="CU48" t="e">
        <f>#REF!+"$Cm=!$V7"</f>
        <v>#REF!</v>
      </c>
      <c r="CV48" t="e">
        <f>#REF!+"$Cm=!$V8"</f>
        <v>#REF!</v>
      </c>
      <c r="CW48" t="e">
        <f>#REF!+"$Cm=!$V9"</f>
        <v>#REF!</v>
      </c>
      <c r="CX48" t="e">
        <f>#REF!+"$Cm=!$V:"</f>
        <v>#REF!</v>
      </c>
      <c r="CY48" t="e">
        <f>#REF!+"$Cm=!$V;"</f>
        <v>#REF!</v>
      </c>
      <c r="CZ48" t="e">
        <f>#REF!+"$Cm=!$V&lt;"</f>
        <v>#REF!</v>
      </c>
      <c r="DA48" t="e">
        <f>#REF!+"$Cm=!$V="</f>
        <v>#REF!</v>
      </c>
      <c r="DB48" t="e">
        <f>#REF!+"$Cm=!$V&gt;"</f>
        <v>#REF!</v>
      </c>
      <c r="DC48" t="e">
        <f>#REF!+"$Cm=!$V?"</f>
        <v>#REF!</v>
      </c>
      <c r="DD48" t="e">
        <f>#REF!+"$Cm=!$V@"</f>
        <v>#REF!</v>
      </c>
      <c r="DE48" t="e">
        <f>#REF!+"$Cm=!$VA"</f>
        <v>#REF!</v>
      </c>
      <c r="DF48" t="e">
        <f>#REF!+"$Cm=!$VB"</f>
        <v>#REF!</v>
      </c>
      <c r="DG48" t="e">
        <f>#REF!+"$Cm=!$VC"</f>
        <v>#REF!</v>
      </c>
      <c r="DH48" t="e">
        <f>#REF!+"$Cm=!$VD"</f>
        <v>#REF!</v>
      </c>
      <c r="DI48" t="e">
        <f>#REF!+"$Cm=!$VE"</f>
        <v>#REF!</v>
      </c>
      <c r="DJ48" t="e">
        <f>#REF!+"$Cm=!$VF"</f>
        <v>#REF!</v>
      </c>
      <c r="DK48" t="e">
        <f>#REF!+"$Cm=!$VG"</f>
        <v>#REF!</v>
      </c>
      <c r="DL48" t="e">
        <f>#REF!+"$Cm=!$VH"</f>
        <v>#REF!</v>
      </c>
      <c r="DM48" t="e">
        <f>#REF!+"$Cm=!$VI"</f>
        <v>#REF!</v>
      </c>
      <c r="DN48" t="e">
        <f>#REF!+"$Cm=!$VJ"</f>
        <v>#REF!</v>
      </c>
      <c r="DO48" t="e">
        <f>#REF!+"$Cm=!$VK"</f>
        <v>#REF!</v>
      </c>
      <c r="DP48" t="e">
        <f>#REF!+"$Cm=!$VL"</f>
        <v>#REF!</v>
      </c>
      <c r="DQ48" t="e">
        <f>#REF!+"$Cm=!$VM"</f>
        <v>#REF!</v>
      </c>
      <c r="DR48" t="e">
        <f>#REF!+"$Cm=!$VN"</f>
        <v>#REF!</v>
      </c>
      <c r="DS48" t="e">
        <f>#REF!+"$Cm=!$VO"</f>
        <v>#REF!</v>
      </c>
      <c r="DT48" t="e">
        <f>#REF!+"$Cm=!$VP"</f>
        <v>#REF!</v>
      </c>
      <c r="DU48" t="e">
        <f>#REF!+"$Cm=!$VQ"</f>
        <v>#REF!</v>
      </c>
      <c r="DV48" t="e">
        <f>#REF!+"$Cm=!$VR"</f>
        <v>#REF!</v>
      </c>
      <c r="DW48" t="e">
        <f>#REF!+"$Cm=!$VS"</f>
        <v>#REF!</v>
      </c>
      <c r="DX48" t="e">
        <f>#REF!+"$Cm=!$VT"</f>
        <v>#REF!</v>
      </c>
      <c r="DY48" t="e">
        <f>#REF!+"$Cm=!$VU"</f>
        <v>#REF!</v>
      </c>
      <c r="DZ48" t="e">
        <f>#REF!+"$Cm=!$VV"</f>
        <v>#REF!</v>
      </c>
      <c r="EA48" t="e">
        <f>#REF!+"$Cm=!$VW"</f>
        <v>#REF!</v>
      </c>
      <c r="EB48" t="e">
        <f>#REF!+"$Cm=!$VX"</f>
        <v>#REF!</v>
      </c>
      <c r="EC48" t="e">
        <f>#REF!+"$Cm=!$VY"</f>
        <v>#REF!</v>
      </c>
      <c r="ED48" t="e">
        <f>#REF!+"$Cm=!$VZ"</f>
        <v>#REF!</v>
      </c>
      <c r="EE48" t="e">
        <f>#REF!+"$Cm=!$V["</f>
        <v>#REF!</v>
      </c>
      <c r="EF48" t="e">
        <f>#REF!+"$Cm=!$V\"</f>
        <v>#REF!</v>
      </c>
      <c r="EG48" t="e">
        <f>#REF!+"$Cm=!$V]"</f>
        <v>#REF!</v>
      </c>
      <c r="EH48" t="e">
        <f>#REF!+"$Cm=!$V^"</f>
        <v>#REF!</v>
      </c>
      <c r="EI48" t="e">
        <f>#REF!+"$Cm=!$V_"</f>
        <v>#REF!</v>
      </c>
      <c r="EJ48" t="e">
        <f>#REF!+"$Cm=!$V`"</f>
        <v>#REF!</v>
      </c>
      <c r="EK48" t="e">
        <f>#REF!+"$Cm=!$Va"</f>
        <v>#REF!</v>
      </c>
      <c r="EL48" t="e">
        <f>#REF!+"$Cm=!$Vb"</f>
        <v>#REF!</v>
      </c>
      <c r="EM48" t="e">
        <f>#REF!+"$Cm=!$Vc"</f>
        <v>#REF!</v>
      </c>
      <c r="EN48" t="e">
        <f>#REF!+"$Cm=!$Vd"</f>
        <v>#REF!</v>
      </c>
      <c r="EO48" t="e">
        <f>#REF!+"$Cm=!$Ve"</f>
        <v>#REF!</v>
      </c>
      <c r="EP48" t="e">
        <f>#REF!+"$Cm=!$Vf"</f>
        <v>#REF!</v>
      </c>
      <c r="EQ48" t="e">
        <f>#REF!+"$Cm=!$Vg"</f>
        <v>#REF!</v>
      </c>
      <c r="ER48" t="e">
        <f>#REF!+"$Cm=!$Vh"</f>
        <v>#REF!</v>
      </c>
      <c r="ES48" t="e">
        <f>#REF!+"$Cm=!$Vi"</f>
        <v>#REF!</v>
      </c>
      <c r="ET48" t="e">
        <f>#REF!+"$Cm=!$Vj"</f>
        <v>#REF!</v>
      </c>
      <c r="EU48" t="e">
        <f>#REF!+"$Cm=!$Vk"</f>
        <v>#REF!</v>
      </c>
      <c r="EV48" t="e">
        <f>#REF!+"$Cm=!$Vl"</f>
        <v>#REF!</v>
      </c>
      <c r="EW48" t="e">
        <f>#REF!+"$Cm=!$Vm"</f>
        <v>#REF!</v>
      </c>
      <c r="EX48" t="e">
        <f>#REF!+"$Cm=!$Vn"</f>
        <v>#REF!</v>
      </c>
      <c r="EY48" t="e">
        <f>#REF!+"$Cm=!$Vo"</f>
        <v>#REF!</v>
      </c>
      <c r="EZ48" t="e">
        <f>#REF!+"$Cm=!$Vp"</f>
        <v>#REF!</v>
      </c>
      <c r="FA48" t="e">
        <f>#REF!+"$Cm=!$Vq"</f>
        <v>#REF!</v>
      </c>
      <c r="FB48" t="e">
        <f>#REF!+"$Cm=!$Vr"</f>
        <v>#REF!</v>
      </c>
      <c r="FC48" t="e">
        <f>#REF!+"$Cm=!$Vs"</f>
        <v>#REF!</v>
      </c>
      <c r="FD48" t="e">
        <f>#REF!+"$Cm=!$Vt"</f>
        <v>#REF!</v>
      </c>
      <c r="FE48" t="e">
        <f>#REF!+"$Cm=!$Vu"</f>
        <v>#REF!</v>
      </c>
      <c r="FF48" t="e">
        <f>#REF!+"$Cm=!$Vv"</f>
        <v>#REF!</v>
      </c>
      <c r="FG48" t="e">
        <f>#REF!+"$Cm=!$Vw"</f>
        <v>#REF!</v>
      </c>
      <c r="FH48" t="e">
        <f>#REF!+"$Cm=!$Vx"</f>
        <v>#REF!</v>
      </c>
      <c r="FI48" t="e">
        <f>#REF!+"$Cm=!$Vy"</f>
        <v>#REF!</v>
      </c>
      <c r="FJ48" t="e">
        <f>#REF!+"$Cm=!$Vz"</f>
        <v>#REF!</v>
      </c>
      <c r="FK48" t="e">
        <f>#REF!+"$Cm=!$V{"</f>
        <v>#REF!</v>
      </c>
      <c r="FL48" t="e">
        <f>#REF!+"$Cm=!$V|"</f>
        <v>#REF!</v>
      </c>
      <c r="FM48" t="e">
        <f>#REF!+"$Cm=!$V}"</f>
        <v>#REF!</v>
      </c>
      <c r="FN48" t="e">
        <f>#REF!+"$Cm=!$V~"</f>
        <v>#REF!</v>
      </c>
      <c r="FO48" t="e">
        <f>#REF!+"$Cm=!$W#"</f>
        <v>#REF!</v>
      </c>
      <c r="FP48" t="e">
        <f>#REF!+"$Cm=!$W$"</f>
        <v>#REF!</v>
      </c>
      <c r="FQ48" t="e">
        <f>#REF!+"$Cm=!$W%"</f>
        <v>#REF!</v>
      </c>
      <c r="FR48" t="e">
        <f>#REF!+"$Cm=!$W&amp;"</f>
        <v>#REF!</v>
      </c>
      <c r="FS48" t="e">
        <f>#REF!+"$Cm=!$W'"</f>
        <v>#REF!</v>
      </c>
      <c r="FT48" t="e">
        <f>#REF!+"$Cm=!$W("</f>
        <v>#REF!</v>
      </c>
      <c r="FU48" t="e">
        <f>#REF!+"$Cm=!$W)"</f>
        <v>#REF!</v>
      </c>
      <c r="FV48" t="e">
        <f>#REF!+"$Cm=!$W."</f>
        <v>#REF!</v>
      </c>
      <c r="FW48" t="e">
        <f>#REF!+"$Cm=!$W/"</f>
        <v>#REF!</v>
      </c>
      <c r="FX48" t="e">
        <f>#REF!+"$Cm=!$W0"</f>
        <v>#REF!</v>
      </c>
      <c r="FY48" t="e">
        <f>#REF!+"$Cm=!$W1"</f>
        <v>#REF!</v>
      </c>
      <c r="FZ48" t="e">
        <f>#REF!+"$Cm=!$W2"</f>
        <v>#REF!</v>
      </c>
      <c r="GA48" t="e">
        <f>#REF!+"$Cm=!$W3"</f>
        <v>#REF!</v>
      </c>
      <c r="GB48" t="e">
        <f>#REF!+"$Cm=!$W4"</f>
        <v>#REF!</v>
      </c>
      <c r="GC48" t="e">
        <f>#REF!+"$Cm=!$W5"</f>
        <v>#REF!</v>
      </c>
      <c r="GD48" t="e">
        <f>#REF!+"$Cm=!$W6"</f>
        <v>#REF!</v>
      </c>
      <c r="GE48" t="e">
        <f>#REF!+"$Cm=!$W7"</f>
        <v>#REF!</v>
      </c>
      <c r="GF48" t="e">
        <f>#REF!+"$Cm=!$W8"</f>
        <v>#REF!</v>
      </c>
      <c r="GG48" t="e">
        <f>#REF!+"$Cm=!$W9"</f>
        <v>#REF!</v>
      </c>
      <c r="GH48" t="e">
        <f>#REF!+"$Cm=!$W:"</f>
        <v>#REF!</v>
      </c>
      <c r="GI48" t="e">
        <f>#REF!+"$Cm=!$W;"</f>
        <v>#REF!</v>
      </c>
      <c r="GJ48" t="e">
        <f>#REF!+"$Cm=!$W&lt;"</f>
        <v>#REF!</v>
      </c>
      <c r="GK48" t="e">
        <f>#REF!+"$Cm=!$W="</f>
        <v>#REF!</v>
      </c>
      <c r="GL48" t="e">
        <f>#REF!+"$Cm=!$W&gt;"</f>
        <v>#REF!</v>
      </c>
      <c r="GM48" t="e">
        <f>#REF!+"$Cm=!$W?"</f>
        <v>#REF!</v>
      </c>
      <c r="GN48" t="e">
        <f>#REF!+"$Cm=!$W@"</f>
        <v>#REF!</v>
      </c>
      <c r="GO48" t="e">
        <f>#REF!+"$Cm=!$WA"</f>
        <v>#REF!</v>
      </c>
      <c r="GP48" t="e">
        <f>#REF!+"$Cm=!$WB"</f>
        <v>#REF!</v>
      </c>
      <c r="GQ48" t="e">
        <f>#REF!+"$Cm=!$WC"</f>
        <v>#REF!</v>
      </c>
      <c r="GR48" t="e">
        <f>#REF!+"$Cm=!$WD"</f>
        <v>#REF!</v>
      </c>
      <c r="GS48" t="e">
        <f>#REF!+"$Cm=!$WE"</f>
        <v>#REF!</v>
      </c>
      <c r="GT48" t="e">
        <f>#REF!+"$Cm=!$WF"</f>
        <v>#REF!</v>
      </c>
      <c r="GU48" t="e">
        <f>#REF!+"$Cm=!$WG"</f>
        <v>#REF!</v>
      </c>
      <c r="GV48" t="e">
        <f>#REF!+"$Cm=!$WH"</f>
        <v>#REF!</v>
      </c>
      <c r="GW48" t="e">
        <f>#REF!+"$Cm=!$WI"</f>
        <v>#REF!</v>
      </c>
      <c r="GX48" t="e">
        <f>#REF!+"$Cm=!$WJ"</f>
        <v>#REF!</v>
      </c>
      <c r="GY48" t="e">
        <f>#REF!+"$Cm=!$WK"</f>
        <v>#REF!</v>
      </c>
      <c r="GZ48" t="e">
        <f>#REF!+"$Cm=!$WL"</f>
        <v>#REF!</v>
      </c>
      <c r="HA48" t="e">
        <f>#REF!+"$Cm=!$WM"</f>
        <v>#REF!</v>
      </c>
      <c r="HB48" t="e">
        <f>#REF!+"$Cm=!$WN"</f>
        <v>#REF!</v>
      </c>
      <c r="HC48" t="e">
        <f>#REF!+"$Cm=!$WO"</f>
        <v>#REF!</v>
      </c>
      <c r="HD48" t="e">
        <f>#REF!+"$Cm=!$WP"</f>
        <v>#REF!</v>
      </c>
      <c r="HE48" t="e">
        <f>#REF!+"$Cm=!$WQ"</f>
        <v>#REF!</v>
      </c>
      <c r="HF48" t="e">
        <f>#REF!+"$Cm=!$WR"</f>
        <v>#REF!</v>
      </c>
      <c r="HG48" t="e">
        <f>#REF!+"$Cm=!$WS"</f>
        <v>#REF!</v>
      </c>
      <c r="HH48" t="e">
        <f>#REF!+"$Cm=!$WT"</f>
        <v>#REF!</v>
      </c>
      <c r="HI48" t="e">
        <f>#REF!+"$Cm=!$WU"</f>
        <v>#REF!</v>
      </c>
      <c r="HJ48" t="e">
        <f>#REF!+"$Cm=!$WV"</f>
        <v>#REF!</v>
      </c>
      <c r="HK48" t="e">
        <f>#REF!+"$Cm=!$WW"</f>
        <v>#REF!</v>
      </c>
      <c r="HL48" t="e">
        <f>#REF!+"$Cm=!$WX"</f>
        <v>#REF!</v>
      </c>
      <c r="HM48" t="e">
        <f>#REF!+"$Cm=!$WY"</f>
        <v>#REF!</v>
      </c>
      <c r="HN48" t="e">
        <f>#REF!+"$Cm=!$WZ"</f>
        <v>#REF!</v>
      </c>
      <c r="HO48" t="e">
        <f>#REF!+"$Cm=!$W["</f>
        <v>#REF!</v>
      </c>
      <c r="HP48" t="e">
        <f>#REF!+"$Cm=!$W\"</f>
        <v>#REF!</v>
      </c>
      <c r="HQ48" t="e">
        <f>#REF!+"$Cm=!$W]"</f>
        <v>#REF!</v>
      </c>
      <c r="HR48" t="e">
        <f>#REF!+"$Cm=!$W^"</f>
        <v>#REF!</v>
      </c>
      <c r="HS48" t="e">
        <f>#REF!+"$Cm=!$W_"</f>
        <v>#REF!</v>
      </c>
      <c r="HT48" t="e">
        <f>#REF!+"$Cm=!$W`"</f>
        <v>#REF!</v>
      </c>
      <c r="HU48" t="e">
        <f>#REF!+"$Cm=!$Wa"</f>
        <v>#REF!</v>
      </c>
      <c r="HV48" t="e">
        <f>#REF!+"$Cm=!$Wb"</f>
        <v>#REF!</v>
      </c>
      <c r="HW48" t="e">
        <f>#REF!+"$Cm=!$Wc"</f>
        <v>#REF!</v>
      </c>
      <c r="HX48" t="e">
        <f>#REF!+"$Cm=!$Wd"</f>
        <v>#REF!</v>
      </c>
      <c r="HY48" t="e">
        <f>#REF!+"$Cm=!$We"</f>
        <v>#REF!</v>
      </c>
      <c r="HZ48" t="e">
        <f>#REF!+"$Cm=!$Wf"</f>
        <v>#REF!</v>
      </c>
      <c r="IA48" t="e">
        <f>#REF!+"$Cm=!$Wg"</f>
        <v>#REF!</v>
      </c>
      <c r="IB48" t="e">
        <f>#REF!+"$Cm=!$Wh"</f>
        <v>#REF!</v>
      </c>
      <c r="IC48" t="e">
        <f>#REF!+"$Cm=!$Wi"</f>
        <v>#REF!</v>
      </c>
      <c r="ID48" t="e">
        <f>#REF!+"$Cm=!$Wj"</f>
        <v>#REF!</v>
      </c>
      <c r="IE48" t="e">
        <f>#REF!+"$Cm=!$Wk"</f>
        <v>#REF!</v>
      </c>
      <c r="IF48" t="e">
        <f>#REF!+"$Cm=!$Wl"</f>
        <v>#REF!</v>
      </c>
      <c r="IG48" t="e">
        <f>#REF!+"$Cm=!$Wm"</f>
        <v>#REF!</v>
      </c>
      <c r="IH48" t="e">
        <f>#REF!+"$Cm=!$Wn"</f>
        <v>#REF!</v>
      </c>
      <c r="II48" t="e">
        <f>#REF!+"$Cm=!$Wo"</f>
        <v>#REF!</v>
      </c>
      <c r="IJ48" t="e">
        <f>#REF!+"$Cm=!$Wp"</f>
        <v>#REF!</v>
      </c>
      <c r="IK48" t="e">
        <f>#REF!+"$Cm=!$Wq"</f>
        <v>#REF!</v>
      </c>
      <c r="IL48" t="e">
        <f>#REF!+"$Cm=!$Wr"</f>
        <v>#REF!</v>
      </c>
      <c r="IM48" t="e">
        <f>#REF!+"$Cm=!$Ws"</f>
        <v>#REF!</v>
      </c>
      <c r="IN48" t="e">
        <f>#REF!+"$Cm=!$Wt"</f>
        <v>#REF!</v>
      </c>
      <c r="IO48" t="e">
        <f>#REF!+"$Cm=!$Wu"</f>
        <v>#REF!</v>
      </c>
      <c r="IP48" t="e">
        <f>#REF!+"$Cm=!$Wv"</f>
        <v>#REF!</v>
      </c>
      <c r="IQ48" t="e">
        <f>#REF!+"$Cm=!$Ww"</f>
        <v>#REF!</v>
      </c>
      <c r="IR48" t="e">
        <f>#REF!+"$Cm=!$Wx"</f>
        <v>#REF!</v>
      </c>
      <c r="IS48" t="e">
        <f>#REF!+"$Cm=!$Wy"</f>
        <v>#REF!</v>
      </c>
      <c r="IT48" t="e">
        <f>#REF!+"$Cm=!$Wz"</f>
        <v>#REF!</v>
      </c>
      <c r="IU48" t="e">
        <f>#REF!+"$Cm=!$W{"</f>
        <v>#REF!</v>
      </c>
      <c r="IV48" t="e">
        <f>#REF!+"$Cm=!$W|"</f>
        <v>#REF!</v>
      </c>
    </row>
    <row r="49" spans="6:256">
      <c r="F49" t="e">
        <f>#REF!+"$Cm=!$W}"</f>
        <v>#REF!</v>
      </c>
      <c r="G49" t="e">
        <f>#REF!+"$Cm=!$W~"</f>
        <v>#REF!</v>
      </c>
      <c r="H49" t="e">
        <f>#REF!+"$Cm=!$X#"</f>
        <v>#REF!</v>
      </c>
      <c r="I49" t="e">
        <f>#REF!+"$Cm=!$X$"</f>
        <v>#REF!</v>
      </c>
      <c r="J49" t="e">
        <f>#REF!+"$Cm=!$X%"</f>
        <v>#REF!</v>
      </c>
      <c r="K49" t="e">
        <f>#REF!+"$Cm=!$X&amp;"</f>
        <v>#REF!</v>
      </c>
      <c r="L49" t="e">
        <f>#REF!+"$Cm=!$X'"</f>
        <v>#REF!</v>
      </c>
      <c r="M49" t="e">
        <f>#REF!+"$Cm=!$X("</f>
        <v>#REF!</v>
      </c>
      <c r="N49" t="e">
        <f>#REF!+"$Cm=!$X)"</f>
        <v>#REF!</v>
      </c>
      <c r="O49" t="e">
        <f>#REF!+"$Cm=!$X."</f>
        <v>#REF!</v>
      </c>
      <c r="P49" t="e">
        <f>#REF!+"$Cm=!$X/"</f>
        <v>#REF!</v>
      </c>
      <c r="Q49" t="e">
        <f>#REF!+"$Cm=!$X0"</f>
        <v>#REF!</v>
      </c>
      <c r="R49" t="e">
        <f>#REF!+"$Cm=!$X1"</f>
        <v>#REF!</v>
      </c>
      <c r="S49" t="e">
        <f>#REF!+"$Cm=!$X2"</f>
        <v>#REF!</v>
      </c>
      <c r="T49" t="e">
        <f>#REF!+"$Cm=!$X3"</f>
        <v>#REF!</v>
      </c>
      <c r="U49" t="e">
        <f>#REF!+"$Cm=!$X4"</f>
        <v>#REF!</v>
      </c>
      <c r="V49" t="e">
        <f>#REF!+"$Cm=!$X5"</f>
        <v>#REF!</v>
      </c>
      <c r="W49" t="e">
        <f>#REF!+"$Cm=!$X6"</f>
        <v>#REF!</v>
      </c>
      <c r="X49" t="e">
        <f>#REF!+"$Cm=!$X7"</f>
        <v>#REF!</v>
      </c>
      <c r="Y49" t="e">
        <f>#REF!+"$Cm=!$X8"</f>
        <v>#REF!</v>
      </c>
      <c r="Z49" t="e">
        <f>#REF!+"$Cm=!$X9"</f>
        <v>#REF!</v>
      </c>
      <c r="AA49" t="e">
        <f>#REF!+"$Cm=!$X:"</f>
        <v>#REF!</v>
      </c>
      <c r="AB49" t="e">
        <f>#REF!+"$Cm=!$X;"</f>
        <v>#REF!</v>
      </c>
      <c r="AC49" t="e">
        <f>#REF!+"$Cm=!$X&lt;"</f>
        <v>#REF!</v>
      </c>
      <c r="AD49" t="e">
        <f>#REF!+"$Cm=!$X="</f>
        <v>#REF!</v>
      </c>
      <c r="AE49" t="e">
        <f>#REF!+"$Cm=!$X&gt;"</f>
        <v>#REF!</v>
      </c>
      <c r="AF49" t="e">
        <f>#REF!+"$Cm=!$X?"</f>
        <v>#REF!</v>
      </c>
      <c r="AG49" t="e">
        <f>#REF!+"$Cm=!$X@"</f>
        <v>#REF!</v>
      </c>
      <c r="AH49" t="e">
        <f>#REF!+"$Cm=!$XA"</f>
        <v>#REF!</v>
      </c>
      <c r="AI49" t="e">
        <f>#REF!+"$Cm=!$XB"</f>
        <v>#REF!</v>
      </c>
      <c r="AJ49" t="e">
        <f>#REF!+"$Cm=!$XC"</f>
        <v>#REF!</v>
      </c>
      <c r="AK49" t="e">
        <f>#REF!+"$Cm=!$XD"</f>
        <v>#REF!</v>
      </c>
      <c r="AL49" t="e">
        <f>#REF!+"$Cm=!$XE"</f>
        <v>#REF!</v>
      </c>
      <c r="AM49" t="e">
        <f>#REF!+"$Cm=!$XF"</f>
        <v>#REF!</v>
      </c>
      <c r="AN49" t="e">
        <f>#REF!+"$Cm=!$XG"</f>
        <v>#REF!</v>
      </c>
      <c r="AO49" t="e">
        <f>#REF!+"$Cm=!$XH"</f>
        <v>#REF!</v>
      </c>
      <c r="AP49" t="e">
        <f>#REF!+"$Cm=!$XI"</f>
        <v>#REF!</v>
      </c>
      <c r="AQ49" t="e">
        <f>#REF!+"$Cm=!$XJ"</f>
        <v>#REF!</v>
      </c>
      <c r="AR49" t="e">
        <f>#REF!+"$Cm=!$XK"</f>
        <v>#REF!</v>
      </c>
      <c r="AS49" t="e">
        <f>#REF!+"$Cm=!$XL"</f>
        <v>#REF!</v>
      </c>
      <c r="AT49" t="e">
        <f>#REF!+"$Cm=!$XM"</f>
        <v>#REF!</v>
      </c>
      <c r="AU49" t="e">
        <f>#REF!+"$Cm=!$XN"</f>
        <v>#REF!</v>
      </c>
      <c r="AV49" t="e">
        <f>#REF!+"$Cm=!$XO"</f>
        <v>#REF!</v>
      </c>
      <c r="AW49" t="e">
        <f>#REF!+"$Cm=!$XP"</f>
        <v>#REF!</v>
      </c>
      <c r="AX49" t="e">
        <f>#REF!+"$Cm=!$XQ"</f>
        <v>#REF!</v>
      </c>
      <c r="AY49" t="e">
        <f>#REF!+"$Cm=!$XR"</f>
        <v>#REF!</v>
      </c>
      <c r="AZ49" t="e">
        <f>#REF!+"$Cm=!$XS"</f>
        <v>#REF!</v>
      </c>
      <c r="BA49" t="e">
        <f>#REF!+"$Cm=!$XT"</f>
        <v>#REF!</v>
      </c>
      <c r="BB49" t="e">
        <f>#REF!+"$Cm=!$XU"</f>
        <v>#REF!</v>
      </c>
      <c r="BC49" t="e">
        <f>#REF!+"$Cm=!$XV"</f>
        <v>#REF!</v>
      </c>
      <c r="BD49" t="e">
        <f>#REF!+"$Cm=!$XW"</f>
        <v>#REF!</v>
      </c>
      <c r="BE49" t="e">
        <f>#REF!+"$Cm=!$XX"</f>
        <v>#REF!</v>
      </c>
      <c r="BF49" t="e">
        <f>#REF!+"$Cm=!$XY"</f>
        <v>#REF!</v>
      </c>
      <c r="BG49" t="e">
        <f>#REF!+"$Cm=!$XZ"</f>
        <v>#REF!</v>
      </c>
      <c r="BH49" t="e">
        <f>#REF!+"$Cm=!$X["</f>
        <v>#REF!</v>
      </c>
      <c r="BI49" t="e">
        <f>#REF!+"$Cm=!$X\"</f>
        <v>#REF!</v>
      </c>
      <c r="BJ49" t="e">
        <f>#REF!+"$Cm=!$X]"</f>
        <v>#REF!</v>
      </c>
      <c r="BK49" t="e">
        <f>#REF!+"$Cm=!$X^"</f>
        <v>#REF!</v>
      </c>
      <c r="BL49" t="e">
        <f>#REF!+"$Cm=!$X_"</f>
        <v>#REF!</v>
      </c>
      <c r="BM49" t="e">
        <f>#REF!+"$Cm=!$X`"</f>
        <v>#REF!</v>
      </c>
      <c r="BN49" t="e">
        <f>#REF!+"$Cm=!$Xa"</f>
        <v>#REF!</v>
      </c>
      <c r="BO49" t="e">
        <f>#REF!+"$Cm=!$Xb"</f>
        <v>#REF!</v>
      </c>
      <c r="BP49" t="e">
        <f>#REF!+"$Cm=!$Xc"</f>
        <v>#REF!</v>
      </c>
      <c r="BQ49" t="e">
        <f>#REF!+"$Cm=!$Xd"</f>
        <v>#REF!</v>
      </c>
      <c r="BR49" t="e">
        <f>#REF!+"$Cm=!$Xe"</f>
        <v>#REF!</v>
      </c>
      <c r="BS49" t="e">
        <f>#REF!+"$Cm=!$Xf"</f>
        <v>#REF!</v>
      </c>
      <c r="BT49" t="e">
        <f>#REF!+"$Cm=!$Xg"</f>
        <v>#REF!</v>
      </c>
      <c r="BU49" t="e">
        <f>#REF!+"$Cm=!$Xh"</f>
        <v>#REF!</v>
      </c>
      <c r="BV49" t="e">
        <f>#REF!+"$Cm=!$Xi"</f>
        <v>#REF!</v>
      </c>
      <c r="BW49" t="e">
        <f>#REF!+"$Cm=!$Xj"</f>
        <v>#REF!</v>
      </c>
      <c r="BX49" t="e">
        <f>#REF!+"$Cm=!$Xk"</f>
        <v>#REF!</v>
      </c>
      <c r="BY49" t="e">
        <f>#REF!+"$Cm=!$Xl"</f>
        <v>#REF!</v>
      </c>
      <c r="BZ49" t="e">
        <f>#REF!+"$Cm=!$Xm"</f>
        <v>#REF!</v>
      </c>
      <c r="CA49" t="e">
        <f>#REF!+"$Cm=!$Xn"</f>
        <v>#REF!</v>
      </c>
      <c r="CB49" t="e">
        <f>#REF!+"$Cm=!$Xo"</f>
        <v>#REF!</v>
      </c>
      <c r="CC49" t="e">
        <f>#REF!+"$Cm=!$Xp"</f>
        <v>#REF!</v>
      </c>
      <c r="CD49" t="e">
        <f>#REF!+"$Cm=!$Xq"</f>
        <v>#REF!</v>
      </c>
      <c r="CE49" t="e">
        <f>#REF!+"$Cm=!$Xr"</f>
        <v>#REF!</v>
      </c>
      <c r="CF49" t="e">
        <f>#REF!+"$Cm=!$Xs"</f>
        <v>#REF!</v>
      </c>
      <c r="CG49" t="e">
        <f>#REF!+"$Cm=!$Xt"</f>
        <v>#REF!</v>
      </c>
      <c r="CH49" t="e">
        <f>#REF!+"$Cm=!$Xu"</f>
        <v>#REF!</v>
      </c>
      <c r="CI49" t="e">
        <f>#REF!+"$Cm=!$Xv"</f>
        <v>#REF!</v>
      </c>
      <c r="CJ49" t="e">
        <f>#REF!+"$Cm=!$Xw"</f>
        <v>#REF!</v>
      </c>
      <c r="CK49" t="e">
        <f>#REF!+"$Cm=!$Xx"</f>
        <v>#REF!</v>
      </c>
      <c r="CL49" t="e">
        <f>#REF!+"$Cm=!$Xy"</f>
        <v>#REF!</v>
      </c>
      <c r="CM49" t="e">
        <f>#REF!+"$Cm=!$Xz"</f>
        <v>#REF!</v>
      </c>
      <c r="CN49" t="e">
        <f>#REF!+"$Cm=!$X{"</f>
        <v>#REF!</v>
      </c>
      <c r="CO49" t="e">
        <f>#REF!+"$Cm=!$X|"</f>
        <v>#REF!</v>
      </c>
      <c r="CP49" t="e">
        <f>#REF!+"$Cm=!$X}"</f>
        <v>#REF!</v>
      </c>
      <c r="CQ49" t="e">
        <f>#REF!+"$Cm=!$X~"</f>
        <v>#REF!</v>
      </c>
      <c r="CR49" t="e">
        <f>#REF!+"$Cm=!$Y#"</f>
        <v>#REF!</v>
      </c>
      <c r="CS49" t="e">
        <f>#REF!+"$Cm=!$Y$"</f>
        <v>#REF!</v>
      </c>
      <c r="CT49" t="e">
        <f>#REF!+"$Cm=!$Y%"</f>
        <v>#REF!</v>
      </c>
      <c r="CU49" t="e">
        <f>#REF!+"$Cm=!$Y&amp;"</f>
        <v>#REF!</v>
      </c>
      <c r="CV49" t="e">
        <f>#REF!+"$Cm=!$Y'"</f>
        <v>#REF!</v>
      </c>
      <c r="CW49" t="e">
        <f>#REF!+"$Cm=!$Y("</f>
        <v>#REF!</v>
      </c>
      <c r="CX49" t="e">
        <f>#REF!+"$Cm=!$Y)"</f>
        <v>#REF!</v>
      </c>
      <c r="CY49" t="e">
        <f>#REF!+"$Cm=!$Y."</f>
        <v>#REF!</v>
      </c>
      <c r="CZ49" t="e">
        <f>#REF!+"$Cm=!$Y/"</f>
        <v>#REF!</v>
      </c>
      <c r="DA49" t="e">
        <f>#REF!+"$Cm=!$Y0"</f>
        <v>#REF!</v>
      </c>
      <c r="DB49" t="e">
        <f>#REF!+"$Cm=!$Y1"</f>
        <v>#REF!</v>
      </c>
      <c r="DC49" t="e">
        <f>#REF!+"$Cm=!$Y2"</f>
        <v>#REF!</v>
      </c>
      <c r="DD49" t="e">
        <f>#REF!+"$Cm=!$Y3"</f>
        <v>#REF!</v>
      </c>
      <c r="DE49" t="e">
        <f>#REF!+"$Cm=!$Y4"</f>
        <v>#REF!</v>
      </c>
      <c r="DF49" t="e">
        <f>#REF!+"$Cm=!$Y5"</f>
        <v>#REF!</v>
      </c>
      <c r="DG49" t="e">
        <f>#REF!+"$Cm=!$Y6"</f>
        <v>#REF!</v>
      </c>
      <c r="DH49" t="e">
        <f>#REF!+"$Cm=!$Y7"</f>
        <v>#REF!</v>
      </c>
      <c r="DI49" t="e">
        <f>#REF!+"$Cm=!$Y8"</f>
        <v>#REF!</v>
      </c>
      <c r="DJ49" t="e">
        <f>#REF!+"$Cm=!$Y9"</f>
        <v>#REF!</v>
      </c>
      <c r="DK49" t="e">
        <f>#REF!+"$Cm=!$Y:"</f>
        <v>#REF!</v>
      </c>
      <c r="DL49" t="e">
        <f>#REF!+"$Cm=!$Y;"</f>
        <v>#REF!</v>
      </c>
      <c r="DM49" t="e">
        <f>#REF!+"$Cm=!$Y&lt;"</f>
        <v>#REF!</v>
      </c>
      <c r="DN49" t="e">
        <f>#REF!+"$Cm=!$Y="</f>
        <v>#REF!</v>
      </c>
      <c r="DO49" t="e">
        <f>#REF!+"$Cm=!$Y&gt;"</f>
        <v>#REF!</v>
      </c>
      <c r="DP49" t="e">
        <f>#REF!+"$Cm=!$Y?"</f>
        <v>#REF!</v>
      </c>
      <c r="DQ49" t="e">
        <f>#REF!+"$Cm=!$Y@"</f>
        <v>#REF!</v>
      </c>
      <c r="DR49" t="e">
        <f>#REF!+"$Cm=!$YA"</f>
        <v>#REF!</v>
      </c>
      <c r="DS49" t="e">
        <f>#REF!+"$Cm=!$YB"</f>
        <v>#REF!</v>
      </c>
      <c r="DT49" t="e">
        <f>#REF!+"$Cm=!$YC"</f>
        <v>#REF!</v>
      </c>
      <c r="DU49" t="e">
        <f>#REF!+"$Cm=!$YD"</f>
        <v>#REF!</v>
      </c>
      <c r="DV49" t="e">
        <f>#REF!+"$Cm=!$YE"</f>
        <v>#REF!</v>
      </c>
      <c r="DW49" t="e">
        <f>#REF!+"$Cm=!$YF"</f>
        <v>#REF!</v>
      </c>
      <c r="DX49" t="e">
        <f>#REF!+"$Cm=!$YG"</f>
        <v>#REF!</v>
      </c>
      <c r="DY49" t="e">
        <f>#REF!+"$Cm=!$YH"</f>
        <v>#REF!</v>
      </c>
      <c r="DZ49" t="e">
        <f>#REF!+"$Cm=!$YI"</f>
        <v>#REF!</v>
      </c>
      <c r="EA49" t="e">
        <f>#REF!+"$Cm=!$YJ"</f>
        <v>#REF!</v>
      </c>
      <c r="EB49" t="e">
        <f>#REF!+"$Cm=!$YK"</f>
        <v>#REF!</v>
      </c>
      <c r="EC49" t="e">
        <f>#REF!+"$Cm=!$YL"</f>
        <v>#REF!</v>
      </c>
      <c r="ED49" t="e">
        <f>#REF!+"$Cm=!$YM"</f>
        <v>#REF!</v>
      </c>
      <c r="EE49" t="e">
        <f>#REF!+"$Cm=!$YN"</f>
        <v>#REF!</v>
      </c>
      <c r="EF49" t="e">
        <f>#REF!+"$Cm=!$YO"</f>
        <v>#REF!</v>
      </c>
      <c r="EG49" t="e">
        <f>#REF!+"$Cm=!$YP"</f>
        <v>#REF!</v>
      </c>
      <c r="EH49" t="e">
        <f>#REF!+"$Cm=!$YQ"</f>
        <v>#REF!</v>
      </c>
      <c r="EI49" t="e">
        <f>#REF!+"$Cm=!$YR"</f>
        <v>#REF!</v>
      </c>
      <c r="EJ49" t="e">
        <f>#REF!+"$Cm=!$YS"</f>
        <v>#REF!</v>
      </c>
      <c r="EK49" t="e">
        <f>#REF!+"$Cm=!$YT"</f>
        <v>#REF!</v>
      </c>
      <c r="EL49" t="e">
        <f>#REF!+"$Cm=!$YU"</f>
        <v>#REF!</v>
      </c>
      <c r="EM49" t="e">
        <f>#REF!+"$Cm=!$YV"</f>
        <v>#REF!</v>
      </c>
      <c r="EN49" t="e">
        <f>#REF!+"$Cm=!$YW"</f>
        <v>#REF!</v>
      </c>
      <c r="EO49" t="e">
        <f>#REF!+"$Cm=!$YX"</f>
        <v>#REF!</v>
      </c>
      <c r="EP49" t="e">
        <f>#REF!+"$Cm=!$YY"</f>
        <v>#REF!</v>
      </c>
      <c r="EQ49" t="e">
        <f>#REF!+"$Cm=!$YZ"</f>
        <v>#REF!</v>
      </c>
      <c r="ER49" t="e">
        <f>#REF!+"$Cm=!$Y["</f>
        <v>#REF!</v>
      </c>
      <c r="ES49" t="e">
        <f>#REF!+"$Cm=!$Y\"</f>
        <v>#REF!</v>
      </c>
      <c r="ET49" t="e">
        <f>#REF!+"$Cm=!$Y]"</f>
        <v>#REF!</v>
      </c>
      <c r="EU49" t="e">
        <f>#REF!+"$Cm=!$Y^"</f>
        <v>#REF!</v>
      </c>
      <c r="EV49" t="e">
        <f>#REF!+"$Cm=!$Y_"</f>
        <v>#REF!</v>
      </c>
      <c r="EW49" t="e">
        <f>#REF!+"$Cm=!$Y`"</f>
        <v>#REF!</v>
      </c>
      <c r="EX49" t="e">
        <f>#REF!+"$Cm=!$Ya"</f>
        <v>#REF!</v>
      </c>
      <c r="EY49" t="e">
        <f>#REF!+"$Cm=!$Yb"</f>
        <v>#REF!</v>
      </c>
      <c r="EZ49" t="e">
        <f>#REF!+"$Cm=!$Yc"</f>
        <v>#REF!</v>
      </c>
      <c r="FA49" t="e">
        <f>#REF!+"$Cm=!$Yd"</f>
        <v>#REF!</v>
      </c>
      <c r="FB49" t="e">
        <f>#REF!+"$Cm=!$Ye"</f>
        <v>#REF!</v>
      </c>
      <c r="FC49" t="e">
        <f>#REF!+"$Cm=!$Yf"</f>
        <v>#REF!</v>
      </c>
      <c r="FD49" t="e">
        <f>#REF!+"$Cm=!$Yg"</f>
        <v>#REF!</v>
      </c>
      <c r="FE49" t="e">
        <f>#REF!+"$Cm=!$Yh"</f>
        <v>#REF!</v>
      </c>
      <c r="FF49" t="e">
        <f>#REF!+"$Cm=!$Yi"</f>
        <v>#REF!</v>
      </c>
      <c r="FG49" t="e">
        <f>#REF!+"$Cm=!$Yj"</f>
        <v>#REF!</v>
      </c>
      <c r="FH49" t="e">
        <f>#REF!+"$Cm=!$Yk"</f>
        <v>#REF!</v>
      </c>
      <c r="FI49" t="e">
        <f>#REF!+"$Cm=!$Yl"</f>
        <v>#REF!</v>
      </c>
      <c r="FJ49" t="e">
        <f>#REF!+"$Cm=!$Ym"</f>
        <v>#REF!</v>
      </c>
      <c r="FK49" t="e">
        <f>#REF!+"$Cm=!$Yn"</f>
        <v>#REF!</v>
      </c>
      <c r="FL49" t="e">
        <f>#REF!+"$Cm=!$Yo"</f>
        <v>#REF!</v>
      </c>
      <c r="FM49" t="e">
        <f>#REF!+"$Cm=!$Yp"</f>
        <v>#REF!</v>
      </c>
      <c r="FN49" t="e">
        <f>#REF!+"$Cm=!$Yq"</f>
        <v>#REF!</v>
      </c>
      <c r="FO49" t="e">
        <f>#REF!+"$Cm=!$Yr"</f>
        <v>#REF!</v>
      </c>
      <c r="FP49" t="e">
        <f>#REF!+"$Cm=!$Ys"</f>
        <v>#REF!</v>
      </c>
      <c r="FQ49" t="e">
        <f>#REF!+"$Cm=!$Yt"</f>
        <v>#REF!</v>
      </c>
      <c r="FR49" t="e">
        <f>#REF!+"$Cm=!$Yu"</f>
        <v>#REF!</v>
      </c>
      <c r="FS49" t="e">
        <f>#REF!+"$Cm=!$Yv"</f>
        <v>#REF!</v>
      </c>
      <c r="FT49" t="e">
        <f>#REF!+"$Cm=!$Yw"</f>
        <v>#REF!</v>
      </c>
      <c r="FU49" t="e">
        <f>#REF!+"$Cm=!$Yx"</f>
        <v>#REF!</v>
      </c>
      <c r="FV49" t="e">
        <f>#REF!+"$Cm=!$Yy"</f>
        <v>#REF!</v>
      </c>
      <c r="FW49" t="e">
        <f>#REF!+"$Cm=!$Yz"</f>
        <v>#REF!</v>
      </c>
      <c r="FX49" t="e">
        <f>#REF!+"$Cm=!$Y{"</f>
        <v>#REF!</v>
      </c>
      <c r="FY49" t="e">
        <f>#REF!+"$Cm=!$Y|"</f>
        <v>#REF!</v>
      </c>
      <c r="FZ49" t="e">
        <f>#REF!+"$Cm=!$Y}"</f>
        <v>#REF!</v>
      </c>
      <c r="GA49" t="e">
        <f>#REF!+"$Cm=!$Y~"</f>
        <v>#REF!</v>
      </c>
      <c r="GB49" t="e">
        <f>#REF!+"$Cm=!$Z#"</f>
        <v>#REF!</v>
      </c>
      <c r="GC49" t="e">
        <f>#REF!+"$Cm=!$Z$"</f>
        <v>#REF!</v>
      </c>
      <c r="GD49" t="e">
        <f>#REF!+"$Cm=!$Z%"</f>
        <v>#REF!</v>
      </c>
      <c r="GE49" t="e">
        <f>#REF!+"$Cm=!$Z&amp;"</f>
        <v>#REF!</v>
      </c>
      <c r="GF49" t="e">
        <f>#REF!+"$Cm=!$Z'"</f>
        <v>#REF!</v>
      </c>
      <c r="GG49" t="e">
        <f>#REF!+"$Cm=!$Z("</f>
        <v>#REF!</v>
      </c>
      <c r="GH49" t="e">
        <f>#REF!+"$Cm=!$Z)"</f>
        <v>#REF!</v>
      </c>
      <c r="GI49" t="e">
        <f>#REF!+"$Cm=!$Z."</f>
        <v>#REF!</v>
      </c>
      <c r="GJ49" t="e">
        <f>#REF!+"$Cm=!$Z/"</f>
        <v>#REF!</v>
      </c>
      <c r="GK49" t="e">
        <f>#REF!+"$Cm=!$Z0"</f>
        <v>#REF!</v>
      </c>
      <c r="GL49" t="e">
        <f>#REF!+"$Cm=!$Z1"</f>
        <v>#REF!</v>
      </c>
      <c r="GM49" t="e">
        <f>#REF!+"$Cm=!$Z2"</f>
        <v>#REF!</v>
      </c>
      <c r="GN49" t="e">
        <f>#REF!+"$Cm=!$Z3"</f>
        <v>#REF!</v>
      </c>
      <c r="GO49" t="e">
        <f>#REF!+"$Cm=!$Z4"</f>
        <v>#REF!</v>
      </c>
      <c r="GP49" t="e">
        <f>#REF!+"$Cm=!$Z5"</f>
        <v>#REF!</v>
      </c>
      <c r="GQ49" t="e">
        <f>#REF!+"$Cm=!$Z6"</f>
        <v>#REF!</v>
      </c>
      <c r="GR49" t="e">
        <f>#REF!+"$Cm=!$Z7"</f>
        <v>#REF!</v>
      </c>
      <c r="GS49" t="e">
        <f>#REF!+"$Cm=!$Z8"</f>
        <v>#REF!</v>
      </c>
      <c r="GT49" t="e">
        <f>#REF!+"$Cm=!$Z9"</f>
        <v>#REF!</v>
      </c>
      <c r="GU49" t="e">
        <f>#REF!+"$Cm=!$Z:"</f>
        <v>#REF!</v>
      </c>
      <c r="GV49" t="e">
        <f>#REF!+"$Cm=!$Z;"</f>
        <v>#REF!</v>
      </c>
      <c r="GW49" t="e">
        <f>#REF!+"$Cm=!$Z&lt;"</f>
        <v>#REF!</v>
      </c>
      <c r="GX49" t="e">
        <f>#REF!+"$Cm=!$Z="</f>
        <v>#REF!</v>
      </c>
      <c r="GY49" t="e">
        <f>#REF!+"$Cm=!$Z&gt;"</f>
        <v>#REF!</v>
      </c>
      <c r="GZ49" t="e">
        <f>#REF!+"$Cm=!$Z?"</f>
        <v>#REF!</v>
      </c>
      <c r="HA49" t="e">
        <f>#REF!+"$Cm=!$Z@"</f>
        <v>#REF!</v>
      </c>
      <c r="HB49" t="e">
        <f>#REF!+"$Cm=!$ZA"</f>
        <v>#REF!</v>
      </c>
      <c r="HC49" t="e">
        <f>#REF!+"$Cm=!$ZB"</f>
        <v>#REF!</v>
      </c>
      <c r="HD49" t="e">
        <f>#REF!+"$Cm=!$ZC"</f>
        <v>#REF!</v>
      </c>
      <c r="HE49" t="e">
        <f>#REF!+"$Cm=!$ZD"</f>
        <v>#REF!</v>
      </c>
      <c r="HF49" t="e">
        <f>#REF!+"$Cm=!$ZE"</f>
        <v>#REF!</v>
      </c>
      <c r="HG49" t="e">
        <f>#REF!+"$Cm=!$ZF"</f>
        <v>#REF!</v>
      </c>
      <c r="HH49" t="e">
        <f>#REF!+"$Cm=!$ZG"</f>
        <v>#REF!</v>
      </c>
      <c r="HI49" t="e">
        <f>#REF!+"$Cm=!$ZH"</f>
        <v>#REF!</v>
      </c>
      <c r="HJ49" t="e">
        <f>#REF!+"$Cm=!$ZI"</f>
        <v>#REF!</v>
      </c>
      <c r="HK49" t="e">
        <f>#REF!+"$Cm=!$ZJ"</f>
        <v>#REF!</v>
      </c>
      <c r="HL49" t="e">
        <f>#REF!+"$Cm=!$ZK"</f>
        <v>#REF!</v>
      </c>
      <c r="HM49" t="e">
        <f>#REF!+"$Cm=!$ZL"</f>
        <v>#REF!</v>
      </c>
      <c r="HN49" t="e">
        <f>#REF!+"$Cm=!$ZM"</f>
        <v>#REF!</v>
      </c>
      <c r="HO49" t="e">
        <f>#REF!+"$Cm=!$ZN"</f>
        <v>#REF!</v>
      </c>
      <c r="HP49" t="e">
        <f>#REF!+"$Cm=!$ZO"</f>
        <v>#REF!</v>
      </c>
      <c r="HQ49" t="e">
        <f>#REF!+"$Cm=!$ZP"</f>
        <v>#REF!</v>
      </c>
      <c r="HR49" t="e">
        <f>#REF!+"$Cm=!$ZQ"</f>
        <v>#REF!</v>
      </c>
      <c r="HS49" t="e">
        <f>#REF!+"$Cm=!$ZR"</f>
        <v>#REF!</v>
      </c>
      <c r="HT49" t="e">
        <f>#REF!+"$Cm=!$ZS"</f>
        <v>#REF!</v>
      </c>
      <c r="HU49" t="e">
        <f>#REF!+"$Cm=!$ZT"</f>
        <v>#REF!</v>
      </c>
      <c r="HV49" t="e">
        <f>#REF!+"$Cm=!$ZU"</f>
        <v>#REF!</v>
      </c>
      <c r="HW49" t="e">
        <f>#REF!+"$Cm=!$ZV"</f>
        <v>#REF!</v>
      </c>
      <c r="HX49" t="e">
        <f>#REF!+"$Cm=!$ZW"</f>
        <v>#REF!</v>
      </c>
      <c r="HY49" t="e">
        <f>#REF!+"$Cm=!$ZX"</f>
        <v>#REF!</v>
      </c>
      <c r="HZ49" t="e">
        <f>#REF!+"$Cm=!$ZY"</f>
        <v>#REF!</v>
      </c>
      <c r="IA49" t="e">
        <f>#REF!+"$Cm=!$ZZ"</f>
        <v>#REF!</v>
      </c>
      <c r="IB49" t="e">
        <f>#REF!+"$Cm=!$Z["</f>
        <v>#REF!</v>
      </c>
      <c r="IC49" t="e">
        <f>#REF!+"$Cm=!$Z\"</f>
        <v>#REF!</v>
      </c>
      <c r="ID49" t="e">
        <f>#REF!+"$Cm=!$Z]"</f>
        <v>#REF!</v>
      </c>
      <c r="IE49" t="e">
        <f>#REF!+"$Cm=!$Z^"</f>
        <v>#REF!</v>
      </c>
      <c r="IF49" t="e">
        <f>#REF!+"$Cm=!$Z_"</f>
        <v>#REF!</v>
      </c>
      <c r="IG49" t="e">
        <f>#REF!+"$Cm=!$Z`"</f>
        <v>#REF!</v>
      </c>
      <c r="IH49" t="e">
        <f>#REF!+"$Cm=!$Za"</f>
        <v>#REF!</v>
      </c>
      <c r="II49" t="e">
        <f>#REF!+"$Cm=!$Zb"</f>
        <v>#REF!</v>
      </c>
      <c r="IJ49" t="e">
        <f>#REF!+"$Cm=!$Zc"</f>
        <v>#REF!</v>
      </c>
      <c r="IK49" t="e">
        <f>#REF!+"$Cm=!$Zd"</f>
        <v>#REF!</v>
      </c>
      <c r="IL49" t="e">
        <f>#REF!+"$Cm=!$Ze"</f>
        <v>#REF!</v>
      </c>
      <c r="IM49" t="e">
        <f>#REF!+"$Cm=!$Zf"</f>
        <v>#REF!</v>
      </c>
      <c r="IN49" t="e">
        <f>#REF!+"$Cm=!$Zg"</f>
        <v>#REF!</v>
      </c>
      <c r="IO49" t="e">
        <f>#REF!+"$Cm=!$Zh"</f>
        <v>#REF!</v>
      </c>
      <c r="IP49" t="e">
        <f>#REF!+"$Cm=!$Zi"</f>
        <v>#REF!</v>
      </c>
      <c r="IQ49" t="e">
        <f>#REF!+"$Cm=!$Zj"</f>
        <v>#REF!</v>
      </c>
      <c r="IR49" t="e">
        <f>#REF!+"$Cm=!$Zk"</f>
        <v>#REF!</v>
      </c>
      <c r="IS49" t="e">
        <f>#REF!+"$Cm=!$Zl"</f>
        <v>#REF!</v>
      </c>
      <c r="IT49" t="e">
        <f>#REF!+"$Cm=!$Zm"</f>
        <v>#REF!</v>
      </c>
      <c r="IU49" t="e">
        <f>#REF!+"$Cm=!$Zn"</f>
        <v>#REF!</v>
      </c>
      <c r="IV49" t="e">
        <f>#REF!+"$Cm=!$Zo"</f>
        <v>#REF!</v>
      </c>
    </row>
    <row r="50" spans="6:256">
      <c r="F50" t="e">
        <f>#REF!+"$Cm=!$Zp"</f>
        <v>#REF!</v>
      </c>
      <c r="G50" t="e">
        <f>#REF!+"$Cm=!$Zq"</f>
        <v>#REF!</v>
      </c>
      <c r="H50" t="e">
        <f>#REF!+"$Cm=!$Zr"</f>
        <v>#REF!</v>
      </c>
      <c r="I50" t="e">
        <f>#REF!+"$Cm=!$Zs"</f>
        <v>#REF!</v>
      </c>
      <c r="J50" t="e">
        <f>#REF!+"$Cm=!$Zt"</f>
        <v>#REF!</v>
      </c>
      <c r="K50" t="e">
        <f>#REF!+"$Cm=!$Zu"</f>
        <v>#REF!</v>
      </c>
      <c r="L50" t="e">
        <f>#REF!+"$Cm=!$Zv"</f>
        <v>#REF!</v>
      </c>
      <c r="M50" t="e">
        <f>#REF!+"$Cm=!$Zw"</f>
        <v>#REF!</v>
      </c>
      <c r="N50" t="e">
        <f>#REF!+"$Cm=!$Zx"</f>
        <v>#REF!</v>
      </c>
      <c r="O50" t="e">
        <f>#REF!+"$Cm=!$Zy"</f>
        <v>#REF!</v>
      </c>
      <c r="P50" t="e">
        <f>#REF!+"$Cm=!$Zz"</f>
        <v>#REF!</v>
      </c>
      <c r="Q50" t="e">
        <f>#REF!+"$Cm=!$Z{"</f>
        <v>#REF!</v>
      </c>
      <c r="R50" t="e">
        <f>#REF!+"$Cm=!$Z|"</f>
        <v>#REF!</v>
      </c>
      <c r="S50" t="e">
        <f>#REF!+"$Cm=!$Z}"</f>
        <v>#REF!</v>
      </c>
      <c r="T50" t="e">
        <f>#REF!+"$Cm=!$Z~"</f>
        <v>#REF!</v>
      </c>
      <c r="U50" t="e">
        <f>#REF!+"$Cm=!$[#"</f>
        <v>#REF!</v>
      </c>
      <c r="V50" t="e">
        <f>#REF!+"$Cm=!$[$"</f>
        <v>#REF!</v>
      </c>
      <c r="W50" t="e">
        <f>#REF!+"$Cm=!$[%"</f>
        <v>#REF!</v>
      </c>
      <c r="X50" t="e">
        <f>#REF!+"$Cm=!$[&amp;"</f>
        <v>#REF!</v>
      </c>
      <c r="Y50" t="e">
        <f>#REF!+"$Cm=!$['"</f>
        <v>#REF!</v>
      </c>
      <c r="Z50" t="e">
        <f>#REF!+"$Cm=!$[("</f>
        <v>#REF!</v>
      </c>
      <c r="AA50" t="e">
        <f>#REF!+"$Cm=!$[)"</f>
        <v>#REF!</v>
      </c>
      <c r="AB50" t="e">
        <f>#REF!+"$Cm=!$[."</f>
        <v>#REF!</v>
      </c>
      <c r="AC50" t="e">
        <f>#REF!+"$Cm=!$[/"</f>
        <v>#REF!</v>
      </c>
      <c r="AD50" t="e">
        <f>#REF!+"$Cm=!$[0"</f>
        <v>#REF!</v>
      </c>
      <c r="AE50" t="e">
        <f>#REF!+"$Cm=!$[1"</f>
        <v>#REF!</v>
      </c>
      <c r="AF50" t="e">
        <f>#REF!+"$Cm=!$[2"</f>
        <v>#REF!</v>
      </c>
      <c r="AG50" t="e">
        <f>#REF!+"$Cm=!$[3"</f>
        <v>#REF!</v>
      </c>
      <c r="AH50" t="e">
        <f>#REF!+"$Cm=!$[4"</f>
        <v>#REF!</v>
      </c>
      <c r="AI50" t="e">
        <f>#REF!+"$Cm=!$[5"</f>
        <v>#REF!</v>
      </c>
      <c r="AJ50" t="e">
        <f>#REF!+"$Cm=!$[6"</f>
        <v>#REF!</v>
      </c>
      <c r="AK50" t="e">
        <f>#REF!+"$Cm=!$[7"</f>
        <v>#REF!</v>
      </c>
      <c r="AL50" t="e">
        <f>#REF!+"$Cm=!$[8"</f>
        <v>#REF!</v>
      </c>
      <c r="AM50" t="e">
        <f>#REF!+"$Cm=!$[9"</f>
        <v>#REF!</v>
      </c>
      <c r="AN50" t="e">
        <f>#REF!+"$Cm=!$[:"</f>
        <v>#REF!</v>
      </c>
      <c r="AO50" t="e">
        <f>#REF!+"$Cm=!$[;"</f>
        <v>#REF!</v>
      </c>
      <c r="AP50" t="e">
        <f>#REF!+"$Cm=!$[&lt;"</f>
        <v>#REF!</v>
      </c>
      <c r="AQ50" t="e">
        <f>#REF!+"$Cm=!$[="</f>
        <v>#REF!</v>
      </c>
      <c r="AR50" t="e">
        <f>#REF!+"$Cm=!$[&gt;"</f>
        <v>#REF!</v>
      </c>
      <c r="AS50" t="e">
        <f>#REF!+"$Cm=!$[?"</f>
        <v>#REF!</v>
      </c>
      <c r="AT50" t="e">
        <f>#REF!+"$Cm=!$[@"</f>
        <v>#REF!</v>
      </c>
      <c r="AU50" t="e">
        <f>#REF!+"$Cm=!$[A"</f>
        <v>#REF!</v>
      </c>
      <c r="AV50" t="e">
        <f>#REF!+"$Cm=!$[B"</f>
        <v>#REF!</v>
      </c>
      <c r="AW50" t="e">
        <f>#REF!+"$Cm=!$[C"</f>
        <v>#REF!</v>
      </c>
      <c r="AX50" t="e">
        <f>#REF!+"$Cm=!$[D"</f>
        <v>#REF!</v>
      </c>
      <c r="AY50" t="e">
        <f>#REF!+"$Cm=!$[E"</f>
        <v>#REF!</v>
      </c>
      <c r="AZ50" t="e">
        <f>#REF!+"$Cm=!$[F"</f>
        <v>#REF!</v>
      </c>
      <c r="BA50" t="e">
        <f>#REF!+"$Cm=!$[G"</f>
        <v>#REF!</v>
      </c>
      <c r="BB50" t="e">
        <f>#REF!+"$Cm=!$[H"</f>
        <v>#REF!</v>
      </c>
      <c r="BC50" t="e">
        <f>#REF!+"$Cm=!$[I"</f>
        <v>#REF!</v>
      </c>
      <c r="BD50" t="e">
        <f>#REF!+"$Cm=!$[J"</f>
        <v>#REF!</v>
      </c>
      <c r="BE50" t="e">
        <f>#REF!+"$Cm=!$[K"</f>
        <v>#REF!</v>
      </c>
      <c r="BF50" t="e">
        <f>#REF!+"$Cm=!$[L"</f>
        <v>#REF!</v>
      </c>
      <c r="BG50" t="e">
        <f>#REF!+"$Cm=!$[M"</f>
        <v>#REF!</v>
      </c>
      <c r="BH50" t="e">
        <f>#REF!+"$Cm=!$[N"</f>
        <v>#REF!</v>
      </c>
      <c r="BI50" t="e">
        <f>#REF!+"$Cm=!$[O"</f>
        <v>#REF!</v>
      </c>
      <c r="BJ50" t="e">
        <f>#REF!+"$Cm=!$[P"</f>
        <v>#REF!</v>
      </c>
      <c r="BK50" t="e">
        <f>#REF!+"$Cm=!$[Q"</f>
        <v>#REF!</v>
      </c>
      <c r="BL50" t="e">
        <f>#REF!+"$Cm=!$[R"</f>
        <v>#REF!</v>
      </c>
      <c r="BM50" t="e">
        <f>#REF!+"$Cm=!$[S"</f>
        <v>#REF!</v>
      </c>
      <c r="BN50" t="e">
        <f>#REF!+"$Cm=!$[T"</f>
        <v>#REF!</v>
      </c>
      <c r="BO50" t="e">
        <f>#REF!+"$Cm=!$[U"</f>
        <v>#REF!</v>
      </c>
      <c r="BP50" t="e">
        <f>#REF!+"$Cm=!$[V"</f>
        <v>#REF!</v>
      </c>
      <c r="BQ50" t="e">
        <f>#REF!+"$Cm=!$[W"</f>
        <v>#REF!</v>
      </c>
      <c r="BR50" t="e">
        <f>#REF!+"$Cm=!$[X"</f>
        <v>#REF!</v>
      </c>
      <c r="BS50" t="e">
        <f>#REF!+"$Cm=!$[Y"</f>
        <v>#REF!</v>
      </c>
      <c r="BT50" t="e">
        <f>#REF!+"$Cm=!$[Z"</f>
        <v>#REF!</v>
      </c>
      <c r="BU50" t="e">
        <f>#REF!+"$Cm=!$[["</f>
        <v>#REF!</v>
      </c>
      <c r="BV50" t="e">
        <f>#REF!+"$Cm=!$[\"</f>
        <v>#REF!</v>
      </c>
      <c r="BW50" t="e">
        <f>#REF!+"$Cm=!$[]"</f>
        <v>#REF!</v>
      </c>
      <c r="BX50" t="e">
        <f>#REF!+"$Cm=!$[^"</f>
        <v>#REF!</v>
      </c>
      <c r="BY50" t="e">
        <f>#REF!+"$Cm=!$[_"</f>
        <v>#REF!</v>
      </c>
      <c r="BZ50" t="e">
        <f>#REF!+"$Cm=!$[`"</f>
        <v>#REF!</v>
      </c>
      <c r="CA50" t="e">
        <f>#REF!+"$Cm=!$[a"</f>
        <v>#REF!</v>
      </c>
      <c r="CB50" t="e">
        <f>#REF!+"$Cm=!$[b"</f>
        <v>#REF!</v>
      </c>
      <c r="CC50" t="e">
        <f>#REF!+"$Cm=!$[c"</f>
        <v>#REF!</v>
      </c>
      <c r="CD50" t="e">
        <f>#REF!+"$Cm=!$[d"</f>
        <v>#REF!</v>
      </c>
      <c r="CE50" t="e">
        <f>#REF!+"$Cm=!$[e"</f>
        <v>#REF!</v>
      </c>
      <c r="CF50" t="e">
        <f>#REF!+"$Cm=!$[f"</f>
        <v>#REF!</v>
      </c>
      <c r="CG50" t="e">
        <f>#REF!+"$Cm=!$[g"</f>
        <v>#REF!</v>
      </c>
      <c r="CH50" t="e">
        <f>#REF!+"$Cm=!$[h"</f>
        <v>#REF!</v>
      </c>
      <c r="CI50" t="e">
        <f>#REF!+"$Cm=!$[i"</f>
        <v>#REF!</v>
      </c>
      <c r="CJ50" t="e">
        <f>#REF!+"$Cm=!$[j"</f>
        <v>#REF!</v>
      </c>
      <c r="CK50" t="e">
        <f>#REF!+"$Cm=!$[k"</f>
        <v>#REF!</v>
      </c>
      <c r="CL50" t="e">
        <f>#REF!+"$Cm=!$[l"</f>
        <v>#REF!</v>
      </c>
      <c r="CM50" t="e">
        <f>#REF!+"$Cm=!$[m"</f>
        <v>#REF!</v>
      </c>
      <c r="CN50" t="e">
        <f>#REF!+"$Cm=!$[n"</f>
        <v>#REF!</v>
      </c>
      <c r="CO50" t="e">
        <f>#REF!+"$Cm=!$[o"</f>
        <v>#REF!</v>
      </c>
      <c r="CP50" t="e">
        <f>#REF!+"$Cm=!$[p"</f>
        <v>#REF!</v>
      </c>
      <c r="CQ50" t="e">
        <f>#REF!+"$Cm=!$[q"</f>
        <v>#REF!</v>
      </c>
      <c r="CR50" t="e">
        <f>#REF!+"$Cm=!$[r"</f>
        <v>#REF!</v>
      </c>
      <c r="CS50" t="e">
        <f>#REF!+"$Cm=!$[s"</f>
        <v>#REF!</v>
      </c>
      <c r="CT50" t="e">
        <f>#REF!+"$Cm=!$[t"</f>
        <v>#REF!</v>
      </c>
      <c r="CU50" t="e">
        <f>#REF!+"$Cm=!$[u"</f>
        <v>#REF!</v>
      </c>
      <c r="CV50" t="e">
        <f>#REF!+"$Cm=!$[v"</f>
        <v>#REF!</v>
      </c>
      <c r="CW50" t="e">
        <f>#REF!+"$Cm=!$[w"</f>
        <v>#REF!</v>
      </c>
      <c r="CX50" t="e">
        <f>#REF!+"$Cm=!$[x"</f>
        <v>#REF!</v>
      </c>
      <c r="CY50" t="e">
        <f>#REF!+"$Cm=!$[y"</f>
        <v>#REF!</v>
      </c>
      <c r="CZ50" t="e">
        <f>#REF!+"$Cm=!$[z"</f>
        <v>#REF!</v>
      </c>
      <c r="DA50" t="e">
        <f>#REF!+"$Cm=!$[{"</f>
        <v>#REF!</v>
      </c>
      <c r="DB50" t="e">
        <f>#REF!+"$Cm=!$[|"</f>
        <v>#REF!</v>
      </c>
      <c r="DC50" t="e">
        <f>#REF!+"$Cm=!$[}"</f>
        <v>#REF!</v>
      </c>
      <c r="DD50" t="e">
        <f>#REF!+"$Cm=!$[~"</f>
        <v>#REF!</v>
      </c>
      <c r="DE50" t="e">
        <f>#REF!+"$Cm=!$\#"</f>
        <v>#REF!</v>
      </c>
      <c r="DF50" t="e">
        <f>#REF!+"$Cm=!$\$"</f>
        <v>#REF!</v>
      </c>
      <c r="DG50" t="e">
        <f>#REF!+"$Cm=!$\%"</f>
        <v>#REF!</v>
      </c>
      <c r="DH50" t="e">
        <f>#REF!+"$Cm=!$\&amp;"</f>
        <v>#REF!</v>
      </c>
      <c r="DI50" t="e">
        <f>#REF!+"$Cm=!$\'"</f>
        <v>#REF!</v>
      </c>
      <c r="DJ50" t="e">
        <f>#REF!+"$Cm=!$\("</f>
        <v>#REF!</v>
      </c>
      <c r="DK50" t="e">
        <f>#REF!+"$Cm=!$\)"</f>
        <v>#REF!</v>
      </c>
      <c r="DL50" t="e">
        <f>#REF!+"$Cm=!$\."</f>
        <v>#REF!</v>
      </c>
      <c r="DM50" t="e">
        <f>#REF!+"$Cm=!$\/"</f>
        <v>#REF!</v>
      </c>
      <c r="DN50" t="e">
        <f>#REF!+"$Cm=!$\0"</f>
        <v>#REF!</v>
      </c>
      <c r="DO50" t="e">
        <f>#REF!+"$Cm=!$\1"</f>
        <v>#REF!</v>
      </c>
      <c r="DP50" t="e">
        <f>#REF!+"$Cm=!$\2"</f>
        <v>#REF!</v>
      </c>
      <c r="DQ50" t="e">
        <f>#REF!+"$Cm=!$\3"</f>
        <v>#REF!</v>
      </c>
      <c r="DR50" t="e">
        <f>#REF!+"$Cm=!$\4"</f>
        <v>#REF!</v>
      </c>
      <c r="DS50" t="e">
        <f>#REF!+"$Cm=!$\5"</f>
        <v>#REF!</v>
      </c>
      <c r="DT50" t="e">
        <f>#REF!+"$Cm=!$\6"</f>
        <v>#REF!</v>
      </c>
      <c r="DU50" t="e">
        <f>#REF!+"$Cm=!$\7"</f>
        <v>#REF!</v>
      </c>
      <c r="DV50" t="e">
        <f>#REF!+"$Cm=!$\8"</f>
        <v>#REF!</v>
      </c>
      <c r="DW50" t="e">
        <f>#REF!+"$Cm=!$\9"</f>
        <v>#REF!</v>
      </c>
      <c r="DX50" t="e">
        <f>#REF!+"$Cm=!$\:"</f>
        <v>#REF!</v>
      </c>
      <c r="DY50" t="e">
        <f>#REF!+"$Cm=!$\;"</f>
        <v>#REF!</v>
      </c>
      <c r="DZ50" t="e">
        <f>#REF!+"$Cm=!$\&lt;"</f>
        <v>#REF!</v>
      </c>
      <c r="EA50" t="e">
        <f>#REF!+"$Cm=!$\="</f>
        <v>#REF!</v>
      </c>
      <c r="EB50" t="e">
        <f>#REF!+"$Cm=!$\&gt;"</f>
        <v>#REF!</v>
      </c>
      <c r="EC50" t="e">
        <f>#REF!+"$Cm=!$\?"</f>
        <v>#REF!</v>
      </c>
      <c r="ED50" t="e">
        <f>#REF!+"$Cm=!$\@"</f>
        <v>#REF!</v>
      </c>
      <c r="EE50" t="e">
        <f>#REF!+"$Cm=!$\A"</f>
        <v>#REF!</v>
      </c>
      <c r="EF50" t="e">
        <f>#REF!+"$Cm=!$\B"</f>
        <v>#REF!</v>
      </c>
      <c r="EG50" t="e">
        <f>#REF!+"$Cm=!$\C"</f>
        <v>#REF!</v>
      </c>
      <c r="EH50" t="e">
        <f>#REF!+"$Cm=!$\D"</f>
        <v>#REF!</v>
      </c>
      <c r="EI50" t="e">
        <f>#REF!+"$Cm=!$\E"</f>
        <v>#REF!</v>
      </c>
      <c r="EJ50" t="e">
        <f>#REF!+"$Cm=!$\F"</f>
        <v>#REF!</v>
      </c>
      <c r="EK50" t="e">
        <f>#REF!+"$Cm=!$\G"</f>
        <v>#REF!</v>
      </c>
      <c r="EL50" t="e">
        <f>#REF!+"$Cm=!$\H"</f>
        <v>#REF!</v>
      </c>
      <c r="EM50" t="e">
        <f>#REF!+"$Cm=!$\I"</f>
        <v>#REF!</v>
      </c>
      <c r="EN50" t="e">
        <f>#REF!+"$Cm=!$\J"</f>
        <v>#REF!</v>
      </c>
      <c r="EO50" t="e">
        <f>#REF!+"$Cm=!$\K"</f>
        <v>#REF!</v>
      </c>
      <c r="EP50" t="e">
        <f>#REF!+"$Cm=!$\L"</f>
        <v>#REF!</v>
      </c>
      <c r="EQ50" t="e">
        <f>#REF!+"$Cm=!$\M"</f>
        <v>#REF!</v>
      </c>
      <c r="ER50" t="e">
        <f>#REF!+"$Cm=!$\N"</f>
        <v>#REF!</v>
      </c>
      <c r="ES50" t="e">
        <f>#REF!+"$Cm=!$\O"</f>
        <v>#REF!</v>
      </c>
      <c r="ET50" t="e">
        <f>#REF!+"$Cm=!$\P"</f>
        <v>#REF!</v>
      </c>
      <c r="EU50" t="e">
        <f>#REF!+"$Cm=!$\Q"</f>
        <v>#REF!</v>
      </c>
      <c r="EV50" t="e">
        <f>#REF!+"$Cm=!$\R"</f>
        <v>#REF!</v>
      </c>
      <c r="EW50" t="e">
        <f>#REF!+"$Cm=!$\S"</f>
        <v>#REF!</v>
      </c>
      <c r="EX50" t="e">
        <f>#REF!+"$Cm=!$\T"</f>
        <v>#REF!</v>
      </c>
      <c r="EY50" t="e">
        <f>#REF!+"$Cm=!$\U"</f>
        <v>#REF!</v>
      </c>
      <c r="EZ50" t="e">
        <f>#REF!+"$Cm=!$\V"</f>
        <v>#REF!</v>
      </c>
      <c r="FA50" t="e">
        <f>#REF!+"$Cm=!$\W"</f>
        <v>#REF!</v>
      </c>
      <c r="FB50" t="e">
        <f>#REF!+"$Cm=!$\X"</f>
        <v>#REF!</v>
      </c>
      <c r="FC50" t="e">
        <f>#REF!+"$Cm=!$\Y"</f>
        <v>#REF!</v>
      </c>
      <c r="FD50" t="e">
        <f>#REF!+"$Cm=!$\Z"</f>
        <v>#REF!</v>
      </c>
      <c r="FE50" t="e">
        <f>#REF!+"$Cm=!$\["</f>
        <v>#REF!</v>
      </c>
      <c r="FF50" t="e">
        <f>#REF!+"$Cm=!$\\"</f>
        <v>#REF!</v>
      </c>
      <c r="FG50" t="e">
        <f>#REF!+"$Cm=!$\]"</f>
        <v>#REF!</v>
      </c>
      <c r="FH50" t="e">
        <f>#REF!+"$Cm=!$\^"</f>
        <v>#REF!</v>
      </c>
      <c r="FI50" t="e">
        <f>#REF!+"$Cm=!$\_"</f>
        <v>#REF!</v>
      </c>
      <c r="FJ50" t="e">
        <f>#REF!+"$Cm=!$\`"</f>
        <v>#REF!</v>
      </c>
      <c r="FK50" t="e">
        <f>#REF!+"$Cm=!$\a"</f>
        <v>#REF!</v>
      </c>
      <c r="FL50" t="e">
        <f>#REF!+"$Cm=!$\b"</f>
        <v>#REF!</v>
      </c>
      <c r="FM50" t="e">
        <f>#REF!+"$Cm=!$\c"</f>
        <v>#REF!</v>
      </c>
      <c r="FN50" t="e">
        <f>#REF!+"$Cm=!$\d"</f>
        <v>#REF!</v>
      </c>
      <c r="FO50" t="e">
        <f>#REF!+"$Cm=!$\e"</f>
        <v>#REF!</v>
      </c>
      <c r="FP50" t="e">
        <f>#REF!+"$Cm=!$\f"</f>
        <v>#REF!</v>
      </c>
      <c r="FQ50" t="e">
        <f>#REF!+"$Cm=!$\g"</f>
        <v>#REF!</v>
      </c>
      <c r="FR50" t="e">
        <f>#REF!+"$Cm=!$\h"</f>
        <v>#REF!</v>
      </c>
      <c r="FS50" t="e">
        <f>#REF!+"$Cm=!$\i"</f>
        <v>#REF!</v>
      </c>
      <c r="FT50" t="e">
        <f>#REF!+"$Cm=!$\j"</f>
        <v>#REF!</v>
      </c>
      <c r="FU50" t="e">
        <f>#REF!+"$Cm=!$\k"</f>
        <v>#REF!</v>
      </c>
      <c r="FV50" t="e">
        <f>#REF!+"$Cm=!$\l"</f>
        <v>#REF!</v>
      </c>
      <c r="FW50" t="e">
        <f>#REF!+"$Cm=!$\m"</f>
        <v>#REF!</v>
      </c>
      <c r="FX50" t="e">
        <f>#REF!+"$Cm=!$\n"</f>
        <v>#REF!</v>
      </c>
      <c r="FY50" t="e">
        <f>#REF!+"$Cm=!$\o"</f>
        <v>#REF!</v>
      </c>
      <c r="FZ50" t="e">
        <f>#REF!+"$Cm=!$\p"</f>
        <v>#REF!</v>
      </c>
      <c r="GA50" t="e">
        <f>#REF!+"$Cm=!$\q"</f>
        <v>#REF!</v>
      </c>
      <c r="GB50" t="e">
        <f>#REF!+"$Cm=!$\r"</f>
        <v>#REF!</v>
      </c>
      <c r="GC50" t="e">
        <f>#REF!+"$Cm=!$\s"</f>
        <v>#REF!</v>
      </c>
      <c r="GD50" t="e">
        <f>#REF!+"$Cm=!$\t"</f>
        <v>#REF!</v>
      </c>
      <c r="GE50" t="e">
        <f>#REF!+"$Cm=!$\u"</f>
        <v>#REF!</v>
      </c>
      <c r="GF50" t="e">
        <f>#REF!+"$Cm=!$\v"</f>
        <v>#REF!</v>
      </c>
      <c r="GG50" t="e">
        <f>#REF!+"$Cm=!$\w"</f>
        <v>#REF!</v>
      </c>
      <c r="GH50" t="e">
        <f>#REF!+"$Cm=!$\x"</f>
        <v>#REF!</v>
      </c>
      <c r="GI50" t="e">
        <f>#REF!+"$Cm=!$\y"</f>
        <v>#REF!</v>
      </c>
      <c r="GJ50" t="e">
        <f>#REF!+"$Cm=!$\z"</f>
        <v>#REF!</v>
      </c>
      <c r="GK50" t="e">
        <f>#REF!+"$Cm=!$\{"</f>
        <v>#REF!</v>
      </c>
      <c r="GL50" t="e">
        <f>#REF!+"$Cm=!$\|"</f>
        <v>#REF!</v>
      </c>
      <c r="GM50" t="e">
        <f>#REF!+"$Cm=!$\}"</f>
        <v>#REF!</v>
      </c>
      <c r="GN50" t="e">
        <f>#REF!+"$Cm=!$\~"</f>
        <v>#REF!</v>
      </c>
      <c r="GO50" t="e">
        <f>#REF!+"$Cm=!$]#"</f>
        <v>#REF!</v>
      </c>
      <c r="GP50" t="e">
        <f>#REF!+"$Cm=!$]$"</f>
        <v>#REF!</v>
      </c>
      <c r="GQ50" t="e">
        <f>#REF!+"$Cm=!$]%"</f>
        <v>#REF!</v>
      </c>
      <c r="GR50" t="e">
        <f>#REF!+"$Cm=!$]&amp;"</f>
        <v>#REF!</v>
      </c>
      <c r="GS50" t="e">
        <f>#REF!+"$Cm=!$]'"</f>
        <v>#REF!</v>
      </c>
      <c r="GT50" t="e">
        <f>#REF!+"$Cm=!$]("</f>
        <v>#REF!</v>
      </c>
      <c r="GU50" t="e">
        <f>#REF!+"$Cm=!$])"</f>
        <v>#REF!</v>
      </c>
      <c r="GV50" t="e">
        <f>#REF!+"$Cm=!$]."</f>
        <v>#REF!</v>
      </c>
      <c r="GW50" t="e">
        <f>#REF!+"$Cm=!$]/"</f>
        <v>#REF!</v>
      </c>
      <c r="GX50" t="e">
        <f>#REF!+"$Cm=!$]0"</f>
        <v>#REF!</v>
      </c>
      <c r="GY50" t="e">
        <f>#REF!+"$Cm=!$]1"</f>
        <v>#REF!</v>
      </c>
      <c r="GZ50" t="e">
        <f>#REF!+"$Cm=!$]2"</f>
        <v>#REF!</v>
      </c>
      <c r="HA50" t="e">
        <f>#REF!+"$Cm=!$]3"</f>
        <v>#REF!</v>
      </c>
      <c r="HB50" t="e">
        <f>#REF!+"$Cm=!$]4"</f>
        <v>#REF!</v>
      </c>
      <c r="HC50" t="e">
        <f>#REF!+"$Cm=!$]5"</f>
        <v>#REF!</v>
      </c>
      <c r="HD50" t="e">
        <f>#REF!+"$Cm=!$]6"</f>
        <v>#REF!</v>
      </c>
      <c r="HE50" t="e">
        <f>#REF!+"$Cm=!$]7"</f>
        <v>#REF!</v>
      </c>
      <c r="HF50" t="e">
        <f>#REF!+"$Cm=!$]8"</f>
        <v>#REF!</v>
      </c>
      <c r="HG50" t="e">
        <f>#REF!+"$Cm=!$]9"</f>
        <v>#REF!</v>
      </c>
      <c r="HH50" t="e">
        <f>#REF!+"$Cm=!$]:"</f>
        <v>#REF!</v>
      </c>
      <c r="HI50" t="e">
        <f>#REF!+"$Cm=!$];"</f>
        <v>#REF!</v>
      </c>
      <c r="HJ50" t="e">
        <f>#REF!+"$Cm=!$]&lt;"</f>
        <v>#REF!</v>
      </c>
      <c r="HK50" t="e">
        <f>#REF!+"$Cm=!$]="</f>
        <v>#REF!</v>
      </c>
      <c r="HL50" t="e">
        <f>#REF!+"$Cm=!$]&gt;"</f>
        <v>#REF!</v>
      </c>
      <c r="HM50" t="e">
        <f>#REF!+"$Cm=!$]?"</f>
        <v>#REF!</v>
      </c>
      <c r="HN50" t="e">
        <f>#REF!+"$Cm=!$]@"</f>
        <v>#REF!</v>
      </c>
      <c r="HO50" t="e">
        <f>#REF!+"$Cm=!$]A"</f>
        <v>#REF!</v>
      </c>
      <c r="HP50" t="e">
        <f>#REF!+"$Cm=!$]B"</f>
        <v>#REF!</v>
      </c>
      <c r="HQ50" t="e">
        <f>#REF!+"$Cm=!$]C"</f>
        <v>#REF!</v>
      </c>
      <c r="HR50" t="e">
        <f>#REF!+"$Cm=!$]D"</f>
        <v>#REF!</v>
      </c>
      <c r="HS50" t="e">
        <f>#REF!+"$Cm=!$]E"</f>
        <v>#REF!</v>
      </c>
      <c r="HT50" t="e">
        <f>#REF!+"$Cm=!$]F"</f>
        <v>#REF!</v>
      </c>
      <c r="HU50" t="e">
        <f>#REF!+"$Cm=!$]G"</f>
        <v>#REF!</v>
      </c>
      <c r="HV50" t="e">
        <f>#REF!+"$Cm=!$]H"</f>
        <v>#REF!</v>
      </c>
      <c r="HW50" t="e">
        <f>#REF!+"$Cm=!$]I"</f>
        <v>#REF!</v>
      </c>
      <c r="HX50" t="e">
        <f>#REF!+"$Cm=!$]J"</f>
        <v>#REF!</v>
      </c>
      <c r="HY50" t="e">
        <f>#REF!+"$Cm=!$]K"</f>
        <v>#REF!</v>
      </c>
      <c r="HZ50" t="e">
        <f>#REF!+"$Cm=!$]L"</f>
        <v>#REF!</v>
      </c>
      <c r="IA50" t="e">
        <f>#REF!+"$Cm=!$]M"</f>
        <v>#REF!</v>
      </c>
      <c r="IB50" t="e">
        <f>#REF!+"$Cm=!$]N"</f>
        <v>#REF!</v>
      </c>
      <c r="IC50" t="e">
        <f>#REF!+"$Cm=!$]O"</f>
        <v>#REF!</v>
      </c>
      <c r="ID50" t="e">
        <f>#REF!+"$Cm=!$]P"</f>
        <v>#REF!</v>
      </c>
      <c r="IE50" t="e">
        <f>#REF!+"$Cm=!$]Q"</f>
        <v>#REF!</v>
      </c>
      <c r="IF50" t="e">
        <f>#REF!+"$Cm=!$]R"</f>
        <v>#REF!</v>
      </c>
      <c r="IG50" t="e">
        <f>#REF!+"$Cm=!$]S"</f>
        <v>#REF!</v>
      </c>
      <c r="IH50" t="e">
        <f>#REF!+"$Cm=!$]T"</f>
        <v>#REF!</v>
      </c>
      <c r="II50" t="e">
        <f>#REF!+"$Cm=!$]U"</f>
        <v>#REF!</v>
      </c>
      <c r="IJ50" t="e">
        <f>#REF!+"$Cm=!$]V"</f>
        <v>#REF!</v>
      </c>
      <c r="IK50" t="e">
        <f>#REF!+"$Cm=!$]W"</f>
        <v>#REF!</v>
      </c>
      <c r="IL50" t="e">
        <f>#REF!+"$Cm=!$]X"</f>
        <v>#REF!</v>
      </c>
      <c r="IM50" t="e">
        <f>#REF!+"$Cm=!$]Y"</f>
        <v>#REF!</v>
      </c>
      <c r="IN50" t="e">
        <f>#REF!+"$Cm=!$]Z"</f>
        <v>#REF!</v>
      </c>
      <c r="IO50" t="e">
        <f>#REF!+"$Cm=!$]["</f>
        <v>#REF!</v>
      </c>
      <c r="IP50" t="e">
        <f>#REF!+"$Cm=!$]\"</f>
        <v>#REF!</v>
      </c>
      <c r="IQ50" t="e">
        <f>#REF!+"$Cm=!$]]"</f>
        <v>#REF!</v>
      </c>
      <c r="IR50" t="e">
        <f>#REF!+"$Cm=!$]^"</f>
        <v>#REF!</v>
      </c>
      <c r="IS50" t="e">
        <f>#REF!+"$Cm=!$]_"</f>
        <v>#REF!</v>
      </c>
      <c r="IT50" t="e">
        <f>#REF!+"$Cm=!$]`"</f>
        <v>#REF!</v>
      </c>
      <c r="IU50" t="e">
        <f>#REF!+"$Cm=!$]a"</f>
        <v>#REF!</v>
      </c>
      <c r="IV50" t="e">
        <f>#REF!+"$Cm=!$]b"</f>
        <v>#REF!</v>
      </c>
    </row>
    <row r="51" spans="6:256">
      <c r="F51" t="e">
        <f>#REF!+"$Cm=!$]c"</f>
        <v>#REF!</v>
      </c>
      <c r="G51" t="e">
        <f>#REF!+"$Cm=!$]d"</f>
        <v>#REF!</v>
      </c>
      <c r="H51" t="e">
        <f>#REF!+"$Cm=!$]e"</f>
        <v>#REF!</v>
      </c>
      <c r="I51" t="e">
        <f>#REF!+"$Cm=!$]f"</f>
        <v>#REF!</v>
      </c>
      <c r="J51" t="e">
        <f>#REF!+"$Cm=!$]g"</f>
        <v>#REF!</v>
      </c>
      <c r="K51" t="e">
        <f>#REF!+"$Cm=!$]h"</f>
        <v>#REF!</v>
      </c>
      <c r="L51" t="e">
        <f>#REF!+"$Cm=!$]i"</f>
        <v>#REF!</v>
      </c>
      <c r="M51" t="e">
        <f>#REF!+"$Cm=!$]j"</f>
        <v>#REF!</v>
      </c>
      <c r="N51" t="e">
        <f>#REF!+"$Cm=!$]k"</f>
        <v>#REF!</v>
      </c>
      <c r="O51" t="e">
        <f>#REF!+"$Cm=!$]l"</f>
        <v>#REF!</v>
      </c>
      <c r="P51" t="e">
        <f>#REF!+"$Cm=!$]m"</f>
        <v>#REF!</v>
      </c>
      <c r="Q51" t="e">
        <f>#REF!+"$Cm=!$]n"</f>
        <v>#REF!</v>
      </c>
      <c r="R51" t="e">
        <f>#REF!+"$Cm=!$]o"</f>
        <v>#REF!</v>
      </c>
      <c r="S51" t="e">
        <f>#REF!+"$Cm=!$]p"</f>
        <v>#REF!</v>
      </c>
      <c r="T51" t="e">
        <f>#REF!+"$Cm=!$]q"</f>
        <v>#REF!</v>
      </c>
      <c r="U51" t="e">
        <f>#REF!+"$Cm=!$]r"</f>
        <v>#REF!</v>
      </c>
      <c r="V51" t="e">
        <f>#REF!+"$Cm=!$]s"</f>
        <v>#REF!</v>
      </c>
      <c r="W51" t="e">
        <f>#REF!+"$Cm=!$]t"</f>
        <v>#REF!</v>
      </c>
      <c r="X51" t="e">
        <f>#REF!+"$Cm=!$]u"</f>
        <v>#REF!</v>
      </c>
      <c r="Y51" t="e">
        <f>#REF!+"$Cm=!$]v"</f>
        <v>#REF!</v>
      </c>
      <c r="Z51" t="e">
        <f>#REF!+"$Cm=!$]w"</f>
        <v>#REF!</v>
      </c>
      <c r="AA51" t="e">
        <f>#REF!+"$Cm=!$]x"</f>
        <v>#REF!</v>
      </c>
      <c r="AB51" t="e">
        <f>#REF!+"$Cm=!$]y"</f>
        <v>#REF!</v>
      </c>
      <c r="AC51" t="e">
        <f>#REF!+"$Cm=!$]z"</f>
        <v>#REF!</v>
      </c>
      <c r="AD51" t="e">
        <f>#REF!+"$Cm=!$]{"</f>
        <v>#REF!</v>
      </c>
      <c r="AE51" t="e">
        <f>#REF!+"$Cm=!$]|"</f>
        <v>#REF!</v>
      </c>
      <c r="AF51" t="e">
        <f>#REF!+"$Cm=!$]}"</f>
        <v>#REF!</v>
      </c>
      <c r="AG51" t="e">
        <f>#REF!+"$Cm=!$]~"</f>
        <v>#REF!</v>
      </c>
      <c r="AH51" t="e">
        <f>#REF!+"$Cm=!$^#"</f>
        <v>#REF!</v>
      </c>
      <c r="AI51" t="e">
        <f>#REF!+"$Cm=!$^$"</f>
        <v>#REF!</v>
      </c>
      <c r="AJ51" t="e">
        <f>#REF!+"$Cm=!$^%"</f>
        <v>#REF!</v>
      </c>
      <c r="AK51" t="e">
        <f>#REF!+"$Cm=!$^&amp;"</f>
        <v>#REF!</v>
      </c>
      <c r="AL51" t="e">
        <f>#REF!+"$Cm=!$^'"</f>
        <v>#REF!</v>
      </c>
      <c r="AM51" t="e">
        <f>#REF!+"$Cm=!$^("</f>
        <v>#REF!</v>
      </c>
      <c r="AN51" t="e">
        <f>#REF!+"$Cm=!$^)"</f>
        <v>#REF!</v>
      </c>
      <c r="AO51" t="e">
        <f>#REF!+"$Cm=!$^."</f>
        <v>#REF!</v>
      </c>
      <c r="AP51" t="e">
        <f>#REF!+"$Cm=!$^/"</f>
        <v>#REF!</v>
      </c>
      <c r="AQ51" t="e">
        <f>#REF!+"$Cm=!$^0"</f>
        <v>#REF!</v>
      </c>
      <c r="AR51" t="e">
        <f>#REF!+"$Cm=!$^1"</f>
        <v>#REF!</v>
      </c>
      <c r="AS51" t="e">
        <f>#REF!+"$Cm=!$^2"</f>
        <v>#REF!</v>
      </c>
      <c r="AT51" t="e">
        <f>#REF!+"$Cm=!$^3"</f>
        <v>#REF!</v>
      </c>
      <c r="AU51" t="e">
        <f>#REF!+"$Cm=!$^4"</f>
        <v>#REF!</v>
      </c>
      <c r="AV51" t="e">
        <f>#REF!+"$Cm=!$^5"</f>
        <v>#REF!</v>
      </c>
      <c r="AW51" t="e">
        <f>#REF!+"$Cm=!$^6"</f>
        <v>#REF!</v>
      </c>
      <c r="AX51" t="e">
        <f>#REF!+"$Cm=!$^7"</f>
        <v>#REF!</v>
      </c>
      <c r="AY51" t="e">
        <f>#REF!+"$Cm=!$^8"</f>
        <v>#REF!</v>
      </c>
      <c r="AZ51" t="e">
        <f>#REF!+"$Cm=!$^9"</f>
        <v>#REF!</v>
      </c>
      <c r="BA51" t="e">
        <f>#REF!+"$Cm=!$^:"</f>
        <v>#REF!</v>
      </c>
      <c r="BB51" t="e">
        <f>#REF!+"$Cm=!$^;"</f>
        <v>#REF!</v>
      </c>
      <c r="BC51" t="e">
        <f>#REF!+"$Cm=!$^&lt;"</f>
        <v>#REF!</v>
      </c>
      <c r="BD51" t="e">
        <f>#REF!+"$Cm=!$^="</f>
        <v>#REF!</v>
      </c>
      <c r="BE51" t="e">
        <f>#REF!+"$Cm=!$^&gt;"</f>
        <v>#REF!</v>
      </c>
      <c r="BF51" t="e">
        <f>#REF!+"$Cm=!$^?"</f>
        <v>#REF!</v>
      </c>
      <c r="BG51" t="e">
        <f>#REF!+"$Cm=!$^@"</f>
        <v>#REF!</v>
      </c>
      <c r="BH51" t="e">
        <f>#REF!+"$Cm=!$^A"</f>
        <v>#REF!</v>
      </c>
      <c r="BI51" t="e">
        <f>#REF!+"$Cm=!$^B"</f>
        <v>#REF!</v>
      </c>
      <c r="BJ51" t="e">
        <f>#REF!+"$Cm=!$^C"</f>
        <v>#REF!</v>
      </c>
      <c r="BK51" t="e">
        <f>#REF!+"$Cm=!$^D"</f>
        <v>#REF!</v>
      </c>
      <c r="BL51" t="e">
        <f>#REF!+"$Cm=!$^E"</f>
        <v>#REF!</v>
      </c>
      <c r="BM51" t="e">
        <f>#REF!+"$Cm=!$^F"</f>
        <v>#REF!</v>
      </c>
      <c r="BN51" t="e">
        <f>#REF!+"$Cm=!$^G"</f>
        <v>#REF!</v>
      </c>
      <c r="BO51" t="e">
        <f>#REF!+"$Cm=!$^H"</f>
        <v>#REF!</v>
      </c>
      <c r="BP51" t="e">
        <f>#REF!+"$Cm=!$^I"</f>
        <v>#REF!</v>
      </c>
      <c r="BQ51" t="e">
        <f>#REF!+"$Cm=!$^J"</f>
        <v>#REF!</v>
      </c>
      <c r="BR51" t="e">
        <f>#REF!+"$Cm=!$^K"</f>
        <v>#REF!</v>
      </c>
      <c r="BS51" t="e">
        <f>#REF!+"$Cm=!$^L"</f>
        <v>#REF!</v>
      </c>
      <c r="BT51" t="e">
        <f>#REF!+"$Cm=!$^M"</f>
        <v>#REF!</v>
      </c>
      <c r="BU51" t="e">
        <f>#REF!+"$Cm=!$^N"</f>
        <v>#REF!</v>
      </c>
      <c r="BV51" t="e">
        <f>#REF!+"$Cm=!$^O"</f>
        <v>#REF!</v>
      </c>
      <c r="BW51" t="e">
        <f>#REF!+"$Cm=!$^P"</f>
        <v>#REF!</v>
      </c>
      <c r="BX51" t="e">
        <f>#REF!+"$Cm=!$^Q"</f>
        <v>#REF!</v>
      </c>
      <c r="BY51" t="e">
        <f>#REF!+"$Cm=!$^R"</f>
        <v>#REF!</v>
      </c>
      <c r="BZ51" t="e">
        <f>#REF!+"$Cm=!$^S"</f>
        <v>#REF!</v>
      </c>
      <c r="CA51" t="e">
        <f>#REF!+"$Cm=!$^T"</f>
        <v>#REF!</v>
      </c>
      <c r="CB51" t="e">
        <f>#REF!+"$Cm=!$^U"</f>
        <v>#REF!</v>
      </c>
      <c r="CC51" t="e">
        <f>#REF!+"$Cm=!$^V"</f>
        <v>#REF!</v>
      </c>
      <c r="CD51" t="e">
        <f>#REF!+"$Cm=!$^W"</f>
        <v>#REF!</v>
      </c>
      <c r="CE51" t="e">
        <f>#REF!+"$Cm=!$^X"</f>
        <v>#REF!</v>
      </c>
      <c r="CF51" t="e">
        <f>#REF!+"$Cm=!$^Y"</f>
        <v>#REF!</v>
      </c>
      <c r="CG51" t="e">
        <f>#REF!+"$Cm=!$^Z"</f>
        <v>#REF!</v>
      </c>
      <c r="CH51" t="e">
        <f>#REF!+"$Cm=!$^["</f>
        <v>#REF!</v>
      </c>
      <c r="CI51" t="e">
        <f>#REF!+"$Cm=!$^\"</f>
        <v>#REF!</v>
      </c>
      <c r="CJ51" t="e">
        <f>#REF!+"$Cm=!$^]"</f>
        <v>#REF!</v>
      </c>
      <c r="CK51" t="e">
        <f>#REF!+"$Cm=!$^^"</f>
        <v>#REF!</v>
      </c>
      <c r="CL51" t="e">
        <f>#REF!+"$Cm=!$^_"</f>
        <v>#REF!</v>
      </c>
      <c r="CM51" t="e">
        <f>#REF!+"$Cm=!$^`"</f>
        <v>#REF!</v>
      </c>
      <c r="CN51" t="e">
        <f>#REF!+"$Cm=!$^a"</f>
        <v>#REF!</v>
      </c>
      <c r="CO51" t="e">
        <f>#REF!+"$Cm=!$^b"</f>
        <v>#REF!</v>
      </c>
      <c r="CP51" t="e">
        <f>#REF!+"$Cm=!$^c"</f>
        <v>#REF!</v>
      </c>
      <c r="CQ51" t="e">
        <f>#REF!+"$Cm=!$^d"</f>
        <v>#REF!</v>
      </c>
      <c r="CR51" t="e">
        <f>#REF!+"$Cm=!$^e"</f>
        <v>#REF!</v>
      </c>
      <c r="CS51" t="e">
        <f>#REF!+"$Cm=!$^f"</f>
        <v>#REF!</v>
      </c>
      <c r="CT51" t="e">
        <f>#REF!+"$Cm=!$^g"</f>
        <v>#REF!</v>
      </c>
      <c r="CU51" t="e">
        <f>#REF!+"$Cm=!$^h"</f>
        <v>#REF!</v>
      </c>
      <c r="CV51" t="e">
        <f>#REF!+"$Cm=!$^i"</f>
        <v>#REF!</v>
      </c>
      <c r="CW51" t="e">
        <f>#REF!+"$Cm=!$^j"</f>
        <v>#REF!</v>
      </c>
      <c r="CX51" t="e">
        <f>#REF!+"$Cm=!$^k"</f>
        <v>#REF!</v>
      </c>
      <c r="CY51" t="e">
        <f>#REF!+"$Cm=!$^l"</f>
        <v>#REF!</v>
      </c>
      <c r="CZ51" t="e">
        <f>#REF!+"$Cm=!$^m"</f>
        <v>#REF!</v>
      </c>
      <c r="DA51" t="e">
        <f>#REF!+"$Cm=!$^n"</f>
        <v>#REF!</v>
      </c>
      <c r="DB51" t="e">
        <f>#REF!+"$Cm=!$^o"</f>
        <v>#REF!</v>
      </c>
      <c r="DC51" t="e">
        <f>#REF!+"$Cm=!$^p"</f>
        <v>#REF!</v>
      </c>
      <c r="DD51" t="e">
        <f>#REF!+"$Cm=!$^q"</f>
        <v>#REF!</v>
      </c>
      <c r="DE51" t="e">
        <f>#REF!+"$Cm=!$^r"</f>
        <v>#REF!</v>
      </c>
      <c r="DF51" t="e">
        <f>#REF!+"$Cm=!$^s"</f>
        <v>#REF!</v>
      </c>
      <c r="DG51" t="e">
        <f>#REF!+"$Cm=!$^t"</f>
        <v>#REF!</v>
      </c>
      <c r="DH51" t="e">
        <f>#REF!+"$Cm=!$^u"</f>
        <v>#REF!</v>
      </c>
      <c r="DI51" t="e">
        <f>#REF!+"$Cm=!$^v"</f>
        <v>#REF!</v>
      </c>
      <c r="DJ51" t="e">
        <f>#REF!+"$Cm=!$^w"</f>
        <v>#REF!</v>
      </c>
      <c r="DK51" t="e">
        <f>#REF!+"$Cm=!$^x"</f>
        <v>#REF!</v>
      </c>
      <c r="DL51" t="e">
        <f>#REF!+"$Cm=!$^y"</f>
        <v>#REF!</v>
      </c>
      <c r="DM51" t="e">
        <f>#REF!+"$Cm=!$^z"</f>
        <v>#REF!</v>
      </c>
      <c r="DN51" t="e">
        <f>#REF!+"$Cm=!$^{"</f>
        <v>#REF!</v>
      </c>
      <c r="DO51" t="e">
        <f>#REF!+"$Cm=!$^|"</f>
        <v>#REF!</v>
      </c>
      <c r="DP51" t="e">
        <f>#REF!+"$Cm=!$^}"</f>
        <v>#REF!</v>
      </c>
      <c r="DQ51" t="e">
        <f>#REF!+"$Cm=!$^~"</f>
        <v>#REF!</v>
      </c>
      <c r="DR51" t="e">
        <f>#REF!+"$Cm=!$_#"</f>
        <v>#REF!</v>
      </c>
      <c r="DS51" t="e">
        <f>#REF!+"$Cm=!$_$"</f>
        <v>#REF!</v>
      </c>
      <c r="DT51" t="e">
        <f>#REF!+"$Cm=!$_%"</f>
        <v>#REF!</v>
      </c>
      <c r="DU51" t="e">
        <f>#REF!+"$Cm=!$_&amp;"</f>
        <v>#REF!</v>
      </c>
      <c r="DV51" t="e">
        <f>#REF!+"$Cm=!$_'"</f>
        <v>#REF!</v>
      </c>
      <c r="DW51" t="e">
        <f>#REF!+"$Cm=!$_("</f>
        <v>#REF!</v>
      </c>
      <c r="DX51" t="e">
        <f>#REF!+"$Cm=!$_)"</f>
        <v>#REF!</v>
      </c>
      <c r="DY51" t="e">
        <f>#REF!+"$Cm=!$_."</f>
        <v>#REF!</v>
      </c>
      <c r="DZ51" t="e">
        <f>#REF!+"$Cm=!$_/"</f>
        <v>#REF!</v>
      </c>
      <c r="EA51" t="e">
        <f>#REF!+"$Cm=!$_0"</f>
        <v>#REF!</v>
      </c>
      <c r="EB51" t="e">
        <f>#REF!+"$Cm=!$_1"</f>
        <v>#REF!</v>
      </c>
      <c r="EC51" t="e">
        <f>#REF!+"$Cm=!$_2"</f>
        <v>#REF!</v>
      </c>
      <c r="ED51" t="e">
        <f>#REF!+"$Cm=!$_3"</f>
        <v>#REF!</v>
      </c>
      <c r="EE51" t="e">
        <f>#REF!+"$Cm=!$_4"</f>
        <v>#REF!</v>
      </c>
      <c r="EF51" t="e">
        <f>#REF!+"$Cm=!$_5"</f>
        <v>#REF!</v>
      </c>
      <c r="EG51" t="e">
        <f>#REF!+"$Cm=!$_6"</f>
        <v>#REF!</v>
      </c>
      <c r="EH51" t="e">
        <f>#REF!+"$Cm=!$_7"</f>
        <v>#REF!</v>
      </c>
      <c r="EI51" t="e">
        <f>#REF!+"$Cm=!$_8"</f>
        <v>#REF!</v>
      </c>
      <c r="EJ51" t="e">
        <f>#REF!+"$Cm=!$_9"</f>
        <v>#REF!</v>
      </c>
      <c r="EK51" t="e">
        <f>#REF!+"$Cm=!$_:"</f>
        <v>#REF!</v>
      </c>
      <c r="EL51" t="e">
        <f>#REF!+"$Cm=!$_;"</f>
        <v>#REF!</v>
      </c>
      <c r="EM51" t="e">
        <f>#REF!+"$Cm=!$_&lt;"</f>
        <v>#REF!</v>
      </c>
      <c r="EN51" t="e">
        <f>#REF!+"$Cm=!$_="</f>
        <v>#REF!</v>
      </c>
      <c r="EO51" t="e">
        <f>#REF!+"$Cm=!$_&gt;"</f>
        <v>#REF!</v>
      </c>
      <c r="EP51" t="e">
        <f>#REF!+"$Cm=!$_?"</f>
        <v>#REF!</v>
      </c>
      <c r="EQ51" t="e">
        <f>#REF!+"$Cm=!$_@"</f>
        <v>#REF!</v>
      </c>
      <c r="ER51" t="e">
        <f>#REF!+"$Cm=!$_A"</f>
        <v>#REF!</v>
      </c>
      <c r="ES51" t="e">
        <f>#REF!+"$Cm=!$_B"</f>
        <v>#REF!</v>
      </c>
      <c r="ET51" t="e">
        <f>#REF!+"$Cm=!$_C"</f>
        <v>#REF!</v>
      </c>
      <c r="EU51" t="e">
        <f>#REF!+"$Cm=!$_D"</f>
        <v>#REF!</v>
      </c>
      <c r="EV51" t="e">
        <f>#REF!+"$Cm=!$_E"</f>
        <v>#REF!</v>
      </c>
      <c r="EW51" t="e">
        <f>#REF!+"$Cm=!$_F"</f>
        <v>#REF!</v>
      </c>
      <c r="EX51" t="e">
        <f>#REF!+"$Cm=!$_G"</f>
        <v>#REF!</v>
      </c>
      <c r="EY51" t="e">
        <f>#REF!+"$Cm=!$_H"</f>
        <v>#REF!</v>
      </c>
      <c r="EZ51" t="e">
        <f>#REF!+"$Cm=!$_I"</f>
        <v>#REF!</v>
      </c>
      <c r="FA51" t="e">
        <f>#REF!+"$Cm=!$_J"</f>
        <v>#REF!</v>
      </c>
      <c r="FB51" t="e">
        <f>#REF!+"$Cm=!$_K"</f>
        <v>#REF!</v>
      </c>
      <c r="FC51" t="e">
        <f>#REF!+"$Cm=!$_L"</f>
        <v>#REF!</v>
      </c>
      <c r="FD51" t="e">
        <f>#REF!+"$Cm=!$_M"</f>
        <v>#REF!</v>
      </c>
      <c r="FE51" t="e">
        <f>#REF!+"$Cm=!$_N"</f>
        <v>#REF!</v>
      </c>
      <c r="FF51" t="e">
        <f>#REF!+"$Cm=!$_O"</f>
        <v>#REF!</v>
      </c>
      <c r="FG51" t="e">
        <f>#REF!+"$Cm=!$_P"</f>
        <v>#REF!</v>
      </c>
      <c r="FH51" t="e">
        <f>#REF!+"$Cm=!$_Q"</f>
        <v>#REF!</v>
      </c>
      <c r="FI51" t="e">
        <f>#REF!+"$Cm=!$_R"</f>
        <v>#REF!</v>
      </c>
      <c r="FJ51" t="e">
        <f>#REF!+"$Cm=!$_S"</f>
        <v>#REF!</v>
      </c>
      <c r="FK51" t="e">
        <f>#REF!+"$Cm=!$_T"</f>
        <v>#REF!</v>
      </c>
      <c r="FL51" t="e">
        <f>#REF!+"$Cm=!$_U"</f>
        <v>#REF!</v>
      </c>
      <c r="FM51" t="e">
        <f>#REF!+"$Cm=!$_V"</f>
        <v>#REF!</v>
      </c>
      <c r="FN51" t="e">
        <f>#REF!+"$Cm=!$_W"</f>
        <v>#REF!</v>
      </c>
      <c r="FO51" t="e">
        <f>#REF!+"$Cm=!$_X"</f>
        <v>#REF!</v>
      </c>
      <c r="FP51" t="e">
        <f>#REF!+"$Cm=!$_Y"</f>
        <v>#REF!</v>
      </c>
      <c r="FQ51" t="e">
        <f>#REF!+"$Cm=!$_Z"</f>
        <v>#REF!</v>
      </c>
      <c r="FR51" t="e">
        <f>#REF!+"$Cm=!$_["</f>
        <v>#REF!</v>
      </c>
      <c r="FS51" t="e">
        <f>#REF!+"$Cm=!$_\"</f>
        <v>#REF!</v>
      </c>
      <c r="FT51" t="e">
        <f>#REF!+"$Cm=!$_]"</f>
        <v>#REF!</v>
      </c>
      <c r="FU51" t="e">
        <f>#REF!+"$Cm=!$_^"</f>
        <v>#REF!</v>
      </c>
      <c r="FV51" t="e">
        <f>#REF!+"$Cm=!$__"</f>
        <v>#REF!</v>
      </c>
      <c r="FW51" t="e">
        <f>#REF!+"$Cm=!$_`"</f>
        <v>#REF!</v>
      </c>
      <c r="FX51" t="e">
        <f>#REF!+"$Cm=!$_a"</f>
        <v>#REF!</v>
      </c>
      <c r="FY51" t="e">
        <f>#REF!+"$Cm=!$_b"</f>
        <v>#REF!</v>
      </c>
      <c r="FZ51" t="e">
        <f>#REF!+"$Cm=!$_c"</f>
        <v>#REF!</v>
      </c>
      <c r="GA51" t="e">
        <f>#REF!+"$Cm=!$_d"</f>
        <v>#REF!</v>
      </c>
      <c r="GB51" t="e">
        <f>#REF!+"$Cm=!$_e"</f>
        <v>#REF!</v>
      </c>
      <c r="GC51" t="e">
        <f>#REF!+"$Cm=!$_f"</f>
        <v>#REF!</v>
      </c>
      <c r="GD51" t="e">
        <f>#REF!+"$Cm=!$_g"</f>
        <v>#REF!</v>
      </c>
      <c r="GE51" t="e">
        <f>#REF!+"$Cm=!$_h"</f>
        <v>#REF!</v>
      </c>
      <c r="GF51" t="e">
        <f>#REF!+"$Cm=!$_i"</f>
        <v>#REF!</v>
      </c>
      <c r="GG51" t="e">
        <f>#REF!+"$Cm=!$_j"</f>
        <v>#REF!</v>
      </c>
      <c r="GH51" t="e">
        <f>#REF!+"$Cm=!$_k"</f>
        <v>#REF!</v>
      </c>
      <c r="GI51" t="e">
        <f>#REF!+"$Cm=!$_l"</f>
        <v>#REF!</v>
      </c>
      <c r="GJ51" t="e">
        <f>#REF!+"$Cm=!$_m"</f>
        <v>#REF!</v>
      </c>
      <c r="GK51" t="e">
        <f>#REF!+"$Cm=!$_n"</f>
        <v>#REF!</v>
      </c>
      <c r="GL51" t="e">
        <f>#REF!+"$Cm=!$_o"</f>
        <v>#REF!</v>
      </c>
      <c r="GM51" t="e">
        <f>#REF!+"$Cm=!$_p"</f>
        <v>#REF!</v>
      </c>
      <c r="GN51" t="e">
        <f>#REF!+"$Cm=!$_q"</f>
        <v>#REF!</v>
      </c>
      <c r="GO51" t="e">
        <f>#REF!+"$Cm=!$_r"</f>
        <v>#REF!</v>
      </c>
      <c r="GP51" t="e">
        <f>#REF!+"$Cm=!$_s"</f>
        <v>#REF!</v>
      </c>
      <c r="GQ51" t="e">
        <f>#REF!+"$Cm=!$_t"</f>
        <v>#REF!</v>
      </c>
      <c r="GR51" t="e">
        <f>#REF!+"$Cm=!$_u"</f>
        <v>#REF!</v>
      </c>
      <c r="GS51" t="e">
        <f>#REF!+"$Cm=!$_v"</f>
        <v>#REF!</v>
      </c>
      <c r="GT51" t="e">
        <f>#REF!+"$Cm=!$_w"</f>
        <v>#REF!</v>
      </c>
      <c r="GU51" t="e">
        <f>#REF!+"$Cm=!$_x"</f>
        <v>#REF!</v>
      </c>
      <c r="GV51" t="e">
        <f>#REF!+"$Cm=!$_y"</f>
        <v>#REF!</v>
      </c>
      <c r="GW51" t="e">
        <f>#REF!+"$Cm=!$_z"</f>
        <v>#REF!</v>
      </c>
      <c r="GX51" t="e">
        <f>#REF!+"$Cm=!$_{"</f>
        <v>#REF!</v>
      </c>
      <c r="GY51" t="e">
        <f>#REF!+"$Cm=!$_|"</f>
        <v>#REF!</v>
      </c>
      <c r="GZ51" t="e">
        <f>#REF!+"$Cm=!$_}"</f>
        <v>#REF!</v>
      </c>
      <c r="HA51" t="e">
        <f>#REF!+"$Cm=!$_~"</f>
        <v>#REF!</v>
      </c>
      <c r="HB51" t="e">
        <f>#REF!+"$Cm=!$`#"</f>
        <v>#REF!</v>
      </c>
      <c r="HC51" t="e">
        <f>#REF!+"$Cm=!$`$"</f>
        <v>#REF!</v>
      </c>
      <c r="HD51" t="e">
        <f>#REF!+"$Cm=!$`%"</f>
        <v>#REF!</v>
      </c>
      <c r="HE51" t="e">
        <f>#REF!+"$Cm=!$`&amp;"</f>
        <v>#REF!</v>
      </c>
      <c r="HF51" t="e">
        <f>#REF!+"$Cm=!$`'"</f>
        <v>#REF!</v>
      </c>
      <c r="HG51" t="e">
        <f>#REF!+"$Cm=!$`("</f>
        <v>#REF!</v>
      </c>
      <c r="HH51" t="e">
        <f>#REF!+"$Cm=!$`)"</f>
        <v>#REF!</v>
      </c>
      <c r="HI51" t="e">
        <f>#REF!+"$Cm=!$`."</f>
        <v>#REF!</v>
      </c>
      <c r="HJ51" t="e">
        <f>#REF!+"$Cm=!$`/"</f>
        <v>#REF!</v>
      </c>
      <c r="HK51" t="e">
        <f>#REF!+"$Cm=!$`0"</f>
        <v>#REF!</v>
      </c>
      <c r="HL51" t="e">
        <f>#REF!+"$Cm=!$`1"</f>
        <v>#REF!</v>
      </c>
      <c r="HM51" t="e">
        <f>#REF!+"$Cm=!$`2"</f>
        <v>#REF!</v>
      </c>
      <c r="HN51" t="e">
        <f>#REF!+"$Cm=!$`3"</f>
        <v>#REF!</v>
      </c>
      <c r="HO51" t="e">
        <f>#REF!+"$Cm=!$`4"</f>
        <v>#REF!</v>
      </c>
      <c r="HP51" t="e">
        <f>#REF!+"$Cm=!$`5"</f>
        <v>#REF!</v>
      </c>
      <c r="HQ51" t="e">
        <f>#REF!+"$Cm=!$`6"</f>
        <v>#REF!</v>
      </c>
      <c r="HR51" t="e">
        <f>#REF!+"$Cm=!$`7"</f>
        <v>#REF!</v>
      </c>
      <c r="HS51" t="e">
        <f>#REF!+"$Cm=!$`8"</f>
        <v>#REF!</v>
      </c>
      <c r="HT51" t="e">
        <f>#REF!+"$Cm=!$`9"</f>
        <v>#REF!</v>
      </c>
      <c r="HU51" t="e">
        <f>#REF!+"$Cm=!$`:"</f>
        <v>#REF!</v>
      </c>
      <c r="HV51" t="e">
        <f>#REF!+"$Cm=!$`;"</f>
        <v>#REF!</v>
      </c>
      <c r="HW51" t="e">
        <f>#REF!+"$Cm=!$`&lt;"</f>
        <v>#REF!</v>
      </c>
      <c r="HX51" t="e">
        <f>#REF!+"$Cm=!$`="</f>
        <v>#REF!</v>
      </c>
      <c r="HY51" t="e">
        <f>#REF!+"$Cm=!$`&gt;"</f>
        <v>#REF!</v>
      </c>
      <c r="HZ51" t="e">
        <f>#REF!+"$Cm=!$`?"</f>
        <v>#REF!</v>
      </c>
      <c r="IA51" t="e">
        <f>#REF!+"$Cm=!$`@"</f>
        <v>#REF!</v>
      </c>
      <c r="IB51" t="e">
        <f>#REF!+"$Cm=!$`A"</f>
        <v>#REF!</v>
      </c>
      <c r="IC51" t="e">
        <f>#REF!+"$Cm=!$`B"</f>
        <v>#REF!</v>
      </c>
      <c r="ID51" t="e">
        <f>#REF!+"$Cm=!$`C"</f>
        <v>#REF!</v>
      </c>
      <c r="IE51" t="e">
        <f>#REF!+"$Cm=!$`D"</f>
        <v>#REF!</v>
      </c>
      <c r="IF51" t="e">
        <f>#REF!+"$Cm=!$`E"</f>
        <v>#REF!</v>
      </c>
      <c r="IG51" t="e">
        <f>#REF!+"$Cm=!$`F"</f>
        <v>#REF!</v>
      </c>
      <c r="IH51" t="e">
        <f>#REF!+"$Cm=!$`G"</f>
        <v>#REF!</v>
      </c>
      <c r="II51" t="e">
        <f>#REF!+"$Cm=!$`H"</f>
        <v>#REF!</v>
      </c>
      <c r="IJ51" t="e">
        <f>#REF!+"$Cm=!$`I"</f>
        <v>#REF!</v>
      </c>
      <c r="IK51" t="e">
        <f>#REF!+"$Cm=!$`J"</f>
        <v>#REF!</v>
      </c>
      <c r="IL51" t="e">
        <f>#REF!+"$Cm=!$`K"</f>
        <v>#REF!</v>
      </c>
      <c r="IM51" t="e">
        <f>#REF!+"$Cm=!$`L"</f>
        <v>#REF!</v>
      </c>
      <c r="IN51" t="e">
        <f>#REF!+"$Cm=!$`M"</f>
        <v>#REF!</v>
      </c>
      <c r="IO51" t="e">
        <f>#REF!+"$Cm=!$`N"</f>
        <v>#REF!</v>
      </c>
      <c r="IP51" t="e">
        <f>#REF!+"$Cm=!$`O"</f>
        <v>#REF!</v>
      </c>
      <c r="IQ51" t="e">
        <f>#REF!+"$Cm=!$`P"</f>
        <v>#REF!</v>
      </c>
      <c r="IR51" t="e">
        <f>#REF!+"$Cm=!$`Q"</f>
        <v>#REF!</v>
      </c>
      <c r="IS51" t="e">
        <f>#REF!+"$Cm=!$`R"</f>
        <v>#REF!</v>
      </c>
      <c r="IT51" t="e">
        <f>#REF!+"$Cm=!$`S"</f>
        <v>#REF!</v>
      </c>
      <c r="IU51" t="e">
        <f>#REF!+"$Cm=!$`T"</f>
        <v>#REF!</v>
      </c>
      <c r="IV51" t="e">
        <f>#REF!+"$Cm=!$`U"</f>
        <v>#REF!</v>
      </c>
    </row>
    <row r="52" spans="6:256">
      <c r="F52" t="e">
        <f>#REF!+"$Cm=!$`V"</f>
        <v>#REF!</v>
      </c>
      <c r="G52" t="e">
        <f>#REF!+"$Cm=!$`W"</f>
        <v>#REF!</v>
      </c>
      <c r="H52" t="e">
        <f>#REF!+"$Cm=!$`X"</f>
        <v>#REF!</v>
      </c>
      <c r="I52" t="e">
        <f>#REF!+"$Cm=!$`Y"</f>
        <v>#REF!</v>
      </c>
      <c r="J52" t="e">
        <f>#REF!+"$Cm=!$`Z"</f>
        <v>#REF!</v>
      </c>
      <c r="K52" t="e">
        <f>#REF!+"$Cm=!$`["</f>
        <v>#REF!</v>
      </c>
      <c r="L52" t="e">
        <f>#REF!+"$Cm=!$`\"</f>
        <v>#REF!</v>
      </c>
      <c r="M52" t="e">
        <f>#REF!+"$Cm=!$`]"</f>
        <v>#REF!</v>
      </c>
      <c r="N52" t="e">
        <f>#REF!+"$Cm=!$`^"</f>
        <v>#REF!</v>
      </c>
      <c r="O52" t="e">
        <f>#REF!+"$Cm=!$`_"</f>
        <v>#REF!</v>
      </c>
      <c r="P52" t="e">
        <f>#REF!+"$Cm=!$``"</f>
        <v>#REF!</v>
      </c>
      <c r="Q52" t="e">
        <f>#REF!+"$Cm=!$`a"</f>
        <v>#REF!</v>
      </c>
      <c r="R52" t="e">
        <f>#REF!+"$Cm=!$`b"</f>
        <v>#REF!</v>
      </c>
      <c r="S52" t="e">
        <f>#REF!+"$Cm=!$`c"</f>
        <v>#REF!</v>
      </c>
      <c r="T52" t="e">
        <f>#REF!+"$Cm=!$`d"</f>
        <v>#REF!</v>
      </c>
      <c r="U52" t="e">
        <f>#REF!+"$Cm=!$`e"</f>
        <v>#REF!</v>
      </c>
      <c r="V52" t="e">
        <f>#REF!+"$Cm=!$`f"</f>
        <v>#REF!</v>
      </c>
      <c r="W52" t="e">
        <f>#REF!+"$Cm=!$`g"</f>
        <v>#REF!</v>
      </c>
      <c r="X52" t="e">
        <f>#REF!+"$Cm=!$`h"</f>
        <v>#REF!</v>
      </c>
      <c r="Y52" t="e">
        <f>#REF!+"$Cm=!$`i"</f>
        <v>#REF!</v>
      </c>
      <c r="Z52" t="e">
        <f>#REF!+"$Cm=!$`j"</f>
        <v>#REF!</v>
      </c>
      <c r="AA52" t="e">
        <f>#REF!+"$Cm=!$`k"</f>
        <v>#REF!</v>
      </c>
      <c r="AB52" t="e">
        <f>#REF!+"$Cm=!$`l"</f>
        <v>#REF!</v>
      </c>
      <c r="AC52" t="e">
        <f>#REF!+"$Cm=!$`m"</f>
        <v>#REF!</v>
      </c>
      <c r="AD52" t="e">
        <f>#REF!+"$Cm=!$`n"</f>
        <v>#REF!</v>
      </c>
      <c r="AE52" t="e">
        <f>#REF!+"$Cm=!$`o"</f>
        <v>#REF!</v>
      </c>
      <c r="AF52" t="e">
        <f>#REF!+"$Cm=!$`p"</f>
        <v>#REF!</v>
      </c>
      <c r="AG52" t="e">
        <f>#REF!+"$Cm=!$`q"</f>
        <v>#REF!</v>
      </c>
      <c r="AH52" t="e">
        <f>#REF!+"$Cm=!$`r"</f>
        <v>#REF!</v>
      </c>
      <c r="AI52" t="e">
        <f>#REF!+"$Cm=!$`s"</f>
        <v>#REF!</v>
      </c>
      <c r="AJ52" t="e">
        <f>#REF!+"$Cm=!$`t"</f>
        <v>#REF!</v>
      </c>
      <c r="AK52" t="e">
        <f>#REF!+"$Cm=!$`u"</f>
        <v>#REF!</v>
      </c>
      <c r="AL52" t="e">
        <f>#REF!+"$Cm=!$`v"</f>
        <v>#REF!</v>
      </c>
      <c r="AM52" t="e">
        <f>#REF!+"$Cm=!$`w"</f>
        <v>#REF!</v>
      </c>
      <c r="AN52" t="e">
        <f>#REF!+"$Cm=!$`x"</f>
        <v>#REF!</v>
      </c>
      <c r="AO52" t="e">
        <f>#REF!+"$Cm=!$`y"</f>
        <v>#REF!</v>
      </c>
      <c r="AP52" t="e">
        <f>#REF!+"$Cm=!$`z"</f>
        <v>#REF!</v>
      </c>
      <c r="AQ52" t="e">
        <f>#REF!+"$Cm=!$`{"</f>
        <v>#REF!</v>
      </c>
      <c r="AR52" t="e">
        <f>#REF!+"$Cm=!$`|"</f>
        <v>#REF!</v>
      </c>
      <c r="AS52" t="e">
        <f>#REF!+"$Cm=!$`}"</f>
        <v>#REF!</v>
      </c>
      <c r="AT52" t="e">
        <f>#REF!+"$Cm=!$`~"</f>
        <v>#REF!</v>
      </c>
      <c r="AU52" t="e">
        <f>#REF!+"$Cm=!$a#"</f>
        <v>#REF!</v>
      </c>
      <c r="AV52" t="e">
        <f>#REF!+"$Cm=!$a$"</f>
        <v>#REF!</v>
      </c>
      <c r="AW52" t="e">
        <f>#REF!+"$Cm=!$a%"</f>
        <v>#REF!</v>
      </c>
      <c r="AX52" t="e">
        <f>#REF!+"$Cm=!$a&amp;"</f>
        <v>#REF!</v>
      </c>
      <c r="AY52" t="e">
        <f>#REF!+"$Cm=!$a'"</f>
        <v>#REF!</v>
      </c>
      <c r="AZ52" t="e">
        <f>#REF!+"$Cm=!$a("</f>
        <v>#REF!</v>
      </c>
      <c r="BA52" t="e">
        <f>#REF!+"$Cm=!$a)"</f>
        <v>#REF!</v>
      </c>
      <c r="BB52" t="e">
        <f>#REF!+"$Cm=!$a."</f>
        <v>#REF!</v>
      </c>
      <c r="BC52" t="e">
        <f>#REF!+"$Cm=!$a/"</f>
        <v>#REF!</v>
      </c>
      <c r="BD52" t="e">
        <f>#REF!+"$Cm=!$a0"</f>
        <v>#REF!</v>
      </c>
      <c r="BE52" t="e">
        <f>#REF!+"$Cm=!$a1"</f>
        <v>#REF!</v>
      </c>
      <c r="BF52" t="e">
        <f>#REF!+"$Cm=!$a2"</f>
        <v>#REF!</v>
      </c>
      <c r="BG52" t="e">
        <f>#REF!+"$Cm=!$a3"</f>
        <v>#REF!</v>
      </c>
      <c r="BH52" t="e">
        <f>#REF!+"$Cm=!$a4"</f>
        <v>#REF!</v>
      </c>
      <c r="BI52" t="e">
        <f>#REF!+"$Cm=!$a5"</f>
        <v>#REF!</v>
      </c>
      <c r="BJ52" t="e">
        <f>#REF!+"$Cm=!$a6"</f>
        <v>#REF!</v>
      </c>
      <c r="BK52" t="e">
        <f>#REF!+"$Cm=!$a7"</f>
        <v>#REF!</v>
      </c>
      <c r="BL52" t="e">
        <f>#REF!+"$Cm=!$a8"</f>
        <v>#REF!</v>
      </c>
      <c r="BM52" t="e">
        <f>#REF!+"$Cm=!$a9"</f>
        <v>#REF!</v>
      </c>
      <c r="BN52" t="e">
        <f>#REF!+"$Cm=!$a:"</f>
        <v>#REF!</v>
      </c>
      <c r="BO52" t="e">
        <f>#REF!+"$Cm=!$a;"</f>
        <v>#REF!</v>
      </c>
      <c r="BP52" t="e">
        <f>#REF!+"$Cm=!$a&lt;"</f>
        <v>#REF!</v>
      </c>
      <c r="BQ52" t="e">
        <f>#REF!+"$Cm=!$a="</f>
        <v>#REF!</v>
      </c>
      <c r="BR52" t="e">
        <f>#REF!+"$Cm=!$a&gt;"</f>
        <v>#REF!</v>
      </c>
      <c r="BS52" t="e">
        <f>#REF!+"$Cm=!$a?"</f>
        <v>#REF!</v>
      </c>
      <c r="BT52" t="e">
        <f>#REF!+"$Cm=!$a@"</f>
        <v>#REF!</v>
      </c>
      <c r="BU52" t="e">
        <f>#REF!+"$Cm=!$aA"</f>
        <v>#REF!</v>
      </c>
      <c r="BV52" t="e">
        <f>#REF!+"$Cm=!$aB"</f>
        <v>#REF!</v>
      </c>
      <c r="BW52" t="e">
        <f>#REF!+"$Cm=!$aC"</f>
        <v>#REF!</v>
      </c>
      <c r="BX52" t="e">
        <f>#REF!+"$Cm=!$aD"</f>
        <v>#REF!</v>
      </c>
      <c r="BY52" t="e">
        <f>#REF!+"$Cm=!$aE"</f>
        <v>#REF!</v>
      </c>
      <c r="BZ52" t="e">
        <f>#REF!+"$Cm=!$aF"</f>
        <v>#REF!</v>
      </c>
      <c r="CA52" t="e">
        <f>#REF!+"$Cm=!$aG"</f>
        <v>#REF!</v>
      </c>
      <c r="CB52" t="e">
        <f>#REF!+"$Cm=!$aH"</f>
        <v>#REF!</v>
      </c>
      <c r="CC52" t="e">
        <f>#REF!+"$Cm=!$aI"</f>
        <v>#REF!</v>
      </c>
      <c r="CD52" t="e">
        <f>#REF!+"$Cm=!$aJ"</f>
        <v>#REF!</v>
      </c>
      <c r="CE52" t="e">
        <f>#REF!+"$Cm=!$aK"</f>
        <v>#REF!</v>
      </c>
      <c r="CF52" t="e">
        <f>#REF!+"$Cm=!$aL"</f>
        <v>#REF!</v>
      </c>
      <c r="CG52" t="e">
        <f>#REF!+"$Cm=!$aM"</f>
        <v>#REF!</v>
      </c>
      <c r="CH52" t="e">
        <f>#REF!+"$Cm=!$aN"</f>
        <v>#REF!</v>
      </c>
      <c r="CI52" t="e">
        <f>#REF!+"$Cm=!$aO"</f>
        <v>#REF!</v>
      </c>
      <c r="CJ52" t="e">
        <f>#REF!+"$Cm=!$aP"</f>
        <v>#REF!</v>
      </c>
      <c r="CK52" t="e">
        <f>#REF!+"$Cm=!$aQ"</f>
        <v>#REF!</v>
      </c>
      <c r="CL52" t="e">
        <f>#REF!+"$Cm=!$aR"</f>
        <v>#REF!</v>
      </c>
      <c r="CM52" t="e">
        <f>#REF!+"$Cm=!$aS"</f>
        <v>#REF!</v>
      </c>
      <c r="CN52" t="e">
        <f>#REF!+"$Cm=!$aT"</f>
        <v>#REF!</v>
      </c>
      <c r="CO52" t="e">
        <f>#REF!+"$Cm=!$aU"</f>
        <v>#REF!</v>
      </c>
      <c r="CP52" t="e">
        <f>#REF!+"$Cm=!$aV"</f>
        <v>#REF!</v>
      </c>
      <c r="CQ52" t="e">
        <f>#REF!+"$Cm=!$aW"</f>
        <v>#REF!</v>
      </c>
      <c r="CR52" t="e">
        <f>#REF!+"$Cm=!$aX"</f>
        <v>#REF!</v>
      </c>
      <c r="CS52" t="e">
        <f>#REF!+"$Cm=!$aY"</f>
        <v>#REF!</v>
      </c>
      <c r="CT52" t="e">
        <f>#REF!+"$Cm=!$aZ"</f>
        <v>#REF!</v>
      </c>
      <c r="CU52" t="e">
        <f>#REF!+"$Cm=!$a["</f>
        <v>#REF!</v>
      </c>
      <c r="CV52" t="e">
        <f>#REF!+"$Cm=!$a\"</f>
        <v>#REF!</v>
      </c>
      <c r="CW52" t="e">
        <f>#REF!+"$Cm=!$a]"</f>
        <v>#REF!</v>
      </c>
      <c r="CX52" t="e">
        <f>#REF!+"$Cm=!$a^"</f>
        <v>#REF!</v>
      </c>
      <c r="CY52" t="e">
        <f>#REF!+"$Cm=!$a_"</f>
        <v>#REF!</v>
      </c>
      <c r="CZ52" t="e">
        <f>#REF!+"$Cm=!$a`"</f>
        <v>#REF!</v>
      </c>
      <c r="DA52" t="e">
        <f>#REF!+"$Cm=!$aa"</f>
        <v>#REF!</v>
      </c>
      <c r="DB52" t="e">
        <f>#REF!+"$Cm=!$ab"</f>
        <v>#REF!</v>
      </c>
      <c r="DC52" t="e">
        <f>#REF!+"$Cm=!$ac"</f>
        <v>#REF!</v>
      </c>
      <c r="DD52" t="e">
        <f>#REF!+"$Cm=!$ad"</f>
        <v>#REF!</v>
      </c>
      <c r="DE52" t="e">
        <f>#REF!+"$Cm=!$ae"</f>
        <v>#REF!</v>
      </c>
      <c r="DF52" t="e">
        <f>#REF!+"$Cm=!$af"</f>
        <v>#REF!</v>
      </c>
      <c r="DG52" t="e">
        <f>#REF!+"$Cm=!$ag"</f>
        <v>#REF!</v>
      </c>
      <c r="DH52" t="e">
        <f>#REF!+"$Cm=!$ah"</f>
        <v>#REF!</v>
      </c>
      <c r="DI52" t="e">
        <f>#REF!+"$Cm=!$ai"</f>
        <v>#REF!</v>
      </c>
      <c r="DJ52" t="e">
        <f>#REF!+"$Cm=!$aj"</f>
        <v>#REF!</v>
      </c>
      <c r="DK52" t="e">
        <f>#REF!+"$Cm=!$ak"</f>
        <v>#REF!</v>
      </c>
      <c r="DL52" t="e">
        <f>#REF!+"$Cm=!$al"</f>
        <v>#REF!</v>
      </c>
      <c r="DM52" t="e">
        <f>#REF!+"$Cm=!$am"</f>
        <v>#REF!</v>
      </c>
      <c r="DN52" t="e">
        <f>#REF!+"$Cm=!$an"</f>
        <v>#REF!</v>
      </c>
      <c r="DO52" t="e">
        <f>#REF!+"$Cm=!$ao"</f>
        <v>#REF!</v>
      </c>
      <c r="DP52" t="e">
        <f>#REF!+"$Cm=!$ap"</f>
        <v>#REF!</v>
      </c>
      <c r="DQ52" t="e">
        <f>#REF!+"$Cm=!$aq"</f>
        <v>#REF!</v>
      </c>
      <c r="DR52" t="e">
        <f>#REF!+"$Cm=!$ar"</f>
        <v>#REF!</v>
      </c>
      <c r="DS52" t="e">
        <f>#REF!+"$Cm=!$as"</f>
        <v>#REF!</v>
      </c>
      <c r="DT52" t="e">
        <f>#REF!+"$Cm=!$at"</f>
        <v>#REF!</v>
      </c>
      <c r="DU52" t="e">
        <f>#REF!+"$Cm=!$au"</f>
        <v>#REF!</v>
      </c>
      <c r="DV52" t="e">
        <f>#REF!+"$Cm=!$av"</f>
        <v>#REF!</v>
      </c>
      <c r="DW52" t="e">
        <f>#REF!+"$Cm=!$aw"</f>
        <v>#REF!</v>
      </c>
      <c r="DX52" t="e">
        <f>#REF!+"$Cm=!$ax"</f>
        <v>#REF!</v>
      </c>
      <c r="DY52" t="e">
        <f>#REF!+"$Cm=!$ay"</f>
        <v>#REF!</v>
      </c>
      <c r="DZ52" t="e">
        <f>#REF!+"$Cm=!$az"</f>
        <v>#REF!</v>
      </c>
      <c r="EA52" t="e">
        <f>#REF!+"$Cm=!$a{"</f>
        <v>#REF!</v>
      </c>
      <c r="EB52" t="e">
        <f>#REF!+"$Cm=!$a|"</f>
        <v>#REF!</v>
      </c>
      <c r="EC52" t="e">
        <f>#REF!+"$Cm=!$a}"</f>
        <v>#REF!</v>
      </c>
      <c r="ED52" t="e">
        <f>#REF!+"$Cm=!$a~"</f>
        <v>#REF!</v>
      </c>
      <c r="EE52" t="e">
        <f>#REF!+"$Cm=!$b#"</f>
        <v>#REF!</v>
      </c>
      <c r="EF52" t="e">
        <f>#REF!+"$Cm=!$b$"</f>
        <v>#REF!</v>
      </c>
      <c r="EG52" t="e">
        <f>#REF!+"$Cm=!$b%"</f>
        <v>#REF!</v>
      </c>
      <c r="EH52" t="e">
        <f>#REF!+"$Cm=!$b&amp;"</f>
        <v>#REF!</v>
      </c>
      <c r="EI52" t="e">
        <f>#REF!+"$Cm=!$b'"</f>
        <v>#REF!</v>
      </c>
      <c r="EJ52" t="e">
        <f>#REF!+"$Cm=!$b("</f>
        <v>#REF!</v>
      </c>
      <c r="EK52" t="e">
        <f>#REF!+"$Cm=!$b)"</f>
        <v>#REF!</v>
      </c>
      <c r="EL52" t="e">
        <f>#REF!+"$Cm=!$b."</f>
        <v>#REF!</v>
      </c>
      <c r="EM52" t="e">
        <f>#REF!+"$Cm=!$b/"</f>
        <v>#REF!</v>
      </c>
      <c r="EN52" t="e">
        <f>#REF!+"$Cm=!$b0"</f>
        <v>#REF!</v>
      </c>
      <c r="EO52" t="e">
        <f>#REF!+"$Cm=!$b1"</f>
        <v>#REF!</v>
      </c>
      <c r="EP52" t="e">
        <f>#REF!+"$Cm=!$b2"</f>
        <v>#REF!</v>
      </c>
      <c r="EQ52" t="e">
        <f>#REF!+"$Cm=!$b3"</f>
        <v>#REF!</v>
      </c>
      <c r="ER52" t="e">
        <f>#REF!+"$Cm=!$b4"</f>
        <v>#REF!</v>
      </c>
      <c r="ES52" t="e">
        <f>#REF!+"$Cm=!$b5"</f>
        <v>#REF!</v>
      </c>
      <c r="ET52" t="e">
        <f>#REF!+"$Cm=!$b6"</f>
        <v>#REF!</v>
      </c>
      <c r="EU52" t="e">
        <f>#REF!+"$Cm=!$b7"</f>
        <v>#REF!</v>
      </c>
      <c r="EV52" t="e">
        <f>#REF!+"$Cm=!$b8"</f>
        <v>#REF!</v>
      </c>
      <c r="EW52" t="e">
        <f>#REF!+"$Cm=!$b9"</f>
        <v>#REF!</v>
      </c>
      <c r="EX52" t="e">
        <f>#REF!+"$Cm=!$b:"</f>
        <v>#REF!</v>
      </c>
      <c r="EY52" t="e">
        <f>#REF!+"$Cm=!$b;"</f>
        <v>#REF!</v>
      </c>
      <c r="EZ52" t="e">
        <f>#REF!+"$Cm=!$b&lt;"</f>
        <v>#REF!</v>
      </c>
      <c r="FA52" t="e">
        <f>#REF!+"$Cm=!$b="</f>
        <v>#REF!</v>
      </c>
      <c r="FB52" t="e">
        <f>#REF!+"$Cm=!$b&gt;"</f>
        <v>#REF!</v>
      </c>
      <c r="FC52" t="e">
        <f>#REF!+"$Cm=!$b?"</f>
        <v>#REF!</v>
      </c>
      <c r="FD52" t="e">
        <f>#REF!+"$Cm=!$b@"</f>
        <v>#REF!</v>
      </c>
      <c r="FE52" t="e">
        <f>#REF!+"$Cm=!$bA"</f>
        <v>#REF!</v>
      </c>
      <c r="FF52" t="e">
        <f>#REF!+"$Cm=!$bB"</f>
        <v>#REF!</v>
      </c>
      <c r="FG52" t="e">
        <f>#REF!+"$Cm=!$bC"</f>
        <v>#REF!</v>
      </c>
      <c r="FH52" t="e">
        <f>#REF!+"$Cm=!$bD"</f>
        <v>#REF!</v>
      </c>
      <c r="FI52" t="e">
        <f>#REF!+"$Cm=!$bE"</f>
        <v>#REF!</v>
      </c>
      <c r="FJ52" t="e">
        <f>#REF!+"$Cm=!$bF"</f>
        <v>#REF!</v>
      </c>
      <c r="FK52" t="e">
        <f>#REF!+"$Cm=!$bG"</f>
        <v>#REF!</v>
      </c>
      <c r="FL52" t="e">
        <f>#REF!+"$Cm=!$bH"</f>
        <v>#REF!</v>
      </c>
      <c r="FM52" t="e">
        <f>#REF!+"$Cm=!$bI"</f>
        <v>#REF!</v>
      </c>
      <c r="FN52" t="e">
        <f>#REF!+"$Cm=!$bJ"</f>
        <v>#REF!</v>
      </c>
      <c r="FO52" t="e">
        <f>#REF!+"$Cm=!$bK"</f>
        <v>#REF!</v>
      </c>
      <c r="FP52" t="e">
        <f>#REF!+"$Cm=!$bL"</f>
        <v>#REF!</v>
      </c>
      <c r="FQ52" t="e">
        <f>#REF!+"$Cm=!$bM"</f>
        <v>#REF!</v>
      </c>
      <c r="FR52" t="e">
        <f>#REF!+"$Cm=!$bN"</f>
        <v>#REF!</v>
      </c>
      <c r="FS52" t="e">
        <f>#REF!+"$Cm=!$bO"</f>
        <v>#REF!</v>
      </c>
      <c r="FT52" t="e">
        <f>#REF!+"$Cm=!$bP"</f>
        <v>#REF!</v>
      </c>
      <c r="FU52" t="e">
        <f>#REF!+"$Cm=!$bQ"</f>
        <v>#REF!</v>
      </c>
      <c r="FV52" t="e">
        <f>#REF!+"$Cm=!$bR"</f>
        <v>#REF!</v>
      </c>
      <c r="FW52" t="e">
        <f>#REF!+"$Cm=!$bS"</f>
        <v>#REF!</v>
      </c>
      <c r="FX52" t="e">
        <f>#REF!+"$Cm=!$bT"</f>
        <v>#REF!</v>
      </c>
      <c r="FY52" t="e">
        <f>#REF!+"$Cm=!$bU"</f>
        <v>#REF!</v>
      </c>
      <c r="FZ52" t="e">
        <f>#REF!+"$Cm=!$bV"</f>
        <v>#REF!</v>
      </c>
      <c r="GA52" t="e">
        <f>#REF!+"$Cm=!$bW"</f>
        <v>#REF!</v>
      </c>
      <c r="GB52" t="e">
        <f>#REF!+"$Cm=!$bX"</f>
        <v>#REF!</v>
      </c>
      <c r="GC52" t="e">
        <f>#REF!+"$Cm=!$bY"</f>
        <v>#REF!</v>
      </c>
      <c r="GD52" t="e">
        <f>#REF!+"$Cm=!$bZ"</f>
        <v>#REF!</v>
      </c>
      <c r="GE52" t="e">
        <f>#REF!+"$Cm=!$b["</f>
        <v>#REF!</v>
      </c>
      <c r="GF52" t="e">
        <f>#REF!+"$Cm=!$b\"</f>
        <v>#REF!</v>
      </c>
      <c r="GG52" t="e">
        <f>#REF!+"$Cm=!$b]"</f>
        <v>#REF!</v>
      </c>
      <c r="GH52" t="e">
        <f>#REF!+"$Cm=!$b^"</f>
        <v>#REF!</v>
      </c>
      <c r="GI52" t="e">
        <f>#REF!+"$Cm=!$b_"</f>
        <v>#REF!</v>
      </c>
      <c r="GJ52" t="e">
        <f>#REF!+"$Cm=!$b`"</f>
        <v>#REF!</v>
      </c>
      <c r="GK52" t="e">
        <f>#REF!+"$Cm=!$ba"</f>
        <v>#REF!</v>
      </c>
      <c r="GL52" t="e">
        <f>#REF!+"$Cm=!$bb"</f>
        <v>#REF!</v>
      </c>
      <c r="GM52" t="e">
        <f>#REF!+"$Cm=!$bc"</f>
        <v>#REF!</v>
      </c>
      <c r="GN52" t="e">
        <f>#REF!+"$Cm=!$bd"</f>
        <v>#REF!</v>
      </c>
      <c r="GO52" t="e">
        <f>#REF!+"$Cm=!$be"</f>
        <v>#REF!</v>
      </c>
      <c r="GP52" t="e">
        <f>#REF!+"$Cm=!$bf"</f>
        <v>#REF!</v>
      </c>
      <c r="GQ52" t="e">
        <f>#REF!+"$Cm=!$bg"</f>
        <v>#REF!</v>
      </c>
      <c r="GR52" t="e">
        <f>#REF!+"$Cm=!$bh"</f>
        <v>#REF!</v>
      </c>
      <c r="GS52" t="e">
        <f>#REF!+"$Cm=!$bi"</f>
        <v>#REF!</v>
      </c>
      <c r="GT52" t="e">
        <f>#REF!+"$Cm=!$bj"</f>
        <v>#REF!</v>
      </c>
      <c r="GU52" t="e">
        <f>#REF!+"$Cm=!$bk"</f>
        <v>#REF!</v>
      </c>
      <c r="GV52" t="e">
        <f>#REF!+"$Cm=!$bl"</f>
        <v>#REF!</v>
      </c>
      <c r="GW52" t="e">
        <f>#REF!+"$Cm=!$bm"</f>
        <v>#REF!</v>
      </c>
      <c r="GX52" t="e">
        <f>#REF!+"$Cm=!$bn"</f>
        <v>#REF!</v>
      </c>
      <c r="GY52" t="e">
        <f>#REF!+"$Cm=!$bo"</f>
        <v>#REF!</v>
      </c>
      <c r="GZ52" t="e">
        <f>#REF!+"$Cm=!$bp"</f>
        <v>#REF!</v>
      </c>
      <c r="HA52" t="e">
        <f>#REF!+"$Cm=!$bq"</f>
        <v>#REF!</v>
      </c>
      <c r="HB52" t="e">
        <f>#REF!+"$Cm=!$br"</f>
        <v>#REF!</v>
      </c>
      <c r="HC52" t="e">
        <f>#REF!+"$Cm=!$bs"</f>
        <v>#REF!</v>
      </c>
      <c r="HD52" t="e">
        <f>#REF!+"$Cm=!$bt"</f>
        <v>#REF!</v>
      </c>
      <c r="HE52" t="e">
        <f>#REF!+"$Cm=!$bu"</f>
        <v>#REF!</v>
      </c>
      <c r="HF52" t="e">
        <f>#REF!+"$Cm=!$bv"</f>
        <v>#REF!</v>
      </c>
      <c r="HG52" t="e">
        <f>#REF!+"$Cm=!$bw"</f>
        <v>#REF!</v>
      </c>
      <c r="HH52" t="e">
        <f>#REF!+"$Cm=!$bx"</f>
        <v>#REF!</v>
      </c>
      <c r="HI52" t="e">
        <f>#REF!+"$Cm=!$by"</f>
        <v>#REF!</v>
      </c>
      <c r="HJ52" t="e">
        <f>#REF!+"$Cm=!$bz"</f>
        <v>#REF!</v>
      </c>
      <c r="HK52" t="e">
        <f>#REF!+"$Cm=!$b{"</f>
        <v>#REF!</v>
      </c>
      <c r="HL52" t="e">
        <f>#REF!+"$Cm=!$b|"</f>
        <v>#REF!</v>
      </c>
      <c r="HM52" t="e">
        <f>#REF!+"$Cm=!$b}"</f>
        <v>#REF!</v>
      </c>
      <c r="HN52" t="e">
        <f>#REF!+"$Cm=!$b~"</f>
        <v>#REF!</v>
      </c>
      <c r="HO52" t="e">
        <f>#REF!+"$Cm=!$c#"</f>
        <v>#REF!</v>
      </c>
      <c r="HP52" t="e">
        <f>#REF!+"$Cm=!$c$"</f>
        <v>#REF!</v>
      </c>
      <c r="HQ52" t="e">
        <f>#REF!+"$Cm=!$c%"</f>
        <v>#REF!</v>
      </c>
      <c r="HR52" t="e">
        <f>#REF!+"$Cm=!$c&amp;"</f>
        <v>#REF!</v>
      </c>
      <c r="HS52" t="e">
        <f>#REF!+"$Cm=!$c'"</f>
        <v>#REF!</v>
      </c>
      <c r="HT52" t="e">
        <f>#REF!+"$Cm=!$c("</f>
        <v>#REF!</v>
      </c>
      <c r="HU52" t="e">
        <f>#REF!+"$Cm=!$c)"</f>
        <v>#REF!</v>
      </c>
      <c r="HV52" t="e">
        <f>#REF!+"$Cm=!$c."</f>
        <v>#REF!</v>
      </c>
      <c r="HW52" t="e">
        <f>#REF!+"$Cm=!$c/"</f>
        <v>#REF!</v>
      </c>
      <c r="HX52" t="e">
        <f>#REF!+"$Cm=!$c0"</f>
        <v>#REF!</v>
      </c>
      <c r="HY52" t="e">
        <f>#REF!+"$Cm=!$c1"</f>
        <v>#REF!</v>
      </c>
      <c r="HZ52" t="e">
        <f>#REF!+"$Cm=!$c2"</f>
        <v>#REF!</v>
      </c>
      <c r="IA52" t="e">
        <f>#REF!+"$Cm=!$c3"</f>
        <v>#REF!</v>
      </c>
      <c r="IB52" t="e">
        <f>#REF!+"$Cm=!$c4"</f>
        <v>#REF!</v>
      </c>
      <c r="IC52" t="e">
        <f>#REF!+"$Cm=!$c5"</f>
        <v>#REF!</v>
      </c>
      <c r="ID52" t="e">
        <f>#REF!+"$Cm=!$c6"</f>
        <v>#REF!</v>
      </c>
      <c r="IE52" t="e">
        <f>#REF!+"$Cm=!$c7"</f>
        <v>#REF!</v>
      </c>
      <c r="IF52" t="e">
        <f>#REF!+"$Cm=!$c8"</f>
        <v>#REF!</v>
      </c>
      <c r="IG52" t="e">
        <f>#REF!+"$Cm=!$c9"</f>
        <v>#REF!</v>
      </c>
      <c r="IH52" t="e">
        <f>#REF!+"$Cm=!$c:"</f>
        <v>#REF!</v>
      </c>
      <c r="II52" t="e">
        <f>#REF!+"$Cm=!$c;"</f>
        <v>#REF!</v>
      </c>
      <c r="IJ52" t="e">
        <f>#REF!+"$Cm=!$c&lt;"</f>
        <v>#REF!</v>
      </c>
      <c r="IK52" t="e">
        <f>#REF!+"$Cm=!$c="</f>
        <v>#REF!</v>
      </c>
      <c r="IL52" t="e">
        <f>#REF!+"$Cm=!$c&gt;"</f>
        <v>#REF!</v>
      </c>
      <c r="IM52" t="e">
        <f>#REF!+"$Cm=!$c?"</f>
        <v>#REF!</v>
      </c>
      <c r="IN52" t="e">
        <f>#REF!+"$Cm=!$c@"</f>
        <v>#REF!</v>
      </c>
      <c r="IO52" t="e">
        <f>#REF!+"$Cm=!$cA"</f>
        <v>#REF!</v>
      </c>
      <c r="IP52" t="e">
        <f>#REF!+"$Cm=!$cB"</f>
        <v>#REF!</v>
      </c>
      <c r="IQ52" t="e">
        <f>#REF!+"$Cm=!$cC"</f>
        <v>#REF!</v>
      </c>
      <c r="IR52" t="e">
        <f>#REF!+"$Cm=!$cD"</f>
        <v>#REF!</v>
      </c>
      <c r="IS52" t="e">
        <f>#REF!+"$Cm=!$cE"</f>
        <v>#REF!</v>
      </c>
      <c r="IT52" t="e">
        <f>#REF!+"$Cm=!$cF"</f>
        <v>#REF!</v>
      </c>
      <c r="IU52" t="e">
        <f>#REF!+"$Cm=!$cG"</f>
        <v>#REF!</v>
      </c>
      <c r="IV52" t="e">
        <f>#REF!+"$Cm=!$cH"</f>
        <v>#REF!</v>
      </c>
    </row>
    <row r="53" spans="6:256">
      <c r="F53" t="e">
        <f>#REF!+"$Cm=!$cI"</f>
        <v>#REF!</v>
      </c>
      <c r="G53" t="e">
        <f>#REF!+"$Cm=!$cJ"</f>
        <v>#REF!</v>
      </c>
      <c r="H53" t="e">
        <f>#REF!+"$Cm=!$cK"</f>
        <v>#REF!</v>
      </c>
      <c r="I53" t="e">
        <f>#REF!+"$Cm=!$cL"</f>
        <v>#REF!</v>
      </c>
      <c r="J53" t="e">
        <f>#REF!+"$Cm=!$cM"</f>
        <v>#REF!</v>
      </c>
      <c r="K53" t="e">
        <f>#REF!+"$Cm=!$cN"</f>
        <v>#REF!</v>
      </c>
      <c r="L53" t="e">
        <f>#REF!+"$Cm=!$cO"</f>
        <v>#REF!</v>
      </c>
      <c r="M53" t="e">
        <f>#REF!+"$Cm=!$cP"</f>
        <v>#REF!</v>
      </c>
      <c r="N53" t="e">
        <f>#REF!+"$Cm=!$cQ"</f>
        <v>#REF!</v>
      </c>
      <c r="O53" t="e">
        <f>#REF!+"$Cm=!$cR"</f>
        <v>#REF!</v>
      </c>
      <c r="P53" t="e">
        <f>#REF!+"$Cm=!$cS"</f>
        <v>#REF!</v>
      </c>
      <c r="Q53" t="e">
        <f>#REF!+"$Cm=!$cT"</f>
        <v>#REF!</v>
      </c>
      <c r="R53" t="e">
        <f>#REF!+"$Cm=!$cU"</f>
        <v>#REF!</v>
      </c>
      <c r="S53" t="e">
        <f>#REF!+"$Cm=!$cV"</f>
        <v>#REF!</v>
      </c>
      <c r="T53" t="e">
        <f>#REF!+"$Cm=!$cW"</f>
        <v>#REF!</v>
      </c>
      <c r="U53" t="e">
        <f>#REF!+"$Cm=!$cX"</f>
        <v>#REF!</v>
      </c>
      <c r="V53" t="e">
        <f>#REF!+"$Cm=!$cY"</f>
        <v>#REF!</v>
      </c>
      <c r="W53" t="e">
        <f>#REF!+"$Cm=!$cZ"</f>
        <v>#REF!</v>
      </c>
      <c r="X53" t="e">
        <f>#REF!+"$Cm=!$c["</f>
        <v>#REF!</v>
      </c>
      <c r="Y53" t="e">
        <f>#REF!+"$Cm=!$c\"</f>
        <v>#REF!</v>
      </c>
      <c r="Z53" t="e">
        <f>#REF!+"$Cm=!$c]"</f>
        <v>#REF!</v>
      </c>
      <c r="AA53" t="e">
        <f>#REF!+"$Cm=!$c^"</f>
        <v>#REF!</v>
      </c>
      <c r="AB53" t="e">
        <f>#REF!+"$Cm=!$c_"</f>
        <v>#REF!</v>
      </c>
      <c r="AC53" t="e">
        <f>#REF!+"$Cm=!$c`"</f>
        <v>#REF!</v>
      </c>
      <c r="AD53" t="e">
        <f>#REF!+"$Cm=!$ca"</f>
        <v>#REF!</v>
      </c>
      <c r="AE53" t="e">
        <f>#REF!+"$Cm=!$cb"</f>
        <v>#REF!</v>
      </c>
      <c r="AF53" t="e">
        <f>#REF!+"$Cm=!$cc"</f>
        <v>#REF!</v>
      </c>
      <c r="AG53" t="e">
        <f>#REF!+"$Cm=!$cd"</f>
        <v>#REF!</v>
      </c>
      <c r="AH53" t="e">
        <f>#REF!+"$Cm=!$ce"</f>
        <v>#REF!</v>
      </c>
      <c r="AI53" t="e">
        <f>#REF!+"$Cm=!$cf"</f>
        <v>#REF!</v>
      </c>
      <c r="AJ53" t="e">
        <f>#REF!+"$Cm=!$cg"</f>
        <v>#REF!</v>
      </c>
      <c r="AK53" t="e">
        <f>#REF!+"$Cm=!$ch"</f>
        <v>#REF!</v>
      </c>
      <c r="AL53" t="e">
        <f>#REF!+"$Cm=!$ci"</f>
        <v>#REF!</v>
      </c>
      <c r="AM53" t="e">
        <f>#REF!+"$Cm=!$cj"</f>
        <v>#REF!</v>
      </c>
      <c r="AN53" t="e">
        <f>#REF!+"$Cm=!$ck"</f>
        <v>#REF!</v>
      </c>
      <c r="AO53" t="e">
        <f>#REF!+"$Cm=!$cl"</f>
        <v>#REF!</v>
      </c>
      <c r="AP53" t="e">
        <f>#REF!+"$Cm=!$cm"</f>
        <v>#REF!</v>
      </c>
      <c r="AQ53" t="e">
        <f>#REF!+"$Cm=!$cn"</f>
        <v>#REF!</v>
      </c>
      <c r="AR53" t="e">
        <f>#REF!+"$Cm=!$co"</f>
        <v>#REF!</v>
      </c>
      <c r="AS53" t="e">
        <f>#REF!+"$Cm=!$cp"</f>
        <v>#REF!</v>
      </c>
      <c r="AT53" t="e">
        <f>#REF!+"$Cm=!$cq"</f>
        <v>#REF!</v>
      </c>
      <c r="AU53" t="e">
        <f>#REF!+"$Cm=!$cr"</f>
        <v>#REF!</v>
      </c>
      <c r="AV53" t="e">
        <f>#REF!+"$Cm=!$cs"</f>
        <v>#REF!</v>
      </c>
      <c r="AW53" t="e">
        <f>#REF!+"$Cm=!$ct"</f>
        <v>#REF!</v>
      </c>
      <c r="AX53" t="e">
        <f>#REF!+"$Cm=!$cu"</f>
        <v>#REF!</v>
      </c>
      <c r="AY53" t="e">
        <f>#REF!+"$Cm=!$cv"</f>
        <v>#REF!</v>
      </c>
      <c r="AZ53" t="e">
        <f>#REF!+"$Cm=!$cw"</f>
        <v>#REF!</v>
      </c>
      <c r="BA53" t="e">
        <f>#REF!+"$Cm=!$cx"</f>
        <v>#REF!</v>
      </c>
      <c r="BB53" t="e">
        <f>#REF!+"$Cm=!$cy"</f>
        <v>#REF!</v>
      </c>
      <c r="BC53" t="e">
        <f>#REF!+"$Cm=!$cz"</f>
        <v>#REF!</v>
      </c>
      <c r="BD53" t="e">
        <f>#REF!+"$Cm=!$c{"</f>
        <v>#REF!</v>
      </c>
      <c r="BE53" t="e">
        <f>#REF!+"$Cm=!$c|"</f>
        <v>#REF!</v>
      </c>
      <c r="BF53" t="e">
        <f>#REF!+"$Cm=!$c}"</f>
        <v>#REF!</v>
      </c>
      <c r="BG53" t="e">
        <f>#REF!+"$Cm=!$c~"</f>
        <v>#REF!</v>
      </c>
      <c r="BH53" t="e">
        <f>#REF!+"$Cm=!$d#"</f>
        <v>#REF!</v>
      </c>
      <c r="BI53" t="e">
        <f>#REF!+"$Cm=!$d$"</f>
        <v>#REF!</v>
      </c>
      <c r="BJ53" t="e">
        <f>#REF!+"$Cm=!$d%"</f>
        <v>#REF!</v>
      </c>
      <c r="BK53" t="e">
        <f>#REF!+"$Cm=!$d&amp;"</f>
        <v>#REF!</v>
      </c>
      <c r="BL53" t="e">
        <f>#REF!+"$Cm=!$d'"</f>
        <v>#REF!</v>
      </c>
      <c r="BM53" t="e">
        <f>#REF!+"$Cm=!$d("</f>
        <v>#REF!</v>
      </c>
      <c r="BN53" t="e">
        <f>#REF!+"$Cm=!$d)"</f>
        <v>#REF!</v>
      </c>
      <c r="BO53" t="e">
        <f>#REF!+"$Cm=!$d."</f>
        <v>#REF!</v>
      </c>
      <c r="BP53" t="e">
        <f>#REF!+"$Cm=!$d/"</f>
        <v>#REF!</v>
      </c>
      <c r="BQ53" t="e">
        <f>#REF!+"$Cm=!$d0"</f>
        <v>#REF!</v>
      </c>
      <c r="BR53" t="e">
        <f>#REF!+"$Cm=!$d1"</f>
        <v>#REF!</v>
      </c>
      <c r="BS53" t="e">
        <f>#REF!+"$Cm=!$d2"</f>
        <v>#REF!</v>
      </c>
      <c r="BT53" t="e">
        <f>#REF!+"$Cm=!$d3"</f>
        <v>#REF!</v>
      </c>
      <c r="BU53" t="e">
        <f>#REF!+"$Cm=!$d4"</f>
        <v>#REF!</v>
      </c>
      <c r="BV53" t="e">
        <f>#REF!+"$Cm=!$d5"</f>
        <v>#REF!</v>
      </c>
      <c r="BW53" t="e">
        <f>#REF!+"$Cm=!$d6"</f>
        <v>#REF!</v>
      </c>
      <c r="BX53" t="e">
        <f>#REF!+"$Cm=!$d7"</f>
        <v>#REF!</v>
      </c>
      <c r="BY53" t="e">
        <f>#REF!+"$Cm=!$d8"</f>
        <v>#REF!</v>
      </c>
      <c r="BZ53" t="e">
        <f>#REF!+"$Cm=!$d9"</f>
        <v>#REF!</v>
      </c>
      <c r="CA53" t="e">
        <f>#REF!+"$Cm=!$d:"</f>
        <v>#REF!</v>
      </c>
      <c r="CB53" t="e">
        <f>#REF!+"$Cm=!$d;"</f>
        <v>#REF!</v>
      </c>
      <c r="CC53" t="e">
        <f>#REF!+"$Cm=!$d&lt;"</f>
        <v>#REF!</v>
      </c>
      <c r="CD53" t="e">
        <f>#REF!+"$Cm=!$d="</f>
        <v>#REF!</v>
      </c>
      <c r="CE53" t="e">
        <f>#REF!+"$Cm=!$d&gt;"</f>
        <v>#REF!</v>
      </c>
      <c r="CF53" t="e">
        <f>#REF!+"$Cm=!$d?"</f>
        <v>#REF!</v>
      </c>
      <c r="CG53" t="e">
        <f>#REF!+"$Cm=!$d@"</f>
        <v>#REF!</v>
      </c>
      <c r="CH53" t="e">
        <f>#REF!+"$Cm=!$dA"</f>
        <v>#REF!</v>
      </c>
      <c r="CI53" t="e">
        <f>#REF!+"$Cm=!$dB"</f>
        <v>#REF!</v>
      </c>
      <c r="CJ53" t="e">
        <f>#REF!+"$Cm=!$dC"</f>
        <v>#REF!</v>
      </c>
      <c r="CK53" t="e">
        <f>#REF!+"$Cm=!$dD"</f>
        <v>#REF!</v>
      </c>
      <c r="CL53" t="e">
        <f>#REF!+"$Cm=!$dE"</f>
        <v>#REF!</v>
      </c>
      <c r="CM53" t="e">
        <f>#REF!+"$Cm=!$dF"</f>
        <v>#REF!</v>
      </c>
      <c r="CN53" t="e">
        <f>#REF!+"$Cm=!$dG"</f>
        <v>#REF!</v>
      </c>
      <c r="CO53" t="e">
        <f>#REF!+"$Cm=!$dH"</f>
        <v>#REF!</v>
      </c>
      <c r="CP53" t="e">
        <f>#REF!+"$Cm=!$dI"</f>
        <v>#REF!</v>
      </c>
      <c r="CQ53" t="e">
        <f>#REF!+"$Cm=!$dJ"</f>
        <v>#REF!</v>
      </c>
      <c r="CR53" t="e">
        <f>#REF!+"$Cm=!$dK"</f>
        <v>#REF!</v>
      </c>
      <c r="CS53" t="e">
        <f>#REF!+"$Cm=!$dL"</f>
        <v>#REF!</v>
      </c>
      <c r="CT53" t="e">
        <f>#REF!+"$Cm=!$dM"</f>
        <v>#REF!</v>
      </c>
      <c r="CU53" t="e">
        <f>#REF!+"$Cm=!$dN"</f>
        <v>#REF!</v>
      </c>
      <c r="CV53" t="e">
        <f>#REF!+"$Cm=!$dO"</f>
        <v>#REF!</v>
      </c>
      <c r="CW53" t="e">
        <f>#REF!+"$Cm=!$dP"</f>
        <v>#REF!</v>
      </c>
      <c r="CX53" t="e">
        <f>#REF!+"$Cm=!$dQ"</f>
        <v>#REF!</v>
      </c>
      <c r="CY53" t="e">
        <f>#REF!+"$Cm=!$dR"</f>
        <v>#REF!</v>
      </c>
      <c r="CZ53" t="e">
        <f>#REF!+"$Cm=!$dS"</f>
        <v>#REF!</v>
      </c>
      <c r="DA53" t="e">
        <f>#REF!+"$Cm=!$dT"</f>
        <v>#REF!</v>
      </c>
      <c r="DB53" t="e">
        <f>#REF!+"$Cm=!$dU"</f>
        <v>#REF!</v>
      </c>
      <c r="DC53" t="e">
        <f>#REF!+"$Cm=!$dV"</f>
        <v>#REF!</v>
      </c>
      <c r="DD53" t="e">
        <f>#REF!+"$Cm=!$dW"</f>
        <v>#REF!</v>
      </c>
      <c r="DE53" t="e">
        <f>#REF!+"$Cm=!$dX"</f>
        <v>#REF!</v>
      </c>
      <c r="DF53" t="e">
        <f>#REF!+"$Cm=!$dY"</f>
        <v>#REF!</v>
      </c>
      <c r="DG53" t="e">
        <f>#REF!+"$Cm=!$dZ"</f>
        <v>#REF!</v>
      </c>
      <c r="DH53" t="e">
        <f>#REF!+"$Cm=!$d["</f>
        <v>#REF!</v>
      </c>
      <c r="DI53" t="e">
        <f>#REF!+"$Cm=!$d\"</f>
        <v>#REF!</v>
      </c>
      <c r="DJ53" t="e">
        <f>#REF!+"$Cm=!$d]"</f>
        <v>#REF!</v>
      </c>
      <c r="DK53" t="e">
        <f>#REF!+"$Cm=!$d^"</f>
        <v>#REF!</v>
      </c>
      <c r="DL53" t="e">
        <f>#REF!+"$Cm=!$d_"</f>
        <v>#REF!</v>
      </c>
      <c r="DM53" t="e">
        <f>#REF!+"$Cm=!$d`"</f>
        <v>#REF!</v>
      </c>
      <c r="DN53" t="e">
        <f>#REF!+"$Cm=!$da"</f>
        <v>#REF!</v>
      </c>
      <c r="DO53" t="e">
        <f>#REF!+"$Cm=!$db"</f>
        <v>#REF!</v>
      </c>
      <c r="DP53" t="e">
        <f>#REF!+"$Cm=!$dc"</f>
        <v>#REF!</v>
      </c>
      <c r="DQ53" t="e">
        <f>#REF!+"$Cm=!$dd"</f>
        <v>#REF!</v>
      </c>
      <c r="DR53" t="e">
        <f>#REF!+"$Cm=!$de"</f>
        <v>#REF!</v>
      </c>
      <c r="DS53" t="e">
        <f>#REF!+"$Cm=!$df"</f>
        <v>#REF!</v>
      </c>
      <c r="DT53" t="e">
        <f>#REF!+"$Cm=!$dg"</f>
        <v>#REF!</v>
      </c>
      <c r="DU53" t="e">
        <f>#REF!+"$Cm=!$dh"</f>
        <v>#REF!</v>
      </c>
      <c r="DV53" t="e">
        <f>#REF!+"$Cm=!$di"</f>
        <v>#REF!</v>
      </c>
      <c r="DW53" t="e">
        <f>#REF!+"$Cm=!$dj"</f>
        <v>#REF!</v>
      </c>
      <c r="DX53" t="e">
        <f>#REF!+"$Cm=!$dk"</f>
        <v>#REF!</v>
      </c>
      <c r="DY53" t="e">
        <f>#REF!+"$Cm=!$dl"</f>
        <v>#REF!</v>
      </c>
      <c r="DZ53" t="e">
        <f>#REF!+"$Cm=!$dm"</f>
        <v>#REF!</v>
      </c>
      <c r="EA53" t="e">
        <f>#REF!+"$Cm=!$dn"</f>
        <v>#REF!</v>
      </c>
      <c r="EB53" t="e">
        <f>#REF!+"$Cm=!$do"</f>
        <v>#REF!</v>
      </c>
      <c r="EC53" t="e">
        <f>#REF!+"$Cm=!$dp"</f>
        <v>#REF!</v>
      </c>
      <c r="ED53" t="e">
        <f>#REF!+"$Cm=!$dq"</f>
        <v>#REF!</v>
      </c>
      <c r="EE53" t="e">
        <f>#REF!+"$Cm=!$dr"</f>
        <v>#REF!</v>
      </c>
      <c r="EF53" t="e">
        <f>#REF!+"$Cm=!$ds"</f>
        <v>#REF!</v>
      </c>
      <c r="EG53" t="e">
        <f>#REF!+"$Cm=!$dt"</f>
        <v>#REF!</v>
      </c>
      <c r="EH53" t="e">
        <f>#REF!+"$Cm=!$du"</f>
        <v>#REF!</v>
      </c>
      <c r="EI53" t="e">
        <f>#REF!+"$Cm=!$dv"</f>
        <v>#REF!</v>
      </c>
      <c r="EJ53" t="e">
        <f>#REF!+"$Cm=!$dw"</f>
        <v>#REF!</v>
      </c>
      <c r="EK53" t="e">
        <f>#REF!+"$Cm=!$dx"</f>
        <v>#REF!</v>
      </c>
      <c r="EL53" t="e">
        <f>#REF!+"$Cm=!$dy"</f>
        <v>#REF!</v>
      </c>
      <c r="EM53" t="e">
        <f>#REF!+"$Cm=!$dz"</f>
        <v>#REF!</v>
      </c>
      <c r="EN53" t="e">
        <f>#REF!+"$Cm=!$d{"</f>
        <v>#REF!</v>
      </c>
      <c r="EO53" t="e">
        <f>#REF!+"$Cm=!$d|"</f>
        <v>#REF!</v>
      </c>
      <c r="EP53" t="e">
        <f>#REF!+"$Cm=!$d}"</f>
        <v>#REF!</v>
      </c>
      <c r="EQ53" t="e">
        <f>#REF!+"$Cm=!$d~"</f>
        <v>#REF!</v>
      </c>
      <c r="ER53" t="e">
        <f>#REF!+"$Cm=!$e#"</f>
        <v>#REF!</v>
      </c>
      <c r="ES53" t="e">
        <f>#REF!+"$Cm=!$e$"</f>
        <v>#REF!</v>
      </c>
      <c r="ET53" t="e">
        <f>#REF!+"$Cm=!$e%"</f>
        <v>#REF!</v>
      </c>
      <c r="EU53" t="e">
        <f>#REF!+"$Cm=!$e&amp;"</f>
        <v>#REF!</v>
      </c>
      <c r="EV53" t="e">
        <f>#REF!+"$Cm=!$e'"</f>
        <v>#REF!</v>
      </c>
      <c r="EW53" t="e">
        <f>#REF!+"$Cm=!$e("</f>
        <v>#REF!</v>
      </c>
      <c r="EX53" t="e">
        <f>#REF!+"$Cm=!$e)"</f>
        <v>#REF!</v>
      </c>
      <c r="EY53" t="e">
        <f>#REF!+"$Cm=!$e."</f>
        <v>#REF!</v>
      </c>
      <c r="EZ53" t="e">
        <f>#REF!+"$Cm=!$e/"</f>
        <v>#REF!</v>
      </c>
      <c r="FA53" t="e">
        <f>#REF!+"$Cm=!$e0"</f>
        <v>#REF!</v>
      </c>
      <c r="FB53" t="e">
        <f>#REF!+"$Cm=!$e1"</f>
        <v>#REF!</v>
      </c>
      <c r="FC53" t="e">
        <f>#REF!+"$Cm=!$e2"</f>
        <v>#REF!</v>
      </c>
      <c r="FD53" t="e">
        <f>#REF!+"$Cm=!$e3"</f>
        <v>#REF!</v>
      </c>
      <c r="FE53" t="e">
        <f>#REF!+"$Cm=!$e4"</f>
        <v>#REF!</v>
      </c>
      <c r="FF53" t="e">
        <f>#REF!+"$Cm=!$e5"</f>
        <v>#REF!</v>
      </c>
      <c r="FG53" t="e">
        <f>#REF!+"$Cm=!$e6"</f>
        <v>#REF!</v>
      </c>
      <c r="FH53" t="e">
        <f>#REF!+"$Cm=!$e7"</f>
        <v>#REF!</v>
      </c>
      <c r="FI53" t="e">
        <f>#REF!+"$Cm=!$e8"</f>
        <v>#REF!</v>
      </c>
      <c r="FJ53" t="e">
        <f>#REF!+"$Cm=!$e9"</f>
        <v>#REF!</v>
      </c>
      <c r="FK53" t="e">
        <f>#REF!+"$Cm=!$e:"</f>
        <v>#REF!</v>
      </c>
      <c r="FL53" t="e">
        <f>#REF!+"$Cm=!$e;"</f>
        <v>#REF!</v>
      </c>
      <c r="FM53" t="e">
        <f>#REF!+"$Cm=!$e&lt;"</f>
        <v>#REF!</v>
      </c>
      <c r="FN53" t="e">
        <f>#REF!+"$Cm=!$e="</f>
        <v>#REF!</v>
      </c>
      <c r="FO53" t="e">
        <f>#REF!+"$Cm=!$e&gt;"</f>
        <v>#REF!</v>
      </c>
      <c r="FP53" t="e">
        <f>#REF!+"$Cm=!$e?"</f>
        <v>#REF!</v>
      </c>
      <c r="FQ53" t="e">
        <f>#REF!+"$Cm=!$e@"</f>
        <v>#REF!</v>
      </c>
      <c r="FR53" t="e">
        <f>#REF!+"$Cm=!$eA"</f>
        <v>#REF!</v>
      </c>
      <c r="FS53" t="e">
        <f>#REF!+"$Cm=!$eB"</f>
        <v>#REF!</v>
      </c>
      <c r="FT53" t="e">
        <f>#REF!+"$Cm=!$eC"</f>
        <v>#REF!</v>
      </c>
      <c r="FU53" t="e">
        <f>#REF!+"$Cm=!$eD"</f>
        <v>#REF!</v>
      </c>
      <c r="FV53" t="e">
        <f>#REF!+"$Cm=!$eE"</f>
        <v>#REF!</v>
      </c>
      <c r="FW53" t="e">
        <f>#REF!+"$Cm=!$eF"</f>
        <v>#REF!</v>
      </c>
      <c r="FX53" t="e">
        <f>#REF!+"$Cm=!$eG"</f>
        <v>#REF!</v>
      </c>
      <c r="FY53" t="e">
        <f>#REF!+"$Cm=!$eH"</f>
        <v>#REF!</v>
      </c>
      <c r="FZ53" t="e">
        <f>#REF!+"$Cm=!$eI"</f>
        <v>#REF!</v>
      </c>
      <c r="GA53" t="e">
        <f>#REF!+"$Cm=!$eJ"</f>
        <v>#REF!</v>
      </c>
      <c r="GB53" t="e">
        <f>#REF!+"$Cm=!$eK"</f>
        <v>#REF!</v>
      </c>
      <c r="GC53" t="e">
        <f>#REF!+"$Cm=!$eL"</f>
        <v>#REF!</v>
      </c>
      <c r="GD53" t="e">
        <f>#REF!+"$Cm=!$eM"</f>
        <v>#REF!</v>
      </c>
      <c r="GE53" t="e">
        <f>#REF!+"$Cm=!$eN"</f>
        <v>#REF!</v>
      </c>
      <c r="GF53" t="e">
        <f>#REF!+"$Cm=!$eO"</f>
        <v>#REF!</v>
      </c>
      <c r="GG53" t="e">
        <f>#REF!+"$Cm=!$eP"</f>
        <v>#REF!</v>
      </c>
      <c r="GH53" t="e">
        <f>#REF!+"$Cm=!$eQ"</f>
        <v>#REF!</v>
      </c>
      <c r="GI53" t="e">
        <f>#REF!+"$Cm=!$eR"</f>
        <v>#REF!</v>
      </c>
      <c r="GJ53" t="e">
        <f>#REF!+"$Cm=!$eS"</f>
        <v>#REF!</v>
      </c>
      <c r="GK53" t="e">
        <f>#REF!+"$Cm=!$eT"</f>
        <v>#REF!</v>
      </c>
      <c r="GL53" t="e">
        <f>#REF!+"$Cm=!$eU"</f>
        <v>#REF!</v>
      </c>
      <c r="GM53" t="e">
        <f>#REF!+"$Cm=!$eV"</f>
        <v>#REF!</v>
      </c>
      <c r="GN53" t="e">
        <f>#REF!+"$Cm=!$eW"</f>
        <v>#REF!</v>
      </c>
      <c r="GO53" t="e">
        <f>#REF!+"$Cm=!$eX"</f>
        <v>#REF!</v>
      </c>
      <c r="GP53" t="e">
        <f>#REF!+"$Cm=!$eY"</f>
        <v>#REF!</v>
      </c>
      <c r="GQ53" t="e">
        <f>#REF!+"$Cm=!$eZ"</f>
        <v>#REF!</v>
      </c>
      <c r="GR53" t="e">
        <f>#REF!+"$Cm=!$e["</f>
        <v>#REF!</v>
      </c>
      <c r="GS53" t="e">
        <f>#REF!+"$Cm=!$e\"</f>
        <v>#REF!</v>
      </c>
      <c r="GT53" t="e">
        <f>#REF!+"$Cm=!$e]"</f>
        <v>#REF!</v>
      </c>
      <c r="GU53" t="e">
        <f>#REF!+"$Cm=!$e^"</f>
        <v>#REF!</v>
      </c>
      <c r="GV53" t="e">
        <f>#REF!+"$Cm=!$e_"</f>
        <v>#REF!</v>
      </c>
      <c r="GW53" t="e">
        <f>#REF!+"$Cm=!$e`"</f>
        <v>#REF!</v>
      </c>
      <c r="GX53" t="e">
        <f>#REF!+"$Cm=!$ea"</f>
        <v>#REF!</v>
      </c>
      <c r="GY53" t="e">
        <f>#REF!+"$Cm=!$eb"</f>
        <v>#REF!</v>
      </c>
      <c r="GZ53" t="e">
        <f>#REF!+"$Cm=!$ec"</f>
        <v>#REF!</v>
      </c>
      <c r="HA53" t="e">
        <f>#REF!+"$Cm=!$ed"</f>
        <v>#REF!</v>
      </c>
      <c r="HB53" t="e">
        <f>#REF!+"$Cm=!$ee"</f>
        <v>#REF!</v>
      </c>
      <c r="HC53" t="e">
        <f>#REF!+"$Cm=!$ef"</f>
        <v>#REF!</v>
      </c>
      <c r="HD53" t="e">
        <f>#REF!+"$Cm=!$eg"</f>
        <v>#REF!</v>
      </c>
      <c r="HE53" t="e">
        <f>#REF!+"$Cm=!$eh"</f>
        <v>#REF!</v>
      </c>
      <c r="HF53" t="e">
        <f>#REF!+"$Cm=!$ei"</f>
        <v>#REF!</v>
      </c>
      <c r="HG53" t="e">
        <f>#REF!+"$Cm=!$ej"</f>
        <v>#REF!</v>
      </c>
      <c r="HH53" t="e">
        <f>#REF!+"$Cm=!$ek"</f>
        <v>#REF!</v>
      </c>
      <c r="HI53" t="e">
        <f>#REF!+"$Cm=!$el"</f>
        <v>#REF!</v>
      </c>
      <c r="HJ53" t="e">
        <f>#REF!+"$Cm=!$em"</f>
        <v>#REF!</v>
      </c>
      <c r="HK53" t="e">
        <f>#REF!+"$Cm=!$en"</f>
        <v>#REF!</v>
      </c>
      <c r="HL53" t="e">
        <f>#REF!+"$Cm=!$eo"</f>
        <v>#REF!</v>
      </c>
      <c r="HM53" t="e">
        <f>#REF!+"$Cm=!$ep"</f>
        <v>#REF!</v>
      </c>
      <c r="HN53" t="e">
        <f>#REF!+"$Cm=!$eq"</f>
        <v>#REF!</v>
      </c>
      <c r="HO53" t="e">
        <f>#REF!+"$Cm=!$er"</f>
        <v>#REF!</v>
      </c>
      <c r="HP53" t="e">
        <f>#REF!+"$Cm=!$es"</f>
        <v>#REF!</v>
      </c>
      <c r="HQ53" t="e">
        <f>#REF!+"$Cm=!$et"</f>
        <v>#REF!</v>
      </c>
      <c r="HR53" t="e">
        <f>#REF!+"$Cm=!$eu"</f>
        <v>#REF!</v>
      </c>
      <c r="HS53" t="e">
        <f>#REF!+"$Cm=!$ev"</f>
        <v>#REF!</v>
      </c>
      <c r="HT53" t="e">
        <f>#REF!+"$Cm=!$ew"</f>
        <v>#REF!</v>
      </c>
      <c r="HU53" t="e">
        <f>#REF!+"$Cm=!$ex"</f>
        <v>#REF!</v>
      </c>
      <c r="HV53" t="e">
        <f>#REF!+"$Cm=!$ey"</f>
        <v>#REF!</v>
      </c>
      <c r="HW53" t="e">
        <f>#REF!+"$Cm=!$ez"</f>
        <v>#REF!</v>
      </c>
      <c r="HX53" t="e">
        <f>#REF!+"$Cm=!$e{"</f>
        <v>#REF!</v>
      </c>
      <c r="HY53" t="e">
        <f>#REF!+"$Cm=!$e|"</f>
        <v>#REF!</v>
      </c>
      <c r="HZ53" t="e">
        <f>#REF!+"$Cm=!$e}"</f>
        <v>#REF!</v>
      </c>
      <c r="IA53" t="e">
        <f>#REF!+"$Cm=!$e~"</f>
        <v>#REF!</v>
      </c>
      <c r="IB53" t="e">
        <f>#REF!+"$Cm=!$f#"</f>
        <v>#REF!</v>
      </c>
      <c r="IC53" t="e">
        <f>#REF!+"$Cm=!$f$"</f>
        <v>#REF!</v>
      </c>
      <c r="ID53" t="e">
        <f>#REF!+"$Cm=!$f%"</f>
        <v>#REF!</v>
      </c>
      <c r="IE53" t="e">
        <f>#REF!+"$Cm=!$f&amp;"</f>
        <v>#REF!</v>
      </c>
      <c r="IF53" t="e">
        <f>#REF!+"$Cm=!$f'"</f>
        <v>#REF!</v>
      </c>
      <c r="IG53" t="e">
        <f>#REF!+"$Cm=!$f("</f>
        <v>#REF!</v>
      </c>
      <c r="IH53" t="e">
        <f>#REF!+"$Cm=!$f)"</f>
        <v>#REF!</v>
      </c>
      <c r="II53" t="e">
        <f>#REF!+"$Cm=!$f."</f>
        <v>#REF!</v>
      </c>
      <c r="IJ53" t="e">
        <f>#REF!+"$Cm=!$f/"</f>
        <v>#REF!</v>
      </c>
      <c r="IK53" t="e">
        <f>#REF!+"$Cm=!$f0"</f>
        <v>#REF!</v>
      </c>
      <c r="IL53" t="e">
        <f>#REF!+"$Cm=!$f1"</f>
        <v>#REF!</v>
      </c>
      <c r="IM53" t="e">
        <f>#REF!+"$Cm=!$f2"</f>
        <v>#REF!</v>
      </c>
      <c r="IN53" t="e">
        <f>#REF!+"$Cm=!$f3"</f>
        <v>#REF!</v>
      </c>
      <c r="IO53" t="e">
        <f>#REF!+"$Cm=!$f4"</f>
        <v>#REF!</v>
      </c>
      <c r="IP53" t="e">
        <f>#REF!+"$Cm=!$f5"</f>
        <v>#REF!</v>
      </c>
      <c r="IQ53" t="e">
        <f>#REF!+"$Cm=!$f6"</f>
        <v>#REF!</v>
      </c>
      <c r="IR53" t="e">
        <f>#REF!+"$Cm=!$f7"</f>
        <v>#REF!</v>
      </c>
      <c r="IS53" t="e">
        <f>#REF!+"$Cm=!$f8"</f>
        <v>#REF!</v>
      </c>
      <c r="IT53" t="e">
        <f>#REF!+"$Cm=!$f9"</f>
        <v>#REF!</v>
      </c>
      <c r="IU53" t="e">
        <f>#REF!+"$Cm=!$f:"</f>
        <v>#REF!</v>
      </c>
      <c r="IV53" t="e">
        <f>#REF!+"$Cm=!$f;"</f>
        <v>#REF!</v>
      </c>
    </row>
    <row r="54" spans="6:256">
      <c r="F54" t="e">
        <f>#REF!+"$Cm=!$f&lt;"</f>
        <v>#REF!</v>
      </c>
      <c r="G54" t="e">
        <f>#REF!+"$Cm=!$f="</f>
        <v>#REF!</v>
      </c>
      <c r="H54" t="e">
        <f>#REF!+"$Cm=!$f&gt;"</f>
        <v>#REF!</v>
      </c>
      <c r="I54" t="e">
        <f>#REF!+"$Cm=!$f?"</f>
        <v>#REF!</v>
      </c>
      <c r="J54" t="e">
        <f>#REF!+"$Cm=!$f@"</f>
        <v>#REF!</v>
      </c>
      <c r="K54" t="e">
        <f>#REF!+"$Cm=!$fA"</f>
        <v>#REF!</v>
      </c>
      <c r="L54" t="e">
        <f>#REF!+"$Cm=!$fB"</f>
        <v>#REF!</v>
      </c>
      <c r="M54" t="e">
        <f>#REF!+"$Cm=!$fC"</f>
        <v>#REF!</v>
      </c>
      <c r="N54" t="e">
        <f>#REF!+"$Cm=!$fD"</f>
        <v>#REF!</v>
      </c>
      <c r="O54" t="e">
        <f>#REF!+"$Cm=!$fE"</f>
        <v>#REF!</v>
      </c>
      <c r="P54" t="e">
        <f>#REF!+"$Cm=!$fF"</f>
        <v>#REF!</v>
      </c>
      <c r="Q54" t="e">
        <f>#REF!+"$Cm=!$fG"</f>
        <v>#REF!</v>
      </c>
      <c r="R54" t="e">
        <f>#REF!+"$Cm=!$fH"</f>
        <v>#REF!</v>
      </c>
      <c r="S54" t="e">
        <f>#REF!+"$Cm=!$fI"</f>
        <v>#REF!</v>
      </c>
      <c r="T54" t="e">
        <f>#REF!+"$Cm=!$fJ"</f>
        <v>#REF!</v>
      </c>
      <c r="U54" t="e">
        <f>#REF!+"$Cm=!$fK"</f>
        <v>#REF!</v>
      </c>
      <c r="V54" t="e">
        <f>#REF!+"$Cm=!$fL"</f>
        <v>#REF!</v>
      </c>
      <c r="W54" t="e">
        <f>#REF!+"$Cm=!$fM"</f>
        <v>#REF!</v>
      </c>
      <c r="X54" t="e">
        <f>#REF!+"$Cm=!$fN"</f>
        <v>#REF!</v>
      </c>
      <c r="Y54" t="e">
        <f>#REF!+"$Cm=!$fO"</f>
        <v>#REF!</v>
      </c>
      <c r="Z54" t="e">
        <f>#REF!+"$Cm=!$fP"</f>
        <v>#REF!</v>
      </c>
      <c r="AA54" t="e">
        <f>#REF!+"$Cm=!$fQ"</f>
        <v>#REF!</v>
      </c>
      <c r="AB54" t="e">
        <f>#REF!+"$Cm=!$fR"</f>
        <v>#REF!</v>
      </c>
      <c r="AC54" t="e">
        <f>#REF!+"$Cm=!$fS"</f>
        <v>#REF!</v>
      </c>
      <c r="AD54" t="e">
        <f>#REF!+"$Cm=!$fT"</f>
        <v>#REF!</v>
      </c>
      <c r="AE54" t="e">
        <f>#REF!+"$Cm=!$fU"</f>
        <v>#REF!</v>
      </c>
      <c r="AF54" t="e">
        <f>#REF!+"$Cm=!$fV"</f>
        <v>#REF!</v>
      </c>
      <c r="AG54" t="e">
        <f>#REF!+"$Cm=!$fW"</f>
        <v>#REF!</v>
      </c>
      <c r="AH54" t="e">
        <f>#REF!+"$Cm=!$fX"</f>
        <v>#REF!</v>
      </c>
      <c r="AI54" t="e">
        <f>#REF!+"$Cm=!$fY"</f>
        <v>#REF!</v>
      </c>
      <c r="AJ54" t="e">
        <f>#REF!+"$Cm=!$fZ"</f>
        <v>#REF!</v>
      </c>
      <c r="AK54" t="e">
        <f>#REF!+"$Cm=!$f["</f>
        <v>#REF!</v>
      </c>
      <c r="AL54" t="e">
        <f>#REF!+"$Cm=!$f\"</f>
        <v>#REF!</v>
      </c>
      <c r="AM54" t="e">
        <f>#REF!+"$Cm=!$f]"</f>
        <v>#REF!</v>
      </c>
      <c r="AN54" t="e">
        <f>#REF!+"$Cm=!$f^"</f>
        <v>#REF!</v>
      </c>
      <c r="AO54" t="e">
        <f>#REF!+"$Cm=!$f_"</f>
        <v>#REF!</v>
      </c>
      <c r="AP54" t="e">
        <f>#REF!+"$Cm=!$f`"</f>
        <v>#REF!</v>
      </c>
      <c r="AQ54" t="e">
        <f>#REF!+"$Cm=!$fa"</f>
        <v>#REF!</v>
      </c>
      <c r="AR54" t="e">
        <f>#REF!+"$Cm=!$fb"</f>
        <v>#REF!</v>
      </c>
      <c r="AS54" t="e">
        <f>#REF!+"$Cm=!$fc"</f>
        <v>#REF!</v>
      </c>
      <c r="AT54" t="e">
        <f>#REF!+"$Cm=!$fd"</f>
        <v>#REF!</v>
      </c>
      <c r="AU54" t="e">
        <f>#REF!+"$Cm=!$fe"</f>
        <v>#REF!</v>
      </c>
      <c r="AV54" t="e">
        <f>#REF!+"$Cm=!$ff"</f>
        <v>#REF!</v>
      </c>
      <c r="AW54" t="e">
        <f>#REF!+"$Cm=!$fg"</f>
        <v>#REF!</v>
      </c>
      <c r="AX54" t="e">
        <f>#REF!+"$Cm=!$fh"</f>
        <v>#REF!</v>
      </c>
      <c r="AY54" t="e">
        <f>#REF!+"$Cm=!$fi"</f>
        <v>#REF!</v>
      </c>
      <c r="AZ54" t="e">
        <f>#REF!+"$Cm=!$fj"</f>
        <v>#REF!</v>
      </c>
      <c r="BA54" t="e">
        <f>#REF!+"$Cm=!$fk"</f>
        <v>#REF!</v>
      </c>
      <c r="BB54" t="e">
        <f>#REF!+"$Cm=!$fl"</f>
        <v>#REF!</v>
      </c>
      <c r="BC54" t="e">
        <f>#REF!+"$Cm=!$fm"</f>
        <v>#REF!</v>
      </c>
      <c r="BD54" t="e">
        <f>#REF!+"$Cm=!$fn"</f>
        <v>#REF!</v>
      </c>
      <c r="BE54" t="e">
        <f>#REF!+"$Cm=!$fo"</f>
        <v>#REF!</v>
      </c>
      <c r="BF54" t="e">
        <f>#REF!+"$Cm=!$fp"</f>
        <v>#REF!</v>
      </c>
      <c r="BG54" t="e">
        <f>#REF!+"$Cm=!$fq"</f>
        <v>#REF!</v>
      </c>
      <c r="BH54" t="e">
        <f>#REF!+"$Cm=!$fr"</f>
        <v>#REF!</v>
      </c>
      <c r="BI54" t="e">
        <f>#REF!+"$Cm=!$fs"</f>
        <v>#REF!</v>
      </c>
      <c r="BJ54" t="e">
        <f>#REF!+"$Cm=!$ft"</f>
        <v>#REF!</v>
      </c>
      <c r="BK54" t="e">
        <f>#REF!+"$Cm=!$fu"</f>
        <v>#REF!</v>
      </c>
      <c r="BL54" t="e">
        <f>#REF!+"$Cm=!$fv"</f>
        <v>#REF!</v>
      </c>
      <c r="BM54" t="e">
        <f>#REF!+"$Cm=!$fw"</f>
        <v>#REF!</v>
      </c>
      <c r="BN54" t="e">
        <f>#REF!+"$Cm=!$fx"</f>
        <v>#REF!</v>
      </c>
      <c r="BO54" t="e">
        <f>#REF!+"$Cm=!$fy"</f>
        <v>#REF!</v>
      </c>
      <c r="BP54" t="e">
        <f>#REF!+"$Cm=!$fz"</f>
        <v>#REF!</v>
      </c>
      <c r="BQ54" t="e">
        <f>#REF!+"$Cm=!$f{"</f>
        <v>#REF!</v>
      </c>
      <c r="BR54" t="e">
        <f>#REF!+"$Cm=!$f|"</f>
        <v>#REF!</v>
      </c>
      <c r="BS54" t="e">
        <f>#REF!+"$Cm=!$f}"</f>
        <v>#REF!</v>
      </c>
      <c r="BT54" t="e">
        <f>#REF!+"$Cm=!$f~"</f>
        <v>#REF!</v>
      </c>
      <c r="BU54" t="e">
        <f>#REF!+"$Cm=!$g#"</f>
        <v>#REF!</v>
      </c>
      <c r="BV54" t="e">
        <f>#REF!+"$Cm=!$g$"</f>
        <v>#REF!</v>
      </c>
      <c r="BW54" t="e">
        <f>#REF!+"$Cm=!$g%"</f>
        <v>#REF!</v>
      </c>
      <c r="BX54" t="e">
        <f>#REF!+"$Cm=!$g&amp;"</f>
        <v>#REF!</v>
      </c>
      <c r="BY54" t="e">
        <f>#REF!+"$Cm=!$g'"</f>
        <v>#REF!</v>
      </c>
      <c r="BZ54" t="e">
        <f>#REF!+"$Cm=!$g("</f>
        <v>#REF!</v>
      </c>
      <c r="CA54" t="e">
        <f>#REF!+"$Cm=!$g)"</f>
        <v>#REF!</v>
      </c>
      <c r="CB54" t="e">
        <f>#REF!+"$Cm=!$g."</f>
        <v>#REF!</v>
      </c>
      <c r="CC54" t="e">
        <f>#REF!+"$Cm=!$g/"</f>
        <v>#REF!</v>
      </c>
      <c r="CD54" t="e">
        <f>#REF!+"$Cm=!$g0"</f>
        <v>#REF!</v>
      </c>
      <c r="CE54" t="e">
        <f>#REF!+"$Cm=!$g1"</f>
        <v>#REF!</v>
      </c>
      <c r="CF54" t="e">
        <f>#REF!+"$Cm=!$g2"</f>
        <v>#REF!</v>
      </c>
      <c r="CG54" t="e">
        <f>#REF!+"$Cm=!$g3"</f>
        <v>#REF!</v>
      </c>
      <c r="CH54" t="e">
        <f>#REF!+"$Cm=!$g4"</f>
        <v>#REF!</v>
      </c>
      <c r="CI54" t="e">
        <f>#REF!+"$Cm=!$g5"</f>
        <v>#REF!</v>
      </c>
      <c r="CJ54" t="e">
        <f>#REF!+"$Cm=!$g6"</f>
        <v>#REF!</v>
      </c>
      <c r="CK54" t="e">
        <f>#REF!+"$Cm=!$g7"</f>
        <v>#REF!</v>
      </c>
      <c r="CL54" t="e">
        <f>#REF!+"$Cm=!$g8"</f>
        <v>#REF!</v>
      </c>
      <c r="CM54" t="e">
        <f>#REF!+"$Cm=!$g9"</f>
        <v>#REF!</v>
      </c>
      <c r="CN54" t="e">
        <f>#REF!+"$Cm=!$g:"</f>
        <v>#REF!</v>
      </c>
      <c r="CO54" t="e">
        <f>#REF!+"$Cm=!$g;"</f>
        <v>#REF!</v>
      </c>
      <c r="CP54" t="e">
        <f>#REF!+"$Cm=!$g&lt;"</f>
        <v>#REF!</v>
      </c>
      <c r="CQ54" t="e">
        <f>#REF!+"$Cm=!$g="</f>
        <v>#REF!</v>
      </c>
      <c r="CR54" t="e">
        <f>#REF!+"$Cm=!$g&gt;"</f>
        <v>#REF!</v>
      </c>
      <c r="CS54" t="e">
        <f>#REF!+"$Cm=!$g?"</f>
        <v>#REF!</v>
      </c>
      <c r="CT54" t="e">
        <f>#REF!+"$Cm=!$g@"</f>
        <v>#REF!</v>
      </c>
      <c r="CU54" t="e">
        <f>#REF!+"$Cm=!$gA"</f>
        <v>#REF!</v>
      </c>
      <c r="CV54" t="e">
        <f>#REF!+"$Cm=!$gB"</f>
        <v>#REF!</v>
      </c>
      <c r="CW54" t="e">
        <f>#REF!+"$Cm=!$gC"</f>
        <v>#REF!</v>
      </c>
      <c r="CX54" t="e">
        <f>#REF!+"$Cm=!$gD"</f>
        <v>#REF!</v>
      </c>
      <c r="CY54" t="e">
        <f>#REF!+"$Cm=!$gE"</f>
        <v>#REF!</v>
      </c>
      <c r="CZ54" t="e">
        <f>#REF!+"$Cm=!$gF"</f>
        <v>#REF!</v>
      </c>
      <c r="DA54" t="e">
        <f>#REF!+"$Cm=!$gG"</f>
        <v>#REF!</v>
      </c>
      <c r="DB54" t="e">
        <f>#REF!+"$Cm=!$gH"</f>
        <v>#REF!</v>
      </c>
      <c r="DC54" t="e">
        <f>#REF!+"$Cm=!$gI"</f>
        <v>#REF!</v>
      </c>
      <c r="DD54" t="e">
        <f>#REF!+"$Cm=!$gJ"</f>
        <v>#REF!</v>
      </c>
      <c r="DE54" t="e">
        <f>#REF!+"$Cm=!$gK"</f>
        <v>#REF!</v>
      </c>
      <c r="DF54" t="e">
        <f>#REF!+"$Cm=!$gL"</f>
        <v>#REF!</v>
      </c>
      <c r="DG54" t="e">
        <f>#REF!+"$Cm=!$gM"</f>
        <v>#REF!</v>
      </c>
      <c r="DH54" t="e">
        <f>#REF!+"$Cm=!$gN"</f>
        <v>#REF!</v>
      </c>
      <c r="DI54" t="e">
        <f>#REF!+"$Cm=!$gO"</f>
        <v>#REF!</v>
      </c>
      <c r="DJ54" t="e">
        <f>#REF!+"$Cm=!$gP"</f>
        <v>#REF!</v>
      </c>
      <c r="DK54" t="e">
        <f>#REF!+"$Cm=!$gQ"</f>
        <v>#REF!</v>
      </c>
      <c r="DL54" t="e">
        <f>#REF!+"$Cm=!$gR"</f>
        <v>#REF!</v>
      </c>
      <c r="DM54" t="e">
        <f>#REF!+"$Cm=!$gS"</f>
        <v>#REF!</v>
      </c>
      <c r="DN54" t="e">
        <f>#REF!+"$Cm=!$gT"</f>
        <v>#REF!</v>
      </c>
      <c r="DO54" t="e">
        <f>#REF!+"$Cm=!$gU"</f>
        <v>#REF!</v>
      </c>
      <c r="DP54" t="e">
        <f>#REF!+"$Cm=!$gV"</f>
        <v>#REF!</v>
      </c>
      <c r="DQ54" t="e">
        <f>#REF!+"$Cm=!$gW"</f>
        <v>#REF!</v>
      </c>
      <c r="DR54" t="e">
        <f>#REF!+"$Cm=!$gX"</f>
        <v>#REF!</v>
      </c>
      <c r="DS54" t="e">
        <f>#REF!+"$Cm=!$gY"</f>
        <v>#REF!</v>
      </c>
      <c r="DT54" t="e">
        <f>#REF!+"$Cm=!$gZ"</f>
        <v>#REF!</v>
      </c>
      <c r="DU54" t="e">
        <f>#REF!+"$Cm=!$g["</f>
        <v>#REF!</v>
      </c>
      <c r="DV54" t="e">
        <f>#REF!+"$Cm=!$g\"</f>
        <v>#REF!</v>
      </c>
      <c r="DW54" t="e">
        <f>#REF!+"$Cm=!$g]"</f>
        <v>#REF!</v>
      </c>
      <c r="DX54" t="e">
        <f>#REF!+"$Cm=!$g^"</f>
        <v>#REF!</v>
      </c>
      <c r="DY54" t="e">
        <f>#REF!+"$Cm=!$g_"</f>
        <v>#REF!</v>
      </c>
      <c r="DZ54" t="e">
        <f>#REF!+"$Cm=!$g`"</f>
        <v>#REF!</v>
      </c>
      <c r="EA54" t="e">
        <f>#REF!+"$Cm=!$ga"</f>
        <v>#REF!</v>
      </c>
      <c r="EB54" t="e">
        <f>#REF!+"$Cm=!$gb"</f>
        <v>#REF!</v>
      </c>
      <c r="EC54" t="e">
        <f>#REF!+"$Cm=!$gc"</f>
        <v>#REF!</v>
      </c>
      <c r="ED54" t="e">
        <f>#REF!+"$Cm=!$gd"</f>
        <v>#REF!</v>
      </c>
      <c r="EE54" t="e">
        <f>#REF!+"$Cm=!$ge"</f>
        <v>#REF!</v>
      </c>
      <c r="EF54" t="e">
        <f>#REF!+"$Cm=!$gf"</f>
        <v>#REF!</v>
      </c>
      <c r="EG54" t="e">
        <f>#REF!+"$Cm=!$gg"</f>
        <v>#REF!</v>
      </c>
      <c r="EH54" t="e">
        <f>#REF!+"$Cm=!$gh"</f>
        <v>#REF!</v>
      </c>
      <c r="EI54" t="e">
        <f>#REF!+"$Cm=!$gi"</f>
        <v>#REF!</v>
      </c>
      <c r="EJ54" t="e">
        <f>#REF!+"$Cm=!$gj"</f>
        <v>#REF!</v>
      </c>
      <c r="EK54" t="e">
        <f>#REF!+"$Cm=!$gk"</f>
        <v>#REF!</v>
      </c>
      <c r="EL54" t="e">
        <f>#REF!+"$Cm=!$gl"</f>
        <v>#REF!</v>
      </c>
      <c r="EM54" t="e">
        <f>#REF!+"$Cm=!$gm"</f>
        <v>#REF!</v>
      </c>
      <c r="EN54" t="e">
        <f>#REF!+"$Cm=!$gn"</f>
        <v>#REF!</v>
      </c>
      <c r="EO54" t="e">
        <f>#REF!+"$Cm=!$go"</f>
        <v>#REF!</v>
      </c>
      <c r="EP54" t="e">
        <f>#REF!+"$Cm=!$gp"</f>
        <v>#REF!</v>
      </c>
      <c r="EQ54" t="e">
        <f>#REF!+"$Cm=!$gq"</f>
        <v>#REF!</v>
      </c>
      <c r="ER54" t="e">
        <f>#REF!+"$Cm=!$gr"</f>
        <v>#REF!</v>
      </c>
      <c r="ES54" t="e">
        <f>#REF!+"$Cm=!$gs"</f>
        <v>#REF!</v>
      </c>
      <c r="ET54" t="e">
        <f>#REF!+"$Cm=!$gt"</f>
        <v>#REF!</v>
      </c>
      <c r="EU54" t="e">
        <f>#REF!+"$Cm=!$gu"</f>
        <v>#REF!</v>
      </c>
      <c r="EV54" t="e">
        <f>#REF!+"$Cm=!$gv"</f>
        <v>#REF!</v>
      </c>
      <c r="EW54" t="e">
        <f>#REF!+"$Cm=!$gw"</f>
        <v>#REF!</v>
      </c>
      <c r="EX54" t="e">
        <f>#REF!+"$Cm=!$gx"</f>
        <v>#REF!</v>
      </c>
      <c r="EY54" t="e">
        <f>#REF!+"$Cm=!$gy"</f>
        <v>#REF!</v>
      </c>
      <c r="EZ54" t="e">
        <f>#REF!+"$Cm=!$gz"</f>
        <v>#REF!</v>
      </c>
      <c r="FA54" t="e">
        <f>#REF!+"$Cm=!$g{"</f>
        <v>#REF!</v>
      </c>
      <c r="FB54" t="e">
        <f>#REF!+"$Cm=!$g|"</f>
        <v>#REF!</v>
      </c>
      <c r="FC54" t="e">
        <f>#REF!+"$Cm=!$g}"</f>
        <v>#REF!</v>
      </c>
      <c r="FD54" t="e">
        <f>#REF!+"$Cm=!$g~"</f>
        <v>#REF!</v>
      </c>
      <c r="FE54" t="e">
        <f>#REF!+"$Cm=!$h#"</f>
        <v>#REF!</v>
      </c>
      <c r="FF54" t="e">
        <f>#REF!+"$Cm=!$h$"</f>
        <v>#REF!</v>
      </c>
      <c r="FG54" t="e">
        <f>#REF!+"$Cm=!$h%"</f>
        <v>#REF!</v>
      </c>
      <c r="FH54" t="e">
        <f>#REF!+"$Cm=!$h&amp;"</f>
        <v>#REF!</v>
      </c>
      <c r="FI54" t="e">
        <f>#REF!+"$Cm=!$h'"</f>
        <v>#REF!</v>
      </c>
      <c r="FJ54" t="e">
        <f>#REF!+"$Cm=!$h("</f>
        <v>#REF!</v>
      </c>
      <c r="FK54" t="e">
        <f>#REF!+"$Cm=!$h)"</f>
        <v>#REF!</v>
      </c>
      <c r="FL54" t="e">
        <f>#REF!+"$Cm=!$h."</f>
        <v>#REF!</v>
      </c>
      <c r="FM54" t="e">
        <f>#REF!+"$Cm=!$h/"</f>
        <v>#REF!</v>
      </c>
      <c r="FN54" t="e">
        <f>#REF!+"$Cm=!$h0"</f>
        <v>#REF!</v>
      </c>
      <c r="FO54" t="e">
        <f>#REF!+"$Cm=!$h1"</f>
        <v>#REF!</v>
      </c>
      <c r="FP54" t="e">
        <f>#REF!+"$Cm=!$h2"</f>
        <v>#REF!</v>
      </c>
      <c r="FQ54" t="e">
        <f>#REF!+"$Cm=!$h3"</f>
        <v>#REF!</v>
      </c>
      <c r="FR54" t="e">
        <f>#REF!+"$Cm=!$h4"</f>
        <v>#REF!</v>
      </c>
      <c r="FS54" t="e">
        <f>#REF!+"$Cm=!$h5"</f>
        <v>#REF!</v>
      </c>
      <c r="FT54" t="e">
        <f>#REF!+"$Cm=!$h6"</f>
        <v>#REF!</v>
      </c>
      <c r="FU54" t="e">
        <f>#REF!+"$Cm=!$h7"</f>
        <v>#REF!</v>
      </c>
      <c r="FV54" t="e">
        <f>#REF!+"$Cm=!$h8"</f>
        <v>#REF!</v>
      </c>
      <c r="FW54" t="e">
        <f>#REF!+"$Cm=!$h9"</f>
        <v>#REF!</v>
      </c>
      <c r="FX54" t="e">
        <f>#REF!+"$Cm=!$h:"</f>
        <v>#REF!</v>
      </c>
      <c r="FY54" t="e">
        <f>#REF!+"$Cm=!$h;"</f>
        <v>#REF!</v>
      </c>
      <c r="FZ54" t="e">
        <f>#REF!+"$Cm=!$h&lt;"</f>
        <v>#REF!</v>
      </c>
      <c r="GA54" t="e">
        <f>#REF!+"$Cm=!$h="</f>
        <v>#REF!</v>
      </c>
      <c r="GB54" t="e">
        <f>#REF!+"$Cm=!$h&gt;"</f>
        <v>#REF!</v>
      </c>
      <c r="GC54" t="e">
        <f>#REF!+"$Cm=!$h?"</f>
        <v>#REF!</v>
      </c>
      <c r="GD54" t="e">
        <f>#REF!+"$Cm=!$h@"</f>
        <v>#REF!</v>
      </c>
      <c r="GE54" t="e">
        <f>#REF!+"$Cm=!$hA"</f>
        <v>#REF!</v>
      </c>
      <c r="GF54" t="e">
        <f>#REF!+"$Cm=!$hB"</f>
        <v>#REF!</v>
      </c>
      <c r="GG54" t="e">
        <f>#REF!+"$Cm=!$hC"</f>
        <v>#REF!</v>
      </c>
      <c r="GH54" t="e">
        <f>#REF!+"$Cm=!$hD"</f>
        <v>#REF!</v>
      </c>
      <c r="GI54" t="e">
        <f>#REF!+"$Cm=!$hE"</f>
        <v>#REF!</v>
      </c>
      <c r="GJ54" t="e">
        <f>#REF!+"$Cm=!$hF"</f>
        <v>#REF!</v>
      </c>
      <c r="GK54" t="e">
        <f>#REF!+"$Cm=!$hG"</f>
        <v>#REF!</v>
      </c>
      <c r="GL54" t="e">
        <f>#REF!+"$Cm=!$hH"</f>
        <v>#REF!</v>
      </c>
      <c r="GM54" t="e">
        <f>#REF!+"$Cm=!$hI"</f>
        <v>#REF!</v>
      </c>
      <c r="GN54" t="e">
        <f>#REF!+"$Cm=!$hJ"</f>
        <v>#REF!</v>
      </c>
      <c r="GO54" t="e">
        <f>#REF!+"$Cm=!$hK"</f>
        <v>#REF!</v>
      </c>
      <c r="GP54" t="e">
        <f>#REF!+"$Cm=!$hL"</f>
        <v>#REF!</v>
      </c>
      <c r="GQ54" t="e">
        <f>#REF!+"$Cm=!$hM"</f>
        <v>#REF!</v>
      </c>
      <c r="GR54" t="e">
        <f>#REF!+"$Cm=!$hN"</f>
        <v>#REF!</v>
      </c>
      <c r="GS54" t="e">
        <f>#REF!+"$Cm=!$hO"</f>
        <v>#REF!</v>
      </c>
      <c r="GT54" t="e">
        <f>#REF!+"$Cm=!$hP"</f>
        <v>#REF!</v>
      </c>
      <c r="GU54" t="e">
        <f>#REF!+"$Cm=!$hQ"</f>
        <v>#REF!</v>
      </c>
      <c r="GV54" t="e">
        <f>#REF!+"$Cm=!$hR"</f>
        <v>#REF!</v>
      </c>
      <c r="GW54" t="e">
        <f>#REF!+"$Cm=!$hS"</f>
        <v>#REF!</v>
      </c>
      <c r="GX54" t="e">
        <f>#REF!+"$Cm=!$hT"</f>
        <v>#REF!</v>
      </c>
      <c r="GY54" t="e">
        <f>#REF!+"$Cm=!$hU"</f>
        <v>#REF!</v>
      </c>
      <c r="GZ54" t="e">
        <f>#REF!+"$Cm=!$hV"</f>
        <v>#REF!</v>
      </c>
      <c r="HA54" t="e">
        <f>#REF!+"$Cm=!$hW"</f>
        <v>#REF!</v>
      </c>
      <c r="HB54" t="e">
        <f>#REF!+"$Cm=!$hX"</f>
        <v>#REF!</v>
      </c>
      <c r="HC54" t="e">
        <f>#REF!+"$Cm=!$hY"</f>
        <v>#REF!</v>
      </c>
      <c r="HD54" t="e">
        <f>#REF!+"$Cm=!$hZ"</f>
        <v>#REF!</v>
      </c>
      <c r="HE54" t="e">
        <f>#REF!+"$Cm=!$h["</f>
        <v>#REF!</v>
      </c>
      <c r="HF54" t="e">
        <f>#REF!+"$Cm=!$h\"</f>
        <v>#REF!</v>
      </c>
      <c r="HG54" t="e">
        <f>#REF!+"$Cm=!$h]"</f>
        <v>#REF!</v>
      </c>
      <c r="HH54" t="e">
        <f>#REF!+"$Cm=!$h^"</f>
        <v>#REF!</v>
      </c>
      <c r="HI54" t="e">
        <f>#REF!+"$Cm=!$h_"</f>
        <v>#REF!</v>
      </c>
      <c r="HJ54" t="e">
        <f>#REF!+"$Cm=!$h`"</f>
        <v>#REF!</v>
      </c>
      <c r="HK54" t="e">
        <f>#REF!+"$Cm=!$ha"</f>
        <v>#REF!</v>
      </c>
      <c r="HL54" t="e">
        <f>#REF!+"$Cm=!$hb"</f>
        <v>#REF!</v>
      </c>
      <c r="HM54" t="e">
        <f>#REF!+"$Cm=!$hc"</f>
        <v>#REF!</v>
      </c>
      <c r="HN54" t="e">
        <f>#REF!+"$Cm=!$hd"</f>
        <v>#REF!</v>
      </c>
      <c r="HO54" t="e">
        <f>#REF!+"$Cm=!$he"</f>
        <v>#REF!</v>
      </c>
      <c r="HP54" t="e">
        <f>#REF!+"$Cm=!$hf"</f>
        <v>#REF!</v>
      </c>
      <c r="HQ54" t="e">
        <f>#REF!+"$Cm=!$hg"</f>
        <v>#REF!</v>
      </c>
      <c r="HR54" t="e">
        <f>#REF!+"$Cm=!$hh"</f>
        <v>#REF!</v>
      </c>
      <c r="HS54" t="e">
        <f>#REF!+"$Cm=!$hi"</f>
        <v>#REF!</v>
      </c>
      <c r="HT54" t="e">
        <f>#REF!+"$Cm=!$hj"</f>
        <v>#REF!</v>
      </c>
      <c r="HU54" t="e">
        <f>#REF!+"$Cm=!$hk"</f>
        <v>#REF!</v>
      </c>
      <c r="HV54" t="e">
        <f>#REF!+"$Cm=!$hl"</f>
        <v>#REF!</v>
      </c>
      <c r="HW54" t="e">
        <f>#REF!+"$Cm=!$hm"</f>
        <v>#REF!</v>
      </c>
      <c r="HX54" t="e">
        <f>#REF!+"$Cm=!$hn"</f>
        <v>#REF!</v>
      </c>
      <c r="HY54" t="e">
        <f>#REF!+"$Cm=!$ho"</f>
        <v>#REF!</v>
      </c>
      <c r="HZ54" t="e">
        <f>#REF!+"$Cm=!$hp"</f>
        <v>#REF!</v>
      </c>
      <c r="IA54" t="e">
        <f>#REF!+"$Cm=!$hq"</f>
        <v>#REF!</v>
      </c>
      <c r="IB54" t="e">
        <f>#REF!+"$Cm=!$hr"</f>
        <v>#REF!</v>
      </c>
      <c r="IC54" t="e">
        <f>#REF!+"$Cm=!$hs"</f>
        <v>#REF!</v>
      </c>
      <c r="ID54" t="e">
        <f>#REF!+"$Cm=!$ht"</f>
        <v>#REF!</v>
      </c>
      <c r="IE54" t="e">
        <f>#REF!+"$Cm=!$hu"</f>
        <v>#REF!</v>
      </c>
      <c r="IF54" t="e">
        <f>#REF!+"$Cm=!$hv"</f>
        <v>#REF!</v>
      </c>
      <c r="IG54" t="e">
        <f>#REF!+"$Cm=!$hw"</f>
        <v>#REF!</v>
      </c>
      <c r="IH54" t="e">
        <f>#REF!+"$Cm=!$hx"</f>
        <v>#REF!</v>
      </c>
      <c r="II54" t="e">
        <f>#REF!+"$Cm=!$hy"</f>
        <v>#REF!</v>
      </c>
      <c r="IJ54" t="e">
        <f>#REF!+"$Cm=!$hz"</f>
        <v>#REF!</v>
      </c>
      <c r="IK54" t="e">
        <f>#REF!+"$Cm=!$h{"</f>
        <v>#REF!</v>
      </c>
      <c r="IL54" t="e">
        <f>#REF!+"$Cm=!$h|"</f>
        <v>#REF!</v>
      </c>
      <c r="IM54" t="e">
        <f>#REF!+"$Cm=!$h}"</f>
        <v>#REF!</v>
      </c>
      <c r="IN54" t="e">
        <f>#REF!+"$Cm=!$h~"</f>
        <v>#REF!</v>
      </c>
      <c r="IO54" t="e">
        <f>#REF!+"$Cm=!$i#"</f>
        <v>#REF!</v>
      </c>
      <c r="IP54" t="e">
        <f>#REF!+"$Cm=!$i$"</f>
        <v>#REF!</v>
      </c>
      <c r="IQ54" t="e">
        <f>#REF!+"$Cm=!$i%"</f>
        <v>#REF!</v>
      </c>
      <c r="IR54" t="e">
        <f>#REF!+"$Cm=!$i&amp;"</f>
        <v>#REF!</v>
      </c>
      <c r="IS54" t="e">
        <f>#REF!+"$Cm=!$i'"</f>
        <v>#REF!</v>
      </c>
      <c r="IT54" t="e">
        <f>#REF!+"$Cm=!$i("</f>
        <v>#REF!</v>
      </c>
      <c r="IU54" t="e">
        <f>#REF!+"$Cm=!$i)"</f>
        <v>#REF!</v>
      </c>
      <c r="IV54" t="e">
        <f>#REF!+"$Cm=!$i."</f>
        <v>#REF!</v>
      </c>
    </row>
    <row r="55" spans="6:256">
      <c r="F55" t="e">
        <f>#REF!+"$Cm=!$i/"</f>
        <v>#REF!</v>
      </c>
      <c r="G55" t="e">
        <f>#REF!+"$Cm=!$i0"</f>
        <v>#REF!</v>
      </c>
      <c r="H55" t="e">
        <f>#REF!+"$Cm=!$i1"</f>
        <v>#REF!</v>
      </c>
      <c r="I55" t="e">
        <f>#REF!+"$Cm=!$i2"</f>
        <v>#REF!</v>
      </c>
      <c r="J55" t="e">
        <f>#REF!+"$Cm=!$i3"</f>
        <v>#REF!</v>
      </c>
      <c r="K55" t="e">
        <f>#REF!+"$Cm=!$i4"</f>
        <v>#REF!</v>
      </c>
      <c r="L55" t="e">
        <f>#REF!+"$Cm=!$i5"</f>
        <v>#REF!</v>
      </c>
      <c r="M55" t="e">
        <f>#REF!+"$Cm=!$i6"</f>
        <v>#REF!</v>
      </c>
      <c r="N55" t="e">
        <f>#REF!+"$Cm=!$i7"</f>
        <v>#REF!</v>
      </c>
      <c r="O55" t="e">
        <f>#REF!+"$Cm=!$i8"</f>
        <v>#REF!</v>
      </c>
      <c r="P55" t="e">
        <f>#REF!+"$Cm=!$i9"</f>
        <v>#REF!</v>
      </c>
      <c r="Q55" t="e">
        <f>#REF!+"$Cm=!$i:"</f>
        <v>#REF!</v>
      </c>
      <c r="R55" t="e">
        <f>#REF!+"$Cm=!$i;"</f>
        <v>#REF!</v>
      </c>
      <c r="S55" t="e">
        <f>#REF!+"$Cm=!$i&lt;"</f>
        <v>#REF!</v>
      </c>
      <c r="T55" t="e">
        <f>#REF!+"$Cm=!$i="</f>
        <v>#REF!</v>
      </c>
      <c r="U55" t="e">
        <f>#REF!+"$Cm=!$i&gt;"</f>
        <v>#REF!</v>
      </c>
      <c r="V55" t="e">
        <f>#REF!+"$Cm=!$i?"</f>
        <v>#REF!</v>
      </c>
      <c r="W55" t="e">
        <f>#REF!+"$Cm=!$i@"</f>
        <v>#REF!</v>
      </c>
      <c r="X55" t="e">
        <f>#REF!+"$Cm=!$iA"</f>
        <v>#REF!</v>
      </c>
      <c r="Y55" t="e">
        <f>#REF!+"$Cm=!$iB"</f>
        <v>#REF!</v>
      </c>
      <c r="Z55" t="e">
        <f>#REF!+"$Cm=!$iC"</f>
        <v>#REF!</v>
      </c>
      <c r="AA55" t="e">
        <f>#REF!+"$Cm=!$iD"</f>
        <v>#REF!</v>
      </c>
      <c r="AB55" t="e">
        <f>#REF!+"$Cm=!$iE"</f>
        <v>#REF!</v>
      </c>
      <c r="AC55" t="e">
        <f>#REF!+"$Cm=!$iF"</f>
        <v>#REF!</v>
      </c>
      <c r="AD55" t="e">
        <f>#REF!+"$Cm=!$iG"</f>
        <v>#REF!</v>
      </c>
      <c r="AE55" t="e">
        <f>#REF!+"$Cm=!$iH"</f>
        <v>#REF!</v>
      </c>
      <c r="AF55" t="e">
        <f>#REF!+"$Cm=!$iI"</f>
        <v>#REF!</v>
      </c>
      <c r="AG55" t="e">
        <f>#REF!+"$Cm=!$iJ"</f>
        <v>#REF!</v>
      </c>
      <c r="AH55" t="e">
        <f>#REF!+"$Cm=!$iK"</f>
        <v>#REF!</v>
      </c>
      <c r="AI55" t="e">
        <f>#REF!+"$Cm=!$iL"</f>
        <v>#REF!</v>
      </c>
      <c r="AJ55" t="e">
        <f>#REF!+"$Cm=!$iM"</f>
        <v>#REF!</v>
      </c>
      <c r="AK55" t="e">
        <f>#REF!+"$Cm=!$iN"</f>
        <v>#REF!</v>
      </c>
      <c r="AL55" t="e">
        <f>#REF!+"$Cm=!$iO"</f>
        <v>#REF!</v>
      </c>
      <c r="AM55" t="e">
        <f>#REF!+"$Cm=!$iP"</f>
        <v>#REF!</v>
      </c>
      <c r="AN55" t="e">
        <f>#REF!+"$Cm=!$iQ"</f>
        <v>#REF!</v>
      </c>
      <c r="AO55" t="e">
        <f>#REF!+"$Cm=!$iR"</f>
        <v>#REF!</v>
      </c>
      <c r="AP55" t="e">
        <f>#REF!+"$Cm=!$iS"</f>
        <v>#REF!</v>
      </c>
      <c r="AQ55" t="e">
        <f>#REF!+"$Cm=!$iT"</f>
        <v>#REF!</v>
      </c>
      <c r="AR55" t="e">
        <f>#REF!+"$Cm=!$iU"</f>
        <v>#REF!</v>
      </c>
      <c r="AS55" t="e">
        <f>#REF!+"$Cm=!$iV"</f>
        <v>#REF!</v>
      </c>
      <c r="AT55" t="e">
        <f>#REF!+"$Cm=!$iW"</f>
        <v>#REF!</v>
      </c>
      <c r="AU55" t="e">
        <f>#REF!+"$Cm=!$iX"</f>
        <v>#REF!</v>
      </c>
      <c r="AV55" t="e">
        <f>#REF!+"$Cm=!$iY"</f>
        <v>#REF!</v>
      </c>
      <c r="AW55" t="e">
        <f>#REF!+"$Cm=!$iZ"</f>
        <v>#REF!</v>
      </c>
      <c r="AX55" t="e">
        <f>#REF!+"$Cm=!$i["</f>
        <v>#REF!</v>
      </c>
      <c r="AY55" t="e">
        <f>#REF!+"$Cm=!$i\"</f>
        <v>#REF!</v>
      </c>
      <c r="AZ55" t="e">
        <f>#REF!+"$Cm=!$i]"</f>
        <v>#REF!</v>
      </c>
      <c r="BA55" t="e">
        <f>#REF!+"$Cm=!$i^"</f>
        <v>#REF!</v>
      </c>
      <c r="BB55" t="e">
        <f>#REF!+"$Cm=!$i_"</f>
        <v>#REF!</v>
      </c>
      <c r="BC55" t="e">
        <f>#REF!+"$Cm=!$i`"</f>
        <v>#REF!</v>
      </c>
      <c r="BD55" t="e">
        <f>#REF!+"$Cm=!$ia"</f>
        <v>#REF!</v>
      </c>
      <c r="BE55" t="e">
        <f>#REF!+"$Cm=!$ib"</f>
        <v>#REF!</v>
      </c>
      <c r="BF55" t="e">
        <f>#REF!+"$Cm=!$ic"</f>
        <v>#REF!</v>
      </c>
      <c r="BG55" t="e">
        <f>#REF!+"$Cm=!$id"</f>
        <v>#REF!</v>
      </c>
      <c r="BH55" t="e">
        <f>#REF!+"$Cm=!$ie"</f>
        <v>#REF!</v>
      </c>
      <c r="BI55" t="e">
        <f>#REF!+"$Cm=!$if"</f>
        <v>#REF!</v>
      </c>
      <c r="BJ55" t="e">
        <f>#REF!+"$Cm=!$ig"</f>
        <v>#REF!</v>
      </c>
      <c r="BK55" t="e">
        <f>#REF!+"$Cm=!$ih"</f>
        <v>#REF!</v>
      </c>
      <c r="BL55" t="e">
        <f>#REF!+"$Cm=!$ii"</f>
        <v>#REF!</v>
      </c>
      <c r="BM55" t="e">
        <f>#REF!+"$Cm=!$ij"</f>
        <v>#REF!</v>
      </c>
      <c r="BN55" t="e">
        <f>#REF!+"$Cm=!$ik"</f>
        <v>#REF!</v>
      </c>
      <c r="BO55" t="e">
        <f>#REF!+"$Cm=!$il"</f>
        <v>#REF!</v>
      </c>
      <c r="BP55" t="e">
        <f>#REF!+"$Cm=!$im"</f>
        <v>#REF!</v>
      </c>
      <c r="BQ55" t="e">
        <f>#REF!+"$Cm=!$in"</f>
        <v>#REF!</v>
      </c>
      <c r="BR55" t="e">
        <f>#REF!+"$Cm=!$io"</f>
        <v>#REF!</v>
      </c>
      <c r="BS55" t="e">
        <f>#REF!+"$Cm=!$ip"</f>
        <v>#REF!</v>
      </c>
      <c r="BT55" t="e">
        <f>#REF!+"$Cm=!$iq"</f>
        <v>#REF!</v>
      </c>
      <c r="BU55" t="e">
        <f>#REF!+"$Cm=!$ir"</f>
        <v>#REF!</v>
      </c>
      <c r="BV55" t="e">
        <f>#REF!+"$Cm=!$is"</f>
        <v>#REF!</v>
      </c>
      <c r="BW55" t="e">
        <f>#REF!+"$Cm=!$it"</f>
        <v>#REF!</v>
      </c>
      <c r="BX55" t="e">
        <f>#REF!+"$Cm=!$iu"</f>
        <v>#REF!</v>
      </c>
      <c r="BY55" t="e">
        <f>#REF!+"$Cm=!$iv"</f>
        <v>#REF!</v>
      </c>
      <c r="BZ55" t="e">
        <f>#REF!+"$Cm=!$iw"</f>
        <v>#REF!</v>
      </c>
      <c r="CA55" t="e">
        <f>#REF!+"$Cm=!$ix"</f>
        <v>#REF!</v>
      </c>
      <c r="CB55" t="e">
        <f>#REF!+"$Cm=!$iy"</f>
        <v>#REF!</v>
      </c>
      <c r="CC55" t="e">
        <f>#REF!+"$Cm=!$iz"</f>
        <v>#REF!</v>
      </c>
      <c r="CD55" t="e">
        <f>#REF!+"$Cm=!$i{"</f>
        <v>#REF!</v>
      </c>
      <c r="CE55" t="e">
        <f>#REF!+"$Cm=!$i|"</f>
        <v>#REF!</v>
      </c>
      <c r="CF55" t="e">
        <f>#REF!+"$Cm=!$i}"</f>
        <v>#REF!</v>
      </c>
      <c r="CG55" t="e">
        <f>#REF!+"$Cm=!$i~"</f>
        <v>#REF!</v>
      </c>
      <c r="CH55" t="e">
        <f>#REF!+"$Cm=!$j#"</f>
        <v>#REF!</v>
      </c>
      <c r="CI55" t="e">
        <f>#REF!+"$Cm=!$j$"</f>
        <v>#REF!</v>
      </c>
      <c r="CJ55" t="e">
        <f>#REF!+"$Cm=!$j%"</f>
        <v>#REF!</v>
      </c>
      <c r="CK55" t="e">
        <f>#REF!+"$Cm=!$j&amp;"</f>
        <v>#REF!</v>
      </c>
      <c r="CL55" t="e">
        <f>#REF!+"$Cm=!$j'"</f>
        <v>#REF!</v>
      </c>
      <c r="CM55" t="e">
        <f>#REF!+"$Cm=!$j("</f>
        <v>#REF!</v>
      </c>
      <c r="CN55" t="e">
        <f>#REF!+"$Cm=!$j)"</f>
        <v>#REF!</v>
      </c>
      <c r="CO55" t="e">
        <f>#REF!+"$Cm=!$j."</f>
        <v>#REF!</v>
      </c>
      <c r="CP55" t="e">
        <f>#REF!+"$Cm=!$j/"</f>
        <v>#REF!</v>
      </c>
      <c r="CQ55" t="e">
        <f>#REF!+"$Cm=!$j0"</f>
        <v>#REF!</v>
      </c>
      <c r="CR55" t="e">
        <f>#REF!+"$Cm=!$j1"</f>
        <v>#REF!</v>
      </c>
      <c r="CS55" t="e">
        <f>#REF!+"$Cm=!$j2"</f>
        <v>#REF!</v>
      </c>
      <c r="CT55" t="e">
        <f>#REF!+"$Cm=!$j3"</f>
        <v>#REF!</v>
      </c>
      <c r="CU55" t="e">
        <f>#REF!+"$Cm=!$j4"</f>
        <v>#REF!</v>
      </c>
      <c r="CV55" t="e">
        <f>#REF!+"$Cm=!$j5"</f>
        <v>#REF!</v>
      </c>
      <c r="CW55" t="e">
        <f>#REF!+"$Cm=!$j6"</f>
        <v>#REF!</v>
      </c>
      <c r="CX55" t="e">
        <f>#REF!+"$Cm=!$j7"</f>
        <v>#REF!</v>
      </c>
      <c r="CY55" t="e">
        <f>#REF!+"$Cm=!$j8"</f>
        <v>#REF!</v>
      </c>
      <c r="CZ55" t="e">
        <f>#REF!+"$Cm=!$j9"</f>
        <v>#REF!</v>
      </c>
      <c r="DA55" t="e">
        <f>#REF!+"$Cm=!$j:"</f>
        <v>#REF!</v>
      </c>
      <c r="DB55" t="e">
        <f>#REF!+"$Cm=!$j;"</f>
        <v>#REF!</v>
      </c>
      <c r="DC55" t="e">
        <f>#REF!+"$Cm=!$j&lt;"</f>
        <v>#REF!</v>
      </c>
      <c r="DD55" t="e">
        <f>#REF!+"$Cm=!$j="</f>
        <v>#REF!</v>
      </c>
      <c r="DE55" t="e">
        <f>#REF!+"$Cm=!$j&gt;"</f>
        <v>#REF!</v>
      </c>
      <c r="DF55" t="e">
        <f>#REF!+"$Cm=!$j?"</f>
        <v>#REF!</v>
      </c>
      <c r="DG55" t="e">
        <f>#REF!+"$Cm=!$j@"</f>
        <v>#REF!</v>
      </c>
      <c r="DH55" t="e">
        <f>#REF!+"$Cm=!$jA"</f>
        <v>#REF!</v>
      </c>
      <c r="DI55" t="e">
        <f>#REF!+"$Cm=!$jB"</f>
        <v>#REF!</v>
      </c>
      <c r="DJ55" t="e">
        <f>#REF!+"$Cm=!$jC"</f>
        <v>#REF!</v>
      </c>
      <c r="DK55" t="e">
        <f>#REF!+"$Cm=!$jD"</f>
        <v>#REF!</v>
      </c>
      <c r="DL55" t="e">
        <f>#REF!+"$Cm=!$jE"</f>
        <v>#REF!</v>
      </c>
      <c r="DM55" t="e">
        <f>#REF!+"$Cm=!$jF"</f>
        <v>#REF!</v>
      </c>
      <c r="DN55" t="e">
        <f>#REF!+"$Cm=!$jG"</f>
        <v>#REF!</v>
      </c>
      <c r="DO55" t="e">
        <f>#REF!+"$Cm=!$jH"</f>
        <v>#REF!</v>
      </c>
      <c r="DP55" t="e">
        <f>#REF!+"$Cm=!$jI"</f>
        <v>#REF!</v>
      </c>
      <c r="DQ55" t="e">
        <f>#REF!+"$Cm=!$jJ"</f>
        <v>#REF!</v>
      </c>
      <c r="DR55" t="e">
        <f>#REF!+"$Cm=!$jK"</f>
        <v>#REF!</v>
      </c>
      <c r="DS55" t="e">
        <f>#REF!+"$Cm=!$jL"</f>
        <v>#REF!</v>
      </c>
      <c r="DT55" t="e">
        <f>#REF!+"$Cm=!$jM"</f>
        <v>#REF!</v>
      </c>
      <c r="DU55" t="e">
        <f>#REF!+"$Cm=!$jN"</f>
        <v>#REF!</v>
      </c>
      <c r="DV55" t="e">
        <f>#REF!+"$Cm=!$jO"</f>
        <v>#REF!</v>
      </c>
      <c r="DW55" t="e">
        <f>#REF!+"$Cm=!$jP"</f>
        <v>#REF!</v>
      </c>
      <c r="DX55" t="e">
        <f>#REF!+"$Cm=!$jQ"</f>
        <v>#REF!</v>
      </c>
      <c r="DY55" t="e">
        <f>#REF!+"$Cm=!$jR"</f>
        <v>#REF!</v>
      </c>
      <c r="DZ55" t="e">
        <f>#REF!+"$Cm=!$jS"</f>
        <v>#REF!</v>
      </c>
      <c r="EA55" t="e">
        <f>#REF!+"$Cm=!$jT"</f>
        <v>#REF!</v>
      </c>
      <c r="EB55" t="e">
        <f>#REF!+"$Cm=!$jU"</f>
        <v>#REF!</v>
      </c>
      <c r="EC55" t="e">
        <f>#REF!+"$Cm=!$jV"</f>
        <v>#REF!</v>
      </c>
      <c r="ED55" t="e">
        <f>#REF!+"$Cm=!$jW"</f>
        <v>#REF!</v>
      </c>
      <c r="EE55" t="e">
        <f>#REF!+"$Cm=!$jX"</f>
        <v>#REF!</v>
      </c>
      <c r="EF55" t="e">
        <f>#REF!+"$Cm=!$jY"</f>
        <v>#REF!</v>
      </c>
      <c r="EG55" t="e">
        <f>#REF!+"$Cm=!$jZ"</f>
        <v>#REF!</v>
      </c>
      <c r="EH55" t="e">
        <f>#REF!+"$Cm=!$j["</f>
        <v>#REF!</v>
      </c>
      <c r="EI55" t="e">
        <f>#REF!+"$Cm=!$j\"</f>
        <v>#REF!</v>
      </c>
      <c r="EJ55" t="e">
        <f>#REF!+"$Cm=!$j]"</f>
        <v>#REF!</v>
      </c>
      <c r="EK55" t="e">
        <f>#REF!+"$Cm=!$j^"</f>
        <v>#REF!</v>
      </c>
      <c r="EL55" t="e">
        <f>#REF!+"$Cm=!$j_"</f>
        <v>#REF!</v>
      </c>
      <c r="EM55" t="e">
        <f>#REF!+"$Cm=!$j`"</f>
        <v>#REF!</v>
      </c>
      <c r="EN55" t="e">
        <f>#REF!+"$Cm=!$ja"</f>
        <v>#REF!</v>
      </c>
      <c r="EO55" t="e">
        <f>#REF!+"$Cm=!$jb"</f>
        <v>#REF!</v>
      </c>
      <c r="EP55" t="e">
        <f>#REF!+"$Cm=!$jc"</f>
        <v>#REF!</v>
      </c>
      <c r="EQ55" t="e">
        <f>#REF!+"$Cm=!$jd"</f>
        <v>#REF!</v>
      </c>
      <c r="ER55" t="e">
        <f>#REF!+"$Cm=!$je"</f>
        <v>#REF!</v>
      </c>
      <c r="ES55" t="e">
        <f>#REF!+"$Cm=!$jf"</f>
        <v>#REF!</v>
      </c>
      <c r="ET55" t="e">
        <f>#REF!+"$Cm=!$jg"</f>
        <v>#REF!</v>
      </c>
      <c r="EU55" t="e">
        <f>#REF!+"$Cm=!$jh"</f>
        <v>#REF!</v>
      </c>
      <c r="EV55" t="e">
        <f>#REF!+"$Cm=!$ji"</f>
        <v>#REF!</v>
      </c>
      <c r="EW55" t="e">
        <f>#REF!+"$Cm=!$jj"</f>
        <v>#REF!</v>
      </c>
      <c r="EX55" t="e">
        <f>#REF!+"$Cm=!$jk"</f>
        <v>#REF!</v>
      </c>
      <c r="EY55" t="e">
        <f>#REF!+"$Cm=!$jl"</f>
        <v>#REF!</v>
      </c>
      <c r="EZ55" t="e">
        <f>#REF!+"$Cm=!$jm"</f>
        <v>#REF!</v>
      </c>
      <c r="FA55" t="e">
        <f>#REF!+"$Cm=!$jn"</f>
        <v>#REF!</v>
      </c>
      <c r="FB55" t="e">
        <f>#REF!+"$Cm=!$jo"</f>
        <v>#REF!</v>
      </c>
      <c r="FC55" t="e">
        <f>#REF!+"$Cm=!$jp"</f>
        <v>#REF!</v>
      </c>
      <c r="FD55" t="e">
        <f>#REF!+"$Cm=!$jq"</f>
        <v>#REF!</v>
      </c>
      <c r="FE55" t="e">
        <f>#REF!+"$Cm=!$jr"</f>
        <v>#REF!</v>
      </c>
      <c r="FF55" t="e">
        <f>#REF!+"$Cm=!$js"</f>
        <v>#REF!</v>
      </c>
      <c r="FG55" t="e">
        <f>#REF!+"$Cm=!$jt"</f>
        <v>#REF!</v>
      </c>
      <c r="FH55" t="e">
        <f>#REF!+"$Cm=!$ju"</f>
        <v>#REF!</v>
      </c>
      <c r="FI55" t="e">
        <f>#REF!+"$Cm=!$jv"</f>
        <v>#REF!</v>
      </c>
      <c r="FJ55" t="e">
        <f>#REF!+"$Cm=!$jw"</f>
        <v>#REF!</v>
      </c>
      <c r="FK55" t="e">
        <f>#REF!+"$Cm=!$jx"</f>
        <v>#REF!</v>
      </c>
      <c r="FL55" t="e">
        <f>#REF!+"$Cm=!$jy"</f>
        <v>#REF!</v>
      </c>
      <c r="FM55" t="e">
        <f>#REF!+"$Cm=!$jz"</f>
        <v>#REF!</v>
      </c>
      <c r="FN55" t="e">
        <f>#REF!+"$Cm=!$j{"</f>
        <v>#REF!</v>
      </c>
      <c r="FO55" t="e">
        <f>#REF!+"$Cm=!$j|"</f>
        <v>#REF!</v>
      </c>
      <c r="FP55" t="e">
        <f>#REF!+"$Cm=!$j}"</f>
        <v>#REF!</v>
      </c>
      <c r="FQ55" t="e">
        <f>#REF!+"$Cm=!$j~"</f>
        <v>#REF!</v>
      </c>
      <c r="FR55" t="e">
        <f>#REF!+"$Cm=!$k#"</f>
        <v>#REF!</v>
      </c>
      <c r="FS55" t="e">
        <f>#REF!+"$Cm=!$k$"</f>
        <v>#REF!</v>
      </c>
      <c r="FT55" t="e">
        <f>#REF!+"$Cm=!$k%"</f>
        <v>#REF!</v>
      </c>
      <c r="FU55" t="e">
        <f>#REF!+"$Cm=!$k&amp;"</f>
        <v>#REF!</v>
      </c>
      <c r="FV55" t="e">
        <f>#REF!+"$Cm=!$k'"</f>
        <v>#REF!</v>
      </c>
      <c r="FW55" t="e">
        <f>#REF!+"$Cm=!$k("</f>
        <v>#REF!</v>
      </c>
      <c r="FX55" t="e">
        <f>#REF!+"$Cm=!$k)"</f>
        <v>#REF!</v>
      </c>
      <c r="FY55" t="e">
        <f>#REF!+"$Cm=!$k."</f>
        <v>#REF!</v>
      </c>
      <c r="FZ55" t="e">
        <f>#REF!+"$Cm=!$k/"</f>
        <v>#REF!</v>
      </c>
      <c r="GA55" t="e">
        <f>#REF!+"$Cm=!$k0"</f>
        <v>#REF!</v>
      </c>
      <c r="GB55" t="e">
        <f>#REF!+"$Cm=!$k1"</f>
        <v>#REF!</v>
      </c>
      <c r="GC55" t="e">
        <f>#REF!+"$Cm=!$k2"</f>
        <v>#REF!</v>
      </c>
      <c r="GD55" t="e">
        <f>#REF!+"$Cm=!$k3"</f>
        <v>#REF!</v>
      </c>
      <c r="GE55" t="e">
        <f>#REF!+"$Cm=!$k4"</f>
        <v>#REF!</v>
      </c>
      <c r="GF55" t="e">
        <f>#REF!+"$Cm=!$k5"</f>
        <v>#REF!</v>
      </c>
      <c r="GG55" t="e">
        <f>#REF!+"$Cm=!$k6"</f>
        <v>#REF!</v>
      </c>
      <c r="GH55" t="e">
        <f>#REF!+"$Cm=!$k7"</f>
        <v>#REF!</v>
      </c>
      <c r="GI55" t="e">
        <f>#REF!+"$Cm=!$k8"</f>
        <v>#REF!</v>
      </c>
      <c r="GJ55" t="e">
        <f>#REF!+"$Cm=!$k9"</f>
        <v>#REF!</v>
      </c>
      <c r="GK55" t="e">
        <f>#REF!+"$Cm=!$k:"</f>
        <v>#REF!</v>
      </c>
      <c r="GL55" t="e">
        <f>#REF!+"$Cm=!$k;"</f>
        <v>#REF!</v>
      </c>
      <c r="GM55" t="e">
        <f>#REF!+"$Cm=!$k&lt;"</f>
        <v>#REF!</v>
      </c>
      <c r="GN55" t="e">
        <f>#REF!+"$Cm=!$k="</f>
        <v>#REF!</v>
      </c>
      <c r="GO55" t="e">
        <f>#REF!+"$Cm=!$k&gt;"</f>
        <v>#REF!</v>
      </c>
      <c r="GP55" t="e">
        <f>#REF!+"$Cm=!$k?"</f>
        <v>#REF!</v>
      </c>
      <c r="GQ55" t="e">
        <f>#REF!+"$Cm=!$k@"</f>
        <v>#REF!</v>
      </c>
      <c r="GR55" t="e">
        <f>#REF!+"$Cm=!$kA"</f>
        <v>#REF!</v>
      </c>
      <c r="GS55" t="e">
        <f>#REF!+"$Cm=!$kB"</f>
        <v>#REF!</v>
      </c>
      <c r="GT55" t="e">
        <f>#REF!+"$Cm=!$kC"</f>
        <v>#REF!</v>
      </c>
      <c r="GU55" t="e">
        <f>#REF!+"$Cm=!$kD"</f>
        <v>#REF!</v>
      </c>
      <c r="GV55" t="e">
        <f>#REF!+"$Cm=!$kE"</f>
        <v>#REF!</v>
      </c>
      <c r="GW55" t="e">
        <f>#REF!+"$Cm=!$kF"</f>
        <v>#REF!</v>
      </c>
      <c r="GX55" t="e">
        <f>#REF!+"$Cm=!$kG"</f>
        <v>#REF!</v>
      </c>
      <c r="GY55" t="e">
        <f>#REF!+"$Cm=!$kH"</f>
        <v>#REF!</v>
      </c>
      <c r="GZ55" t="e">
        <f>#REF!+"$Cm=!$kI"</f>
        <v>#REF!</v>
      </c>
      <c r="HA55" t="e">
        <f>#REF!+"$Cm=!$kJ"</f>
        <v>#REF!</v>
      </c>
      <c r="HB55" t="e">
        <f>#REF!+"$Cm=!$kK"</f>
        <v>#REF!</v>
      </c>
      <c r="HC55" t="e">
        <f>#REF!+"$Cm=!$kL"</f>
        <v>#REF!</v>
      </c>
      <c r="HD55" t="e">
        <f>#REF!+"$Cm=!$kM"</f>
        <v>#REF!</v>
      </c>
      <c r="HE55" t="e">
        <f>#REF!+"$Cm=!$kN"</f>
        <v>#REF!</v>
      </c>
      <c r="HF55" t="e">
        <f>#REF!+"$Cm=!$kO"</f>
        <v>#REF!</v>
      </c>
      <c r="HG55" t="e">
        <f>#REF!+"$Cm=!$kP"</f>
        <v>#REF!</v>
      </c>
      <c r="HH55" t="e">
        <f>#REF!+"$Cm=!$kQ"</f>
        <v>#REF!</v>
      </c>
      <c r="HI55" t="e">
        <f>#REF!+"$Cm=!$kR"</f>
        <v>#REF!</v>
      </c>
      <c r="HJ55" t="e">
        <f>#REF!+"$Cm=!$kS"</f>
        <v>#REF!</v>
      </c>
      <c r="HK55" t="e">
        <f>#REF!+"$Cm=!$kT"</f>
        <v>#REF!</v>
      </c>
      <c r="HL55" t="e">
        <f>#REF!+"$Cm=!$kU"</f>
        <v>#REF!</v>
      </c>
      <c r="HM55" t="e">
        <f>#REF!+"$Cm=!$kV"</f>
        <v>#REF!</v>
      </c>
      <c r="HN55" t="e">
        <f>#REF!+"$Cm=!$kW"</f>
        <v>#REF!</v>
      </c>
      <c r="HO55" t="e">
        <f>#REF!+"$Cm=!$kX"</f>
        <v>#REF!</v>
      </c>
      <c r="HP55" t="e">
        <f>#REF!+"$Cm=!$kY"</f>
        <v>#REF!</v>
      </c>
      <c r="HQ55" t="e">
        <f>#REF!+"$Cm=!$kZ"</f>
        <v>#REF!</v>
      </c>
      <c r="HR55" t="e">
        <f>#REF!+"$Cm=!$k["</f>
        <v>#REF!</v>
      </c>
      <c r="HS55" t="e">
        <f>#REF!+"$Cm=!$k\"</f>
        <v>#REF!</v>
      </c>
      <c r="HT55" t="e">
        <f>#REF!+"$Cm=!$k]"</f>
        <v>#REF!</v>
      </c>
      <c r="HU55" t="e">
        <f>#REF!+"$Cm=!$k^"</f>
        <v>#REF!</v>
      </c>
      <c r="HV55" t="e">
        <f>#REF!+"$Cm=!$k_"</f>
        <v>#REF!</v>
      </c>
      <c r="HW55" t="e">
        <f>#REF!+"$Cm=!$k`"</f>
        <v>#REF!</v>
      </c>
      <c r="HX55" t="e">
        <f>#REF!+"$Cm=!$ka"</f>
        <v>#REF!</v>
      </c>
      <c r="HY55" t="e">
        <f>#REF!+"$Cm=!$kb"</f>
        <v>#REF!</v>
      </c>
      <c r="HZ55" t="e">
        <f>#REF!+"$Cm=!$kc"</f>
        <v>#REF!</v>
      </c>
      <c r="IA55" t="e">
        <f>#REF!+"$Cm=!$kd"</f>
        <v>#REF!</v>
      </c>
      <c r="IB55" t="e">
        <f>#REF!+"$Cm=!$ke"</f>
        <v>#REF!</v>
      </c>
      <c r="IC55" t="e">
        <f>#REF!+"$Cm=!$kf"</f>
        <v>#REF!</v>
      </c>
      <c r="ID55" t="e">
        <f>#REF!+"$Cm=!$kg"</f>
        <v>#REF!</v>
      </c>
      <c r="IE55" t="e">
        <f>#REF!+"$Cm=!$kh"</f>
        <v>#REF!</v>
      </c>
      <c r="IF55" t="e">
        <f>#REF!+"$Cm=!$ki"</f>
        <v>#REF!</v>
      </c>
      <c r="IG55" t="e">
        <f>#REF!+"$Cm=!$kj"</f>
        <v>#REF!</v>
      </c>
      <c r="IH55" t="e">
        <f>#REF!+"$Cm=!$kk"</f>
        <v>#REF!</v>
      </c>
      <c r="II55" t="e">
        <f>#REF!+"$Cm=!$kl"</f>
        <v>#REF!</v>
      </c>
      <c r="IJ55" t="e">
        <f>#REF!+"$Cm=!$km"</f>
        <v>#REF!</v>
      </c>
      <c r="IK55" t="e">
        <f>#REF!+"$Cm=!$kn"</f>
        <v>#REF!</v>
      </c>
      <c r="IL55" t="e">
        <f>#REF!+"$Cm=!$ko"</f>
        <v>#REF!</v>
      </c>
      <c r="IM55" t="e">
        <f>#REF!+"$Cm=!$kp"</f>
        <v>#REF!</v>
      </c>
      <c r="IN55" t="e">
        <f>#REF!+"$Cm=!$kq"</f>
        <v>#REF!</v>
      </c>
      <c r="IO55" t="e">
        <f>#REF!+"$Cm=!$kr"</f>
        <v>#REF!</v>
      </c>
      <c r="IP55" t="e">
        <f>#REF!+"$Cm=!$ks"</f>
        <v>#REF!</v>
      </c>
      <c r="IQ55" t="e">
        <f>#REF!+"$Cm=!$kt"</f>
        <v>#REF!</v>
      </c>
      <c r="IR55" t="e">
        <f>#REF!+"$Cm=!$ku"</f>
        <v>#REF!</v>
      </c>
      <c r="IS55" t="e">
        <f>#REF!+"$Cm=!$kv"</f>
        <v>#REF!</v>
      </c>
      <c r="IT55" t="e">
        <f>#REF!+"$Cm=!$kw"</f>
        <v>#REF!</v>
      </c>
      <c r="IU55" t="e">
        <f>#REF!+"$Cm=!$kx"</f>
        <v>#REF!</v>
      </c>
      <c r="IV55" t="e">
        <f>#REF!+"$Cm=!$ky"</f>
        <v>#REF!</v>
      </c>
    </row>
    <row r="56" spans="6:256">
      <c r="F56" t="e">
        <f>#REF!+"$Cm=!$kz"</f>
        <v>#REF!</v>
      </c>
      <c r="G56" t="e">
        <f>#REF!+"$Cm=!$k{"</f>
        <v>#REF!</v>
      </c>
      <c r="H56" t="e">
        <f>#REF!+"$Cm=!$k|"</f>
        <v>#REF!</v>
      </c>
      <c r="I56" t="e">
        <f>#REF!+"$Cm=!$k}"</f>
        <v>#REF!</v>
      </c>
      <c r="J56" t="e">
        <f>#REF!+"$Cm=!$k~"</f>
        <v>#REF!</v>
      </c>
      <c r="K56" t="e">
        <f>#REF!+"$Cm=!$l#"</f>
        <v>#REF!</v>
      </c>
      <c r="L56" t="e">
        <f>#REF!+"$Cm=!$l$"</f>
        <v>#REF!</v>
      </c>
      <c r="M56" t="e">
        <f>#REF!+"$Cm=!$l%"</f>
        <v>#REF!</v>
      </c>
      <c r="N56" t="e">
        <f>#REF!+"$Cm=!$l&amp;"</f>
        <v>#REF!</v>
      </c>
      <c r="O56" t="e">
        <f>#REF!+"$Cm=!$l'"</f>
        <v>#REF!</v>
      </c>
      <c r="P56" t="e">
        <f>#REF!+"$Cm=!$l("</f>
        <v>#REF!</v>
      </c>
      <c r="Q56" t="e">
        <f>#REF!+"$Cm=!$l)"</f>
        <v>#REF!</v>
      </c>
      <c r="R56" t="e">
        <f>#REF!+"$Cm=!$l."</f>
        <v>#REF!</v>
      </c>
      <c r="S56" t="e">
        <f>#REF!+"$Cm=!$l/"</f>
        <v>#REF!</v>
      </c>
      <c r="T56" t="e">
        <f>#REF!+"$Cm=!$l0"</f>
        <v>#REF!</v>
      </c>
      <c r="U56" t="e">
        <f>#REF!+"$Cm=!$l1"</f>
        <v>#REF!</v>
      </c>
      <c r="V56" t="e">
        <f>#REF!+"$Cm=!$l2"</f>
        <v>#REF!</v>
      </c>
      <c r="W56" t="e">
        <f>#REF!+"$Cm=!$l3"</f>
        <v>#REF!</v>
      </c>
      <c r="X56" t="e">
        <f>#REF!+"$Cm=!$l4"</f>
        <v>#REF!</v>
      </c>
      <c r="Y56" t="e">
        <f>#REF!+"$Cm=!$l5"</f>
        <v>#REF!</v>
      </c>
      <c r="Z56" t="e">
        <f>#REF!+"$Cm=!$l6"</f>
        <v>#REF!</v>
      </c>
      <c r="AA56" t="e">
        <f>#REF!+"$Cm=!$l7"</f>
        <v>#REF!</v>
      </c>
      <c r="AB56" t="e">
        <f>#REF!+"$Cm=!$l8"</f>
        <v>#REF!</v>
      </c>
      <c r="AC56" t="e">
        <f>#REF!+"$Cm=!$l9"</f>
        <v>#REF!</v>
      </c>
      <c r="AD56" t="e">
        <f>#REF!+"$Cm=!$l:"</f>
        <v>#REF!</v>
      </c>
      <c r="AE56" t="e">
        <f>#REF!+"$Cm=!$l;"</f>
        <v>#REF!</v>
      </c>
      <c r="AF56" t="e">
        <f>#REF!+"$Cm=!$l&lt;"</f>
        <v>#REF!</v>
      </c>
      <c r="AG56" t="e">
        <f>#REF!+"$Cm=!$l="</f>
        <v>#REF!</v>
      </c>
      <c r="AH56" t="e">
        <f>#REF!+"$Cm=!$l&gt;"</f>
        <v>#REF!</v>
      </c>
      <c r="AI56" t="e">
        <f>#REF!+"$Cm=!$l?"</f>
        <v>#REF!</v>
      </c>
      <c r="AJ56" t="e">
        <f>#REF!+"$Cm=!$l@"</f>
        <v>#REF!</v>
      </c>
      <c r="AK56" t="e">
        <f>#REF!+"$Cm=!$lA"</f>
        <v>#REF!</v>
      </c>
      <c r="AL56" t="e">
        <f>#REF!+"$Cm=!$lB"</f>
        <v>#REF!</v>
      </c>
      <c r="AM56" t="e">
        <f>#REF!+"$Cm=!$lC"</f>
        <v>#REF!</v>
      </c>
      <c r="AN56" t="e">
        <f>#REF!+"$Cm=!$lD"</f>
        <v>#REF!</v>
      </c>
      <c r="AO56" t="e">
        <f>#REF!+"$Cm=!$lE"</f>
        <v>#REF!</v>
      </c>
      <c r="AP56" t="e">
        <f>#REF!+"$Cm=!$lF"</f>
        <v>#REF!</v>
      </c>
      <c r="AQ56" t="e">
        <f>#REF!+"$Cm=!$lG"</f>
        <v>#REF!</v>
      </c>
      <c r="AR56" t="e">
        <f>#REF!+"$Cm=!$lH"</f>
        <v>#REF!</v>
      </c>
      <c r="AS56" t="e">
        <f>#REF!+"$Cm=!$lI"</f>
        <v>#REF!</v>
      </c>
      <c r="AT56" t="e">
        <f>#REF!+"$Cm=!$lJ"</f>
        <v>#REF!</v>
      </c>
      <c r="AU56" t="e">
        <f>#REF!+"$Cm=!$lK"</f>
        <v>#REF!</v>
      </c>
      <c r="AV56" t="e">
        <f>#REF!+"$Cm=!$lL"</f>
        <v>#REF!</v>
      </c>
      <c r="AW56" t="e">
        <f>#REF!+"$Cm=!$lM"</f>
        <v>#REF!</v>
      </c>
      <c r="AX56" t="e">
        <f>#REF!+"$Cm=!$lN"</f>
        <v>#REF!</v>
      </c>
      <c r="AY56" t="e">
        <f>#REF!+"$Cm=!$lO"</f>
        <v>#REF!</v>
      </c>
      <c r="AZ56" t="e">
        <f>#REF!+"$Cm=!$lP"</f>
        <v>#REF!</v>
      </c>
      <c r="BA56" t="e">
        <f>#REF!+"$Cm=!$lQ"</f>
        <v>#REF!</v>
      </c>
      <c r="BB56" t="e">
        <f>#REF!+"$Cm=!$lR"</f>
        <v>#REF!</v>
      </c>
      <c r="BC56" t="e">
        <f>#REF!+"$Cm=!$lS"</f>
        <v>#REF!</v>
      </c>
      <c r="BD56" t="e">
        <f>#REF!+"$Cm=!$lT"</f>
        <v>#REF!</v>
      </c>
      <c r="BE56" t="e">
        <f>#REF!+"$Cm=!$lU"</f>
        <v>#REF!</v>
      </c>
      <c r="BF56" t="e">
        <f>#REF!+"$Cm=!$lV"</f>
        <v>#REF!</v>
      </c>
      <c r="BG56" t="e">
        <f>#REF!+"$Cm=!$lW"</f>
        <v>#REF!</v>
      </c>
      <c r="BH56" t="e">
        <f>#REF!+"$Cm=!$lX"</f>
        <v>#REF!</v>
      </c>
      <c r="BI56" t="e">
        <f>#REF!+"$Cm=!$lY"</f>
        <v>#REF!</v>
      </c>
      <c r="BJ56" t="e">
        <f>#REF!+"$Cm=!$lZ"</f>
        <v>#REF!</v>
      </c>
      <c r="BK56" t="e">
        <f>#REF!+"$Cm=!$l["</f>
        <v>#REF!</v>
      </c>
      <c r="BL56" t="e">
        <f>#REF!+"$Cm=!$l\"</f>
        <v>#REF!</v>
      </c>
      <c r="BM56" t="e">
        <f>#REF!+"$Cm=!$l]"</f>
        <v>#REF!</v>
      </c>
      <c r="BN56" t="e">
        <f>#REF!+"$Cm=!$l^"</f>
        <v>#REF!</v>
      </c>
      <c r="BO56" t="e">
        <f>#REF!+"$Cm=!$l_"</f>
        <v>#REF!</v>
      </c>
      <c r="BP56" t="e">
        <f>#REF!+"$Cm=!$l`"</f>
        <v>#REF!</v>
      </c>
      <c r="BQ56" t="e">
        <f>#REF!+"$Cm=!$la"</f>
        <v>#REF!</v>
      </c>
      <c r="BR56" t="e">
        <f>#REF!+"$Cm=!$lb"</f>
        <v>#REF!</v>
      </c>
      <c r="BS56" t="e">
        <f>#REF!+"$Cm=!$lc"</f>
        <v>#REF!</v>
      </c>
      <c r="BT56" t="e">
        <f>#REF!+"$Cm=!$ld"</f>
        <v>#REF!</v>
      </c>
      <c r="BU56" t="e">
        <f>#REF!+"$Cm=!$le"</f>
        <v>#REF!</v>
      </c>
      <c r="BV56" t="e">
        <f>#REF!+"$Cm=!$lf"</f>
        <v>#REF!</v>
      </c>
      <c r="BW56" t="e">
        <f>#REF!+"$Cm=!$lg"</f>
        <v>#REF!</v>
      </c>
      <c r="BX56" t="e">
        <f>#REF!+"$Cm=!$lh"</f>
        <v>#REF!</v>
      </c>
      <c r="BY56" t="e">
        <f>#REF!+"$Cm=!$li"</f>
        <v>#REF!</v>
      </c>
      <c r="BZ56" t="e">
        <f>#REF!+"$Cm=!$lj"</f>
        <v>#REF!</v>
      </c>
      <c r="CA56" t="e">
        <f>#REF!+"$Cm=!$lk"</f>
        <v>#REF!</v>
      </c>
      <c r="CB56" t="e">
        <f>#REF!+"$Cm=!$ll"</f>
        <v>#REF!</v>
      </c>
      <c r="CC56" t="e">
        <f>#REF!+"$Cm=!$lm"</f>
        <v>#REF!</v>
      </c>
      <c r="CD56" t="e">
        <f>#REF!+"$Cm=!$ln"</f>
        <v>#REF!</v>
      </c>
      <c r="CE56" t="e">
        <f>#REF!+"$Cm=!$lo"</f>
        <v>#REF!</v>
      </c>
      <c r="CF56" t="e">
        <f>#REF!+"$Cm=!$lp"</f>
        <v>#REF!</v>
      </c>
      <c r="CG56" t="e">
        <f>#REF!+"$Cm=!$lq"</f>
        <v>#REF!</v>
      </c>
      <c r="CH56" t="e">
        <f>#REF!+"$Cm=!$lr"</f>
        <v>#REF!</v>
      </c>
      <c r="CI56" t="e">
        <f>#REF!+"$Cm=!$ls"</f>
        <v>#REF!</v>
      </c>
      <c r="CJ56" t="e">
        <f>#REF!+"$Cm=!$lt"</f>
        <v>#REF!</v>
      </c>
      <c r="CK56" t="e">
        <f>#REF!+"$Cm=!$lu"</f>
        <v>#REF!</v>
      </c>
      <c r="CL56" t="e">
        <f>#REF!+"$Cm=!$lv"</f>
        <v>#REF!</v>
      </c>
      <c r="CM56" t="e">
        <f>#REF!+"$Cm=!$lw"</f>
        <v>#REF!</v>
      </c>
      <c r="CN56" t="e">
        <f>#REF!+"$Cm=!$lx"</f>
        <v>#REF!</v>
      </c>
      <c r="CO56" t="e">
        <f>#REF!+"$Cm=!$ly"</f>
        <v>#REF!</v>
      </c>
      <c r="CP56" t="e">
        <f>#REF!+"$Cm=!$lz"</f>
        <v>#REF!</v>
      </c>
      <c r="CQ56" t="e">
        <f>#REF!+"$Cm=!$l{"</f>
        <v>#REF!</v>
      </c>
      <c r="CR56" t="e">
        <f>#REF!+"$Cm=!$l|"</f>
        <v>#REF!</v>
      </c>
      <c r="CS56" t="e">
        <f>#REF!+"$Cm=!$l}"</f>
        <v>#REF!</v>
      </c>
      <c r="CT56" t="e">
        <f>#REF!+"$Cm=!$l~"</f>
        <v>#REF!</v>
      </c>
      <c r="CU56" t="e">
        <f>#REF!+"$Cm=!$m#"</f>
        <v>#REF!</v>
      </c>
      <c r="CV56" t="e">
        <f>#REF!+"$Cm=!$m$"</f>
        <v>#REF!</v>
      </c>
      <c r="CW56" t="e">
        <f>#REF!+"$Cm=!$m%"</f>
        <v>#REF!</v>
      </c>
      <c r="CX56" t="e">
        <f>#REF!+"$Cm=!$m&amp;"</f>
        <v>#REF!</v>
      </c>
      <c r="CY56" t="e">
        <f>#REF!+"$Cm=!$m'"</f>
        <v>#REF!</v>
      </c>
      <c r="CZ56" t="e">
        <f>#REF!+"$Cm=!$m("</f>
        <v>#REF!</v>
      </c>
      <c r="DA56" t="e">
        <f>#REF!+"$Cm=!$m)"</f>
        <v>#REF!</v>
      </c>
      <c r="DB56" t="e">
        <f>#REF!+"$Cm=!$m."</f>
        <v>#REF!</v>
      </c>
      <c r="DC56" t="e">
        <f>#REF!+"$Cm=!$m/"</f>
        <v>#REF!</v>
      </c>
      <c r="DD56" t="e">
        <f>#REF!+"$Cm=!$m0"</f>
        <v>#REF!</v>
      </c>
      <c r="DE56" t="e">
        <f>#REF!+"$Cm=!$m1"</f>
        <v>#REF!</v>
      </c>
      <c r="DF56" t="e">
        <f>#REF!+"$Cm=!$m2"</f>
        <v>#REF!</v>
      </c>
      <c r="DG56" t="e">
        <f>#REF!+"$Cm=!$m3"</f>
        <v>#REF!</v>
      </c>
      <c r="DH56" t="e">
        <f>#REF!+"$Cm=!$m4"</f>
        <v>#REF!</v>
      </c>
      <c r="DI56" t="e">
        <f>#REF!+"$Cm=!$m5"</f>
        <v>#REF!</v>
      </c>
      <c r="DJ56" t="e">
        <f>#REF!+"$Cm=!$m6"</f>
        <v>#REF!</v>
      </c>
      <c r="DK56" t="e">
        <f>#REF!+"$Cm=!$m7"</f>
        <v>#REF!</v>
      </c>
      <c r="DL56" t="e">
        <f>#REF!+"$Cm=!$m8"</f>
        <v>#REF!</v>
      </c>
      <c r="DM56" t="e">
        <f>#REF!+"$Cm=!$m9"</f>
        <v>#REF!</v>
      </c>
      <c r="DN56" t="e">
        <f>#REF!+"$Cm=!$m:"</f>
        <v>#REF!</v>
      </c>
      <c r="DO56" t="e">
        <f>#REF!+"$Cm=!$m;"</f>
        <v>#REF!</v>
      </c>
      <c r="DP56" t="e">
        <f>#REF!+"$Cm=!$m&lt;"</f>
        <v>#REF!</v>
      </c>
      <c r="DQ56" t="e">
        <f>#REF!+"$Cm=!$m="</f>
        <v>#REF!</v>
      </c>
      <c r="DR56" t="e">
        <f>#REF!+"$Cm=!$m&gt;"</f>
        <v>#REF!</v>
      </c>
      <c r="DS56" t="e">
        <f>#REF!+"$Cm=!$m?"</f>
        <v>#REF!</v>
      </c>
      <c r="DT56" t="e">
        <f>#REF!+"$Cm=!$m@"</f>
        <v>#REF!</v>
      </c>
      <c r="DU56" t="e">
        <f>#REF!+"$Cm=!$mA"</f>
        <v>#REF!</v>
      </c>
      <c r="DV56" t="e">
        <f>#REF!+"$Cm=!$mB"</f>
        <v>#REF!</v>
      </c>
      <c r="DW56" t="e">
        <f>#REF!+"$Cm=!$mC"</f>
        <v>#REF!</v>
      </c>
      <c r="DX56" t="e">
        <f>#REF!+"$Cm=!$mD"</f>
        <v>#REF!</v>
      </c>
      <c r="DY56" t="e">
        <f>#REF!+"$Cm=!$mE"</f>
        <v>#REF!</v>
      </c>
      <c r="DZ56" t="e">
        <f>#REF!+"$Cm=!$mF"</f>
        <v>#REF!</v>
      </c>
      <c r="EA56" t="e">
        <f>#REF!+"$Cm=!$mG"</f>
        <v>#REF!</v>
      </c>
      <c r="EB56" t="e">
        <f>#REF!+"$Cm=!$mH"</f>
        <v>#REF!</v>
      </c>
      <c r="EC56" t="e">
        <f>#REF!+"$Cm=!$mI"</f>
        <v>#REF!</v>
      </c>
      <c r="ED56" t="e">
        <f>#REF!+"$Cm=!$mJ"</f>
        <v>#REF!</v>
      </c>
      <c r="EE56" t="e">
        <f>#REF!+"$Cm=!$mK"</f>
        <v>#REF!</v>
      </c>
      <c r="EF56" t="e">
        <f>#REF!+"$Cm=!$mL"</f>
        <v>#REF!</v>
      </c>
      <c r="EG56" t="e">
        <f>#REF!+"$Cm=!$mM"</f>
        <v>#REF!</v>
      </c>
      <c r="EH56" t="e">
        <f>#REF!+"$Cm=!$mN"</f>
        <v>#REF!</v>
      </c>
      <c r="EI56" t="e">
        <f>#REF!+"$Cm=!$mO"</f>
        <v>#REF!</v>
      </c>
      <c r="EJ56" t="e">
        <f>#REF!+"$Cm=!$mP"</f>
        <v>#REF!</v>
      </c>
      <c r="EK56" t="e">
        <f>#REF!+"$Cm=!$mQ"</f>
        <v>#REF!</v>
      </c>
      <c r="EL56" t="e">
        <f>#REF!+"$Cm=!$mR"</f>
        <v>#REF!</v>
      </c>
      <c r="EM56" t="e">
        <f>#REF!+"$Cm=!$mS"</f>
        <v>#REF!</v>
      </c>
      <c r="EN56" t="e">
        <f>#REF!+"$Cm=!$mT"</f>
        <v>#REF!</v>
      </c>
      <c r="EO56" t="e">
        <f>#REF!+"$Cm=!$mU"</f>
        <v>#REF!</v>
      </c>
      <c r="EP56" t="e">
        <f>#REF!+"$Cm=!$mV"</f>
        <v>#REF!</v>
      </c>
      <c r="EQ56" t="e">
        <f>#REF!+"$Cm=!$mW"</f>
        <v>#REF!</v>
      </c>
      <c r="ER56" t="e">
        <f>#REF!+"$Cm=!$mX"</f>
        <v>#REF!</v>
      </c>
      <c r="ES56" t="e">
        <f>#REF!+"$Cm=!$mY"</f>
        <v>#REF!</v>
      </c>
      <c r="ET56" t="e">
        <f>#REF!+"$Cm=!$mZ"</f>
        <v>#REF!</v>
      </c>
      <c r="EU56" t="e">
        <f>#REF!+"$Cm=!$m["</f>
        <v>#REF!</v>
      </c>
      <c r="EV56" t="e">
        <f>#REF!+"$Cm=!$m\"</f>
        <v>#REF!</v>
      </c>
      <c r="EW56" t="e">
        <f>#REF!+"$Cm=!$m]"</f>
        <v>#REF!</v>
      </c>
      <c r="EX56" t="e">
        <f>#REF!+"$Cm=!$m^"</f>
        <v>#REF!</v>
      </c>
      <c r="EY56" t="e">
        <f>#REF!+"$Cm=!$m_"</f>
        <v>#REF!</v>
      </c>
      <c r="EZ56" t="e">
        <f>#REF!+"$Cm=!$m`"</f>
        <v>#REF!</v>
      </c>
      <c r="FA56" t="e">
        <f>#REF!+"$Cm=!$ma"</f>
        <v>#REF!</v>
      </c>
      <c r="FB56" t="e">
        <f>#REF!+"$Cm=!$mb"</f>
        <v>#REF!</v>
      </c>
      <c r="FC56" t="e">
        <f>#REF!+"$Cm=!$mc"</f>
        <v>#REF!</v>
      </c>
      <c r="FD56" t="e">
        <f>#REF!+"$Cm=!$md"</f>
        <v>#REF!</v>
      </c>
      <c r="FE56" t="e">
        <f>#REF!+"$Cm=!$me"</f>
        <v>#REF!</v>
      </c>
      <c r="FF56" t="e">
        <f>#REF!+"$Cm=!$mf"</f>
        <v>#REF!</v>
      </c>
      <c r="FG56" t="e">
        <f>#REF!+"$Cm=!$mg"</f>
        <v>#REF!</v>
      </c>
      <c r="FH56" t="e">
        <f>#REF!+"$Cm=!$mh"</f>
        <v>#REF!</v>
      </c>
      <c r="FI56" t="e">
        <f>#REF!+"$Cm=!$mi"</f>
        <v>#REF!</v>
      </c>
      <c r="FJ56" t="e">
        <f>#REF!+"$Cm=!$mj"</f>
        <v>#REF!</v>
      </c>
      <c r="FK56" t="e">
        <f>#REF!+"$Cm=!$mk"</f>
        <v>#REF!</v>
      </c>
      <c r="FL56" t="e">
        <f>#REF!+"$Cm=!$ml"</f>
        <v>#REF!</v>
      </c>
      <c r="FM56" t="e">
        <f>#REF!+"$Cm=!$mm"</f>
        <v>#REF!</v>
      </c>
      <c r="FN56" t="e">
        <f>#REF!+"$Cm=!$mn"</f>
        <v>#REF!</v>
      </c>
      <c r="FO56" t="e">
        <f>#REF!+"$Cm=!$mo"</f>
        <v>#REF!</v>
      </c>
      <c r="FP56" t="e">
        <f>#REF!+"$Cm=!$mp"</f>
        <v>#REF!</v>
      </c>
      <c r="FQ56" t="e">
        <f>#REF!+"$Cm=!$mq"</f>
        <v>#REF!</v>
      </c>
      <c r="FR56" t="e">
        <f>#REF!+"$Cm=!$mr"</f>
        <v>#REF!</v>
      </c>
      <c r="FS56" t="e">
        <f>#REF!+"$Cm=!$ms"</f>
        <v>#REF!</v>
      </c>
      <c r="FT56" t="e">
        <f>#REF!+"$Cm=!$mt"</f>
        <v>#REF!</v>
      </c>
      <c r="FU56" t="e">
        <f>#REF!+"$Cm=!$mu"</f>
        <v>#REF!</v>
      </c>
      <c r="FV56" t="e">
        <f>#REF!+"$Cm=!$mv"</f>
        <v>#REF!</v>
      </c>
      <c r="FW56" t="e">
        <f>#REF!+"$Cm=!$mw"</f>
        <v>#REF!</v>
      </c>
      <c r="FX56" t="e">
        <f>#REF!+"$Cm=!$mx"</f>
        <v>#REF!</v>
      </c>
      <c r="FY56" t="e">
        <f>#REF!+"$Cm=!$my"</f>
        <v>#REF!</v>
      </c>
      <c r="FZ56" t="e">
        <f>#REF!+"$Cm=!$mz"</f>
        <v>#REF!</v>
      </c>
      <c r="GA56" t="e">
        <f>#REF!+"$Cm=!$m{"</f>
        <v>#REF!</v>
      </c>
      <c r="GB56" t="e">
        <f>#REF!+"$Cm=!$m|"</f>
        <v>#REF!</v>
      </c>
      <c r="GC56" t="e">
        <f>#REF!+"$Cm=!$m}"</f>
        <v>#REF!</v>
      </c>
      <c r="GD56" t="e">
        <f>#REF!+"$Cm=!$m~"</f>
        <v>#REF!</v>
      </c>
      <c r="GE56" t="e">
        <f>#REF!+"$Cm=!$n#"</f>
        <v>#REF!</v>
      </c>
      <c r="GF56" t="e">
        <f>#REF!+"$Cm=!$n$"</f>
        <v>#REF!</v>
      </c>
      <c r="GG56" t="e">
        <f>#REF!+"$Cm=!$n%"</f>
        <v>#REF!</v>
      </c>
      <c r="GH56" t="e">
        <f>#REF!+"$Cm=!$n&amp;"</f>
        <v>#REF!</v>
      </c>
      <c r="GI56" t="e">
        <f>#REF!+"$Cm=!$n'"</f>
        <v>#REF!</v>
      </c>
      <c r="GJ56" t="e">
        <f>#REF!+"$Cm=!$n("</f>
        <v>#REF!</v>
      </c>
      <c r="GK56" t="e">
        <f>#REF!+"$Cm=!$n)"</f>
        <v>#REF!</v>
      </c>
      <c r="GL56" t="e">
        <f>#REF!+"$Cm=!$n."</f>
        <v>#REF!</v>
      </c>
      <c r="GM56" t="e">
        <f>#REF!+"$Cm=!$n/"</f>
        <v>#REF!</v>
      </c>
      <c r="GN56" t="e">
        <f>#REF!+"$Cm=!$n0"</f>
        <v>#REF!</v>
      </c>
      <c r="GO56" t="e">
        <f>#REF!+"$Cm=!$n1"</f>
        <v>#REF!</v>
      </c>
      <c r="GP56" t="e">
        <f>#REF!+"$Cm=!$n2"</f>
        <v>#REF!</v>
      </c>
      <c r="GQ56" t="e">
        <f>#REF!+"$Cm=!$n3"</f>
        <v>#REF!</v>
      </c>
      <c r="GR56" t="e">
        <f>#REF!+"$Cm=!$n4"</f>
        <v>#REF!</v>
      </c>
      <c r="GS56" t="e">
        <f>#REF!+"$Cm=!$n5"</f>
        <v>#REF!</v>
      </c>
      <c r="GT56" t="e">
        <f>#REF!+"$Cm=!$n6"</f>
        <v>#REF!</v>
      </c>
      <c r="GU56" t="e">
        <f>#REF!+"$Cm=!$n7"</f>
        <v>#REF!</v>
      </c>
      <c r="GV56" t="e">
        <f>#REF!+"$Cm=!$n8"</f>
        <v>#REF!</v>
      </c>
      <c r="GW56" t="e">
        <f>#REF!+"$Cm=!$n9"</f>
        <v>#REF!</v>
      </c>
      <c r="GX56" t="e">
        <f>#REF!+"$Cm=!$n:"</f>
        <v>#REF!</v>
      </c>
      <c r="GY56" t="e">
        <f>#REF!+"$Cm=!$n;"</f>
        <v>#REF!</v>
      </c>
      <c r="GZ56" t="e">
        <f>#REF!+"$Cm=!$n&lt;"</f>
        <v>#REF!</v>
      </c>
      <c r="HA56" t="e">
        <f>#REF!+"$Cm=!$n="</f>
        <v>#REF!</v>
      </c>
      <c r="HB56" t="e">
        <f>#REF!+"$Cm=!$n&gt;"</f>
        <v>#REF!</v>
      </c>
      <c r="HC56" t="e">
        <f>#REF!+"$Cm=!$n?"</f>
        <v>#REF!</v>
      </c>
      <c r="HD56" t="e">
        <f>#REF!+"$Cm=!$n@"</f>
        <v>#REF!</v>
      </c>
      <c r="HE56" t="e">
        <f>#REF!+"$Cm=!$nA"</f>
        <v>#REF!</v>
      </c>
      <c r="HF56" t="e">
        <f>#REF!+"$Cm=!$nB"</f>
        <v>#REF!</v>
      </c>
      <c r="HG56" t="e">
        <f>#REF!+"$Cm=!$nC"</f>
        <v>#REF!</v>
      </c>
      <c r="HH56" t="e">
        <f>#REF!+"$Cm=!$nD"</f>
        <v>#REF!</v>
      </c>
      <c r="HI56" t="e">
        <f>#REF!+"$Cm=!$nE"</f>
        <v>#REF!</v>
      </c>
      <c r="HJ56" t="e">
        <f>#REF!+"$Cm=!$nF"</f>
        <v>#REF!</v>
      </c>
      <c r="HK56" t="e">
        <f>#REF!+"$Cm=!$nG"</f>
        <v>#REF!</v>
      </c>
      <c r="HL56" t="e">
        <f>#REF!+"$Cm=!$nH"</f>
        <v>#REF!</v>
      </c>
      <c r="HM56" t="e">
        <f>#REF!+"$Cm=!$nI"</f>
        <v>#REF!</v>
      </c>
      <c r="HN56" t="e">
        <f>#REF!+"$Cm=!$nJ"</f>
        <v>#REF!</v>
      </c>
      <c r="HO56" t="e">
        <f>#REF!+"$Cm=!$nK"</f>
        <v>#REF!</v>
      </c>
      <c r="HP56" t="e">
        <f>#REF!+"$Cm=!$nL"</f>
        <v>#REF!</v>
      </c>
      <c r="HQ56" t="e">
        <f>#REF!+"$Cm=!$nM"</f>
        <v>#REF!</v>
      </c>
      <c r="HR56" t="e">
        <f>#REF!+"$Cm=!$nN"</f>
        <v>#REF!</v>
      </c>
      <c r="HS56" t="e">
        <f>#REF!+"$Cm=!$nO"</f>
        <v>#REF!</v>
      </c>
      <c r="HT56" t="e">
        <f>#REF!+"$Cm=!$nP"</f>
        <v>#REF!</v>
      </c>
      <c r="HU56" t="e">
        <f>#REF!+"$Cm=!$nQ"</f>
        <v>#REF!</v>
      </c>
      <c r="HV56" t="e">
        <f>#REF!+"$Cm=!$nR"</f>
        <v>#REF!</v>
      </c>
      <c r="HW56" t="e">
        <f>#REF!+"$Cm=!$nS"</f>
        <v>#REF!</v>
      </c>
      <c r="HX56" t="e">
        <f>#REF!+"$Cm=!$nT"</f>
        <v>#REF!</v>
      </c>
      <c r="HY56" t="e">
        <f>#REF!+"$Cm=!$nU"</f>
        <v>#REF!</v>
      </c>
      <c r="HZ56" t="e">
        <f>#REF!+"$Cm=!$nV"</f>
        <v>#REF!</v>
      </c>
      <c r="IA56" t="e">
        <f>#REF!+"$Cm=!$nW"</f>
        <v>#REF!</v>
      </c>
      <c r="IB56" t="e">
        <f>#REF!+"$Cm=!$nX"</f>
        <v>#REF!</v>
      </c>
      <c r="IC56" t="e">
        <f>#REF!+"$Cm=!$nY"</f>
        <v>#REF!</v>
      </c>
      <c r="ID56" t="e">
        <f>#REF!+"$Cm=!$nZ"</f>
        <v>#REF!</v>
      </c>
      <c r="IE56" t="e">
        <f>#REF!+"$Cm=!$n["</f>
        <v>#REF!</v>
      </c>
      <c r="IF56" t="e">
        <f>#REF!+"$Cm=!$n\"</f>
        <v>#REF!</v>
      </c>
      <c r="IG56" t="e">
        <f>#REF!+"$Cm=!$n]"</f>
        <v>#REF!</v>
      </c>
      <c r="IH56" t="e">
        <f>#REF!+"$Cm=!$n^"</f>
        <v>#REF!</v>
      </c>
      <c r="II56" t="e">
        <f>#REF!+"$Cm=!$n_"</f>
        <v>#REF!</v>
      </c>
      <c r="IJ56" t="e">
        <f>#REF!+"$Cm=!$n`"</f>
        <v>#REF!</v>
      </c>
      <c r="IK56" t="e">
        <f>#REF!+"$Cm=!$na"</f>
        <v>#REF!</v>
      </c>
      <c r="IL56" t="e">
        <f>#REF!+"$Cm=!$nb"</f>
        <v>#REF!</v>
      </c>
      <c r="IM56" t="e">
        <f>#REF!+"$Cm=!$nc"</f>
        <v>#REF!</v>
      </c>
      <c r="IN56" t="e">
        <f>#REF!+"$Cm=!$nd"</f>
        <v>#REF!</v>
      </c>
      <c r="IO56" t="e">
        <f>#REF!+"$Cm=!$ne"</f>
        <v>#REF!</v>
      </c>
      <c r="IP56" t="e">
        <f>#REF!+"$Cm=!$nf"</f>
        <v>#REF!</v>
      </c>
      <c r="IQ56" t="e">
        <f>#REF!+"$Cm=!$ng"</f>
        <v>#REF!</v>
      </c>
      <c r="IR56" t="e">
        <f>#REF!+"$Cm=!$nh"</f>
        <v>#REF!</v>
      </c>
      <c r="IS56" t="e">
        <f>#REF!+"$Cm=!$ni"</f>
        <v>#REF!</v>
      </c>
      <c r="IT56" t="e">
        <f>#REF!+"$Cm=!$nj"</f>
        <v>#REF!</v>
      </c>
      <c r="IU56" t="e">
        <f>#REF!+"$Cm=!$nk"</f>
        <v>#REF!</v>
      </c>
      <c r="IV56" t="e">
        <f>#REF!+"$Cm=!$nl"</f>
        <v>#REF!</v>
      </c>
    </row>
    <row r="57" spans="6:256">
      <c r="F57" t="e">
        <f>#REF!+"$Cm=!$nm"</f>
        <v>#REF!</v>
      </c>
      <c r="G57" t="e">
        <f>#REF!+"$Cm=!$nn"</f>
        <v>#REF!</v>
      </c>
      <c r="H57" t="e">
        <f>#REF!+"$Cm=!$no"</f>
        <v>#REF!</v>
      </c>
      <c r="I57" t="e">
        <f>#REF!+"$Cm=!$np"</f>
        <v>#REF!</v>
      </c>
      <c r="J57" t="e">
        <f>#REF!+"$Cm=!$nq"</f>
        <v>#REF!</v>
      </c>
      <c r="K57" t="e">
        <f>#REF!+"$Cm=!$nr"</f>
        <v>#REF!</v>
      </c>
      <c r="L57" t="e">
        <f>#REF!+"$Cm=!$ns"</f>
        <v>#REF!</v>
      </c>
      <c r="M57" t="e">
        <f>#REF!+"$Cm=!$nt"</f>
        <v>#REF!</v>
      </c>
      <c r="N57" t="e">
        <f>#REF!+"$Cm=!$nu"</f>
        <v>#REF!</v>
      </c>
      <c r="O57" t="e">
        <f>#REF!+"$Cm=!$nv"</f>
        <v>#REF!</v>
      </c>
      <c r="P57" t="e">
        <f>#REF!+"$Cm=!$nw"</f>
        <v>#REF!</v>
      </c>
      <c r="Q57" t="e">
        <f>#REF!+"$Cm=!$nx"</f>
        <v>#REF!</v>
      </c>
      <c r="R57" t="e">
        <f>#REF!+"$Cm=!$ny"</f>
        <v>#REF!</v>
      </c>
      <c r="S57" t="e">
        <f>#REF!+"$Cm=!$nz"</f>
        <v>#REF!</v>
      </c>
      <c r="T57" t="e">
        <f>#REF!+"$Cm=!$n{"</f>
        <v>#REF!</v>
      </c>
      <c r="U57" t="e">
        <f>#REF!+"$Cm=!$n|"</f>
        <v>#REF!</v>
      </c>
      <c r="V57" t="e">
        <f>#REF!+"$Cm=!$n}"</f>
        <v>#REF!</v>
      </c>
      <c r="W57" t="e">
        <f>#REF!+"$Cm=!$n~"</f>
        <v>#REF!</v>
      </c>
      <c r="X57" t="e">
        <f>#REF!+"$Cm=!$o#"</f>
        <v>#REF!</v>
      </c>
      <c r="Y57" t="e">
        <f>#REF!+"$Cm=!$o$"</f>
        <v>#REF!</v>
      </c>
      <c r="Z57" t="e">
        <f>#REF!+"$Cm=!$o%"</f>
        <v>#REF!</v>
      </c>
      <c r="AA57" t="e">
        <f>#REF!+"$Cm=!$o&amp;"</f>
        <v>#REF!</v>
      </c>
      <c r="AB57" t="e">
        <f>#REF!+"$Cm=!$o'"</f>
        <v>#REF!</v>
      </c>
      <c r="AC57" t="e">
        <f>#REF!+"$Cm=!$o("</f>
        <v>#REF!</v>
      </c>
      <c r="AD57" t="e">
        <f>#REF!+"$Cm=!$o)"</f>
        <v>#REF!</v>
      </c>
      <c r="AE57" t="e">
        <f>#REF!+"$Cm=!$o."</f>
        <v>#REF!</v>
      </c>
      <c r="AF57" t="e">
        <f>#REF!+"$Cm=!$o/"</f>
        <v>#REF!</v>
      </c>
      <c r="AG57" t="e">
        <f>#REF!+"$Cm=!$o0"</f>
        <v>#REF!</v>
      </c>
      <c r="AH57" t="e">
        <f>#REF!+"$Cm=!$o1"</f>
        <v>#REF!</v>
      </c>
      <c r="AI57" t="e">
        <f>#REF!+"$Cm=!$o2"</f>
        <v>#REF!</v>
      </c>
      <c r="AJ57" t="e">
        <f>#REF!+"$Cm=!$o3"</f>
        <v>#REF!</v>
      </c>
      <c r="AK57" t="e">
        <f>#REF!+"$Cm=!$o4"</f>
        <v>#REF!</v>
      </c>
      <c r="AL57" t="e">
        <f>#REF!+"$Cm=!$o5"</f>
        <v>#REF!</v>
      </c>
      <c r="AM57" t="e">
        <f>#REF!+"$Cm=!$o6"</f>
        <v>#REF!</v>
      </c>
      <c r="AN57" t="e">
        <f>#REF!+"$Cm=!$o7"</f>
        <v>#REF!</v>
      </c>
      <c r="AO57" t="e">
        <f>#REF!+"$Cm=!$o8"</f>
        <v>#REF!</v>
      </c>
      <c r="AP57" t="e">
        <f>#REF!+"$Cm=!$o9"</f>
        <v>#REF!</v>
      </c>
      <c r="AQ57" t="e">
        <f>#REF!+"$Cm=!$o:"</f>
        <v>#REF!</v>
      </c>
      <c r="AR57" t="e">
        <f>#REF!+"$Cm=!$o;"</f>
        <v>#REF!</v>
      </c>
      <c r="AS57" t="e">
        <f>#REF!+"$Cm=!$o&lt;"</f>
        <v>#REF!</v>
      </c>
      <c r="AT57" t="e">
        <f>#REF!+"$Cm=!$o="</f>
        <v>#REF!</v>
      </c>
      <c r="AU57" t="e">
        <f>#REF!+"$Cm=!$o&gt;"</f>
        <v>#REF!</v>
      </c>
      <c r="AV57" t="e">
        <f>#REF!+"$Cm=!$o?"</f>
        <v>#REF!</v>
      </c>
      <c r="AW57" t="e">
        <f>#REF!+"$Cm=!$o@"</f>
        <v>#REF!</v>
      </c>
      <c r="AX57" t="e">
        <f>#REF!+"$Cm=!$oA"</f>
        <v>#REF!</v>
      </c>
      <c r="AY57" t="e">
        <f>#REF!+"$Cm=!$oB"</f>
        <v>#REF!</v>
      </c>
      <c r="AZ57" t="e">
        <f>#REF!+"$Cm=!$oC"</f>
        <v>#REF!</v>
      </c>
      <c r="BA57" t="e">
        <f>#REF!+"$Cm=!$oD"</f>
        <v>#REF!</v>
      </c>
      <c r="BB57" t="e">
        <f>#REF!+"$Cm=!$oE"</f>
        <v>#REF!</v>
      </c>
      <c r="BC57" t="e">
        <f>#REF!+"$Cm=!$oF"</f>
        <v>#REF!</v>
      </c>
      <c r="BD57" t="e">
        <f>#REF!+"$Cm=!$oG"</f>
        <v>#REF!</v>
      </c>
      <c r="BE57" t="e">
        <f>#REF!+"$Cm=!$oH"</f>
        <v>#REF!</v>
      </c>
      <c r="BF57" t="e">
        <f>#REF!+"$Cm=!$oI"</f>
        <v>#REF!</v>
      </c>
      <c r="BG57" t="e">
        <f>#REF!+"$Cm=!$oJ"</f>
        <v>#REF!</v>
      </c>
      <c r="BH57" t="e">
        <f>#REF!+"$Cm=!$oK"</f>
        <v>#REF!</v>
      </c>
      <c r="BI57" t="e">
        <f>#REF!+"$Cm=!$oL"</f>
        <v>#REF!</v>
      </c>
      <c r="BJ57" t="e">
        <f>#REF!+"$Cm=!$oM"</f>
        <v>#REF!</v>
      </c>
      <c r="BK57" t="e">
        <f>#REF!+"$Cm=!$oN"</f>
        <v>#REF!</v>
      </c>
      <c r="BL57" t="e">
        <f>#REF!+"$Cm=!$oO"</f>
        <v>#REF!</v>
      </c>
      <c r="BM57" t="e">
        <f>#REF!+"$Cm=!$oP"</f>
        <v>#REF!</v>
      </c>
      <c r="BN57" t="e">
        <f>#REF!+"$Cm=!$oQ"</f>
        <v>#REF!</v>
      </c>
      <c r="BO57" t="e">
        <f>#REF!+"$Cm=!$oR"</f>
        <v>#REF!</v>
      </c>
      <c r="BP57" t="e">
        <f>#REF!+"$Cm=!$oS"</f>
        <v>#REF!</v>
      </c>
      <c r="BQ57" t="e">
        <f>#REF!+"$Cm=!$oT"</f>
        <v>#REF!</v>
      </c>
      <c r="BR57" t="e">
        <f>#REF!+"$Cm=!$oU"</f>
        <v>#REF!</v>
      </c>
      <c r="BS57" t="e">
        <f>#REF!+"$Cm=!$oV"</f>
        <v>#REF!</v>
      </c>
      <c r="BT57" t="e">
        <f>#REF!+"$Cm=!$oW"</f>
        <v>#REF!</v>
      </c>
      <c r="BU57" t="e">
        <f>#REF!+"$Cm=!$oX"</f>
        <v>#REF!</v>
      </c>
      <c r="BV57" t="e">
        <f>#REF!+"$Cm=!$oY"</f>
        <v>#REF!</v>
      </c>
      <c r="BW57" t="e">
        <f>#REF!+"$Cm=!$oZ"</f>
        <v>#REF!</v>
      </c>
      <c r="BX57" t="e">
        <f>#REF!+"$Cm=!$o["</f>
        <v>#REF!</v>
      </c>
      <c r="BY57" t="e">
        <f>#REF!+"$Cm=!$o\"</f>
        <v>#REF!</v>
      </c>
      <c r="BZ57" t="e">
        <f>#REF!+"$Cm=!$o]"</f>
        <v>#REF!</v>
      </c>
      <c r="CA57" t="e">
        <f>#REF!+"$Cm=!$o^"</f>
        <v>#REF!</v>
      </c>
      <c r="CB57" t="e">
        <f>#REF!+"$Cm=!$o_"</f>
        <v>#REF!</v>
      </c>
      <c r="CC57" t="e">
        <f>#REF!+"$Cm=!$o`"</f>
        <v>#REF!</v>
      </c>
      <c r="CD57" t="e">
        <f>#REF!+"$Cm=!$oa"</f>
        <v>#REF!</v>
      </c>
      <c r="CE57" t="e">
        <f>#REF!+"$Cm=!$ob"</f>
        <v>#REF!</v>
      </c>
      <c r="CF57" t="e">
        <f>#REF!+"$Cm=!$oc"</f>
        <v>#REF!</v>
      </c>
      <c r="CG57" t="e">
        <f>#REF!+"$Cm=!$od"</f>
        <v>#REF!</v>
      </c>
      <c r="CH57" t="e">
        <f>#REF!+"$Cm=!$oe"</f>
        <v>#REF!</v>
      </c>
      <c r="CI57" t="e">
        <f>#REF!+"$Cm=!$of"</f>
        <v>#REF!</v>
      </c>
      <c r="CJ57" t="e">
        <f>#REF!+"$Cm=!$og"</f>
        <v>#REF!</v>
      </c>
      <c r="CK57" t="e">
        <f>#REF!+"$Cm=!$oh"</f>
        <v>#REF!</v>
      </c>
      <c r="CL57" t="e">
        <f>#REF!+"$Cm=!$oi"</f>
        <v>#REF!</v>
      </c>
      <c r="CM57" t="e">
        <f>#REF!+"$Cm=!$oj"</f>
        <v>#REF!</v>
      </c>
      <c r="CN57" t="e">
        <f>#REF!+"$Cm=!$ok"</f>
        <v>#REF!</v>
      </c>
      <c r="CO57" t="e">
        <f>#REF!+"$Cm=!$ol"</f>
        <v>#REF!</v>
      </c>
      <c r="CP57" t="e">
        <f>#REF!+"$Cm=!$om"</f>
        <v>#REF!</v>
      </c>
      <c r="CQ57" t="e">
        <f>#REF!+"$Cm=!$on"</f>
        <v>#REF!</v>
      </c>
      <c r="CR57" t="e">
        <f>#REF!+"$Cm=!$oo"</f>
        <v>#REF!</v>
      </c>
      <c r="CS57" t="e">
        <f>#REF!+"$Cm=!$op"</f>
        <v>#REF!</v>
      </c>
      <c r="CT57" t="e">
        <f>#REF!+"$Cm=!$oq"</f>
        <v>#REF!</v>
      </c>
      <c r="CU57" t="e">
        <f>#REF!+"$Cm=!$or"</f>
        <v>#REF!</v>
      </c>
      <c r="CV57" t="e">
        <f>#REF!+"$Cm=!$os"</f>
        <v>#REF!</v>
      </c>
      <c r="CW57" t="e">
        <f>#REF!+"$Cm=!$ot"</f>
        <v>#REF!</v>
      </c>
      <c r="CX57" t="e">
        <f>#REF!+"$Cm=!$ou"</f>
        <v>#REF!</v>
      </c>
      <c r="CY57" t="e">
        <f>#REF!+"$Cm=!$ov"</f>
        <v>#REF!</v>
      </c>
      <c r="CZ57" t="e">
        <f>#REF!+"$Cm=!$ow"</f>
        <v>#REF!</v>
      </c>
      <c r="DA57" t="e">
        <f>#REF!+"$Cm=!$ox"</f>
        <v>#REF!</v>
      </c>
      <c r="DB57" t="e">
        <f>#REF!+"$Cm=!$oy"</f>
        <v>#REF!</v>
      </c>
      <c r="DC57" t="e">
        <f>#REF!+"$Cm=!$oz"</f>
        <v>#REF!</v>
      </c>
      <c r="DD57" t="e">
        <f>#REF!+"$Cm=!$o{"</f>
        <v>#REF!</v>
      </c>
      <c r="DE57" t="e">
        <f>#REF!+"$Cm=!$o|"</f>
        <v>#REF!</v>
      </c>
      <c r="DF57" t="e">
        <f>#REF!+"$Cm=!$o}"</f>
        <v>#REF!</v>
      </c>
      <c r="DG57" t="e">
        <f>#REF!+"$Cm=!$o~"</f>
        <v>#REF!</v>
      </c>
      <c r="DH57" t="e">
        <f>#REF!+"$Cm=!$p#"</f>
        <v>#REF!</v>
      </c>
      <c r="DI57" t="e">
        <f>#REF!+"$Cm=!$p$"</f>
        <v>#REF!</v>
      </c>
      <c r="DJ57" t="e">
        <f>#REF!+"$Cm=!$p%"</f>
        <v>#REF!</v>
      </c>
      <c r="DK57" t="e">
        <f>#REF!+"$Cm=!$p&amp;"</f>
        <v>#REF!</v>
      </c>
      <c r="DL57" t="e">
        <f>#REF!+"$Cm=!$p'"</f>
        <v>#REF!</v>
      </c>
      <c r="DM57" t="e">
        <f>#REF!+"$Cm=!$p("</f>
        <v>#REF!</v>
      </c>
      <c r="DN57" t="e">
        <f>#REF!+"$Cm=!$p)"</f>
        <v>#REF!</v>
      </c>
      <c r="DO57" t="e">
        <f>#REF!+"$Cm=!$p."</f>
        <v>#REF!</v>
      </c>
      <c r="DP57" t="e">
        <f>#REF!+"$Cm=!$p/"</f>
        <v>#REF!</v>
      </c>
      <c r="DQ57" t="e">
        <f>#REF!+"$Cm=!$p0"</f>
        <v>#REF!</v>
      </c>
      <c r="DR57" t="e">
        <f>#REF!+"$Cm=!$p1"</f>
        <v>#REF!</v>
      </c>
      <c r="DS57" t="e">
        <f>#REF!+"$Cm=!$p2"</f>
        <v>#REF!</v>
      </c>
      <c r="DT57" t="e">
        <f>#REF!+"$Cm=!$p3"</f>
        <v>#REF!</v>
      </c>
      <c r="DU57" t="e">
        <f>#REF!+"$Cm=!$p4"</f>
        <v>#REF!</v>
      </c>
      <c r="DV57" t="e">
        <f>#REF!+"$Cm=!$p5"</f>
        <v>#REF!</v>
      </c>
      <c r="DW57" t="e">
        <f>#REF!+"$Cm=!$p6"</f>
        <v>#REF!</v>
      </c>
      <c r="DX57" t="e">
        <f>#REF!+"$Cm=!$p7"</f>
        <v>#REF!</v>
      </c>
      <c r="DY57" t="e">
        <f>#REF!+"$Cm=!$p8"</f>
        <v>#REF!</v>
      </c>
      <c r="DZ57" t="e">
        <f>#REF!+"$Cm=!$p9"</f>
        <v>#REF!</v>
      </c>
      <c r="EA57" t="e">
        <f>#REF!+"$Cm=!$p:"</f>
        <v>#REF!</v>
      </c>
      <c r="EB57" t="e">
        <f>#REF!+"$Cm=!$p;"</f>
        <v>#REF!</v>
      </c>
      <c r="EC57" t="e">
        <f>#REF!+"$Cm=!$p&lt;"</f>
        <v>#REF!</v>
      </c>
      <c r="ED57" t="e">
        <f>#REF!+"$Cm=!$p="</f>
        <v>#REF!</v>
      </c>
      <c r="EE57" t="e">
        <f>#REF!+"$Cm=!$p&gt;"</f>
        <v>#REF!</v>
      </c>
      <c r="EF57" t="e">
        <f>#REF!+"$Cm=!$p?"</f>
        <v>#REF!</v>
      </c>
      <c r="EG57" t="e">
        <f>#REF!+"$Cm=!$p@"</f>
        <v>#REF!</v>
      </c>
      <c r="EH57" t="e">
        <f>#REF!+"$Cm=!$pA"</f>
        <v>#REF!</v>
      </c>
      <c r="EI57" t="e">
        <f>#REF!+"$Cm=!$pB"</f>
        <v>#REF!</v>
      </c>
      <c r="EJ57" t="e">
        <f>#REF!+"$Cm=!$pC"</f>
        <v>#REF!</v>
      </c>
      <c r="EK57" t="e">
        <f>#REF!+"$Cm=!$pD"</f>
        <v>#REF!</v>
      </c>
      <c r="EL57" t="e">
        <f>#REF!+"$Cm=!$pE"</f>
        <v>#REF!</v>
      </c>
      <c r="EM57" t="e">
        <f>#REF!+"$Cm=!$pF"</f>
        <v>#REF!</v>
      </c>
      <c r="EN57" t="e">
        <f>#REF!+"$Cm=!$pG"</f>
        <v>#REF!</v>
      </c>
      <c r="EO57" t="e">
        <f>#REF!+"$Cm=!$pH"</f>
        <v>#REF!</v>
      </c>
      <c r="EP57" t="e">
        <f>#REF!+"$Cm=!$pI"</f>
        <v>#REF!</v>
      </c>
      <c r="EQ57" t="e">
        <f>#REF!+"$Cm=!$pJ"</f>
        <v>#REF!</v>
      </c>
      <c r="ER57" t="e">
        <f>#REF!+"$Cm=!$pK"</f>
        <v>#REF!</v>
      </c>
      <c r="ES57" t="e">
        <f>#REF!+"$Cm=!$pL"</f>
        <v>#REF!</v>
      </c>
      <c r="ET57" t="e">
        <f>#REF!+"$Cm=!$pM"</f>
        <v>#REF!</v>
      </c>
      <c r="EU57" t="e">
        <f>#REF!+"$Cm=!$pN"</f>
        <v>#REF!</v>
      </c>
      <c r="EV57" t="e">
        <f>#REF!+"$Cm=!$pO"</f>
        <v>#REF!</v>
      </c>
      <c r="EW57" t="e">
        <f>#REF!+"$Cm=!$pP"</f>
        <v>#REF!</v>
      </c>
      <c r="EX57" t="e">
        <f>#REF!+"$Cm=!$pQ"</f>
        <v>#REF!</v>
      </c>
      <c r="EY57" t="e">
        <f>#REF!+"$Cm=!$pR"</f>
        <v>#REF!</v>
      </c>
      <c r="EZ57" t="e">
        <f>#REF!+"$Cm=!$pS"</f>
        <v>#REF!</v>
      </c>
      <c r="FA57" t="e">
        <f>#REF!+"$Cm=!$pT"</f>
        <v>#REF!</v>
      </c>
      <c r="FB57" t="e">
        <f>#REF!+"$Cm=!$pU"</f>
        <v>#REF!</v>
      </c>
      <c r="FC57" t="e">
        <f>#REF!+"$Cm=!$pV"</f>
        <v>#REF!</v>
      </c>
      <c r="FD57" t="e">
        <f>#REF!+"$Cm=!$pW"</f>
        <v>#REF!</v>
      </c>
      <c r="FE57" t="e">
        <f>#REF!+"$Cm=!$pX"</f>
        <v>#REF!</v>
      </c>
      <c r="FF57" t="e">
        <f>#REF!+"$Cm=!$pY"</f>
        <v>#REF!</v>
      </c>
      <c r="FG57" t="e">
        <f>#REF!+"$Cm=!$pZ"</f>
        <v>#REF!</v>
      </c>
      <c r="FH57" t="e">
        <f>#REF!+"$Cm=!$p["</f>
        <v>#REF!</v>
      </c>
      <c r="FI57" t="e">
        <f>#REF!+"$Cm=!$p\"</f>
        <v>#REF!</v>
      </c>
      <c r="FJ57" t="e">
        <f>#REF!+"$Cm=!$p]"</f>
        <v>#REF!</v>
      </c>
      <c r="FK57" t="e">
        <f>#REF!+"$Cm=!$p^"</f>
        <v>#REF!</v>
      </c>
      <c r="FL57" t="e">
        <f>#REF!+"$Cm=!$p_"</f>
        <v>#REF!</v>
      </c>
      <c r="FM57" t="e">
        <f>#REF!+"$Cm=!$p`"</f>
        <v>#REF!</v>
      </c>
      <c r="FN57" t="e">
        <f>#REF!+"$Cm=!$pa"</f>
        <v>#REF!</v>
      </c>
      <c r="FO57" t="e">
        <f>#REF!+"$Cm=!$pb"</f>
        <v>#REF!</v>
      </c>
      <c r="FP57" t="e">
        <f>#REF!+"$Cm=!$pc"</f>
        <v>#REF!</v>
      </c>
      <c r="FQ57" t="e">
        <f>#REF!+"$Cm=!$pd"</f>
        <v>#REF!</v>
      </c>
      <c r="FR57" t="e">
        <f>#REF!+"$Cm=!$pe"</f>
        <v>#REF!</v>
      </c>
      <c r="FS57" t="e">
        <f>#REF!+"$Cm=!$pf"</f>
        <v>#REF!</v>
      </c>
      <c r="FT57" t="e">
        <f>#REF!+"$Cm=!$pg"</f>
        <v>#REF!</v>
      </c>
      <c r="FU57" t="e">
        <f>#REF!+"$Cm=!$ph"</f>
        <v>#REF!</v>
      </c>
      <c r="FV57" t="e">
        <f>#REF!+"$Cm=!$pi"</f>
        <v>#REF!</v>
      </c>
      <c r="FW57" t="e">
        <f>#REF!+"$Cm=!$pj"</f>
        <v>#REF!</v>
      </c>
      <c r="FX57" t="e">
        <f>#REF!+"$Cm=!$pk"</f>
        <v>#REF!</v>
      </c>
      <c r="FY57" t="e">
        <f>#REF!+"$Cm=!$pl"</f>
        <v>#REF!</v>
      </c>
      <c r="FZ57" t="e">
        <f>#REF!+"$Cm=!$pm"</f>
        <v>#REF!</v>
      </c>
      <c r="GA57" t="e">
        <f>#REF!+"$Cm=!$pn"</f>
        <v>#REF!</v>
      </c>
      <c r="GB57" t="e">
        <f>#REF!+"$Cm=!$po"</f>
        <v>#REF!</v>
      </c>
      <c r="GC57" t="e">
        <f>#REF!+"$Cm=!$pp"</f>
        <v>#REF!</v>
      </c>
      <c r="GD57" t="e">
        <f>#REF!+"$Cm=!$pq"</f>
        <v>#REF!</v>
      </c>
      <c r="GE57" t="e">
        <f>#REF!+"$Cm=!$pr"</f>
        <v>#REF!</v>
      </c>
      <c r="GF57" t="e">
        <f>#REF!+"$Cm=!$ps"</f>
        <v>#REF!</v>
      </c>
      <c r="GG57" t="e">
        <f>#REF!+"$Cm=!$pt"</f>
        <v>#REF!</v>
      </c>
      <c r="GH57" t="e">
        <f>#REF!+"$Cm=!$pu"</f>
        <v>#REF!</v>
      </c>
      <c r="GI57" t="e">
        <f>#REF!+"$Cm=!$pv"</f>
        <v>#REF!</v>
      </c>
      <c r="GJ57" t="e">
        <f>#REF!+"$Cm=!$pw"</f>
        <v>#REF!</v>
      </c>
      <c r="GK57" t="e">
        <f>#REF!+"$Cm=!$px"</f>
        <v>#REF!</v>
      </c>
      <c r="GL57" t="e">
        <f>#REF!+"$Cm=!$py"</f>
        <v>#REF!</v>
      </c>
      <c r="GM57" t="e">
        <f>#REF!+"$Cm=!$pz"</f>
        <v>#REF!</v>
      </c>
      <c r="GN57" t="e">
        <f>#REF!+"$Cm=!$p{"</f>
        <v>#REF!</v>
      </c>
      <c r="GO57" t="e">
        <f>#REF!+"$Cm=!$p|"</f>
        <v>#REF!</v>
      </c>
      <c r="GP57" t="e">
        <f>#REF!+"$Cm=!$p}"</f>
        <v>#REF!</v>
      </c>
      <c r="GQ57" t="e">
        <f>#REF!+"$Cm=!$p~"</f>
        <v>#REF!</v>
      </c>
      <c r="GR57" t="e">
        <f>#REF!+"$Cm=!$q#"</f>
        <v>#REF!</v>
      </c>
      <c r="GS57" t="e">
        <f>#REF!+"$Cm=!$q$"</f>
        <v>#REF!</v>
      </c>
      <c r="GT57" t="e">
        <f>#REF!+"$Cm=!$q%"</f>
        <v>#REF!</v>
      </c>
      <c r="GU57" t="e">
        <f>#REF!+"$Cm=!$q&amp;"</f>
        <v>#REF!</v>
      </c>
      <c r="GV57" t="e">
        <f>#REF!+"$Cm=!$q'"</f>
        <v>#REF!</v>
      </c>
      <c r="GW57" t="e">
        <f>#REF!+"$Cm=!$q("</f>
        <v>#REF!</v>
      </c>
      <c r="GX57" t="e">
        <f>#REF!+"$Cm=!$q)"</f>
        <v>#REF!</v>
      </c>
      <c r="GY57" t="e">
        <f>#REF!+"$Cm=!$q."</f>
        <v>#REF!</v>
      </c>
      <c r="GZ57" t="e">
        <f>#REF!+"$Cm=!$q/"</f>
        <v>#REF!</v>
      </c>
      <c r="HA57" t="e">
        <f>#REF!+"$Cm=!$q0"</f>
        <v>#REF!</v>
      </c>
      <c r="HB57" t="e">
        <f>#REF!+"$Cm=!$q1"</f>
        <v>#REF!</v>
      </c>
      <c r="HC57" t="e">
        <f>#REF!+"$Cm=!$q2"</f>
        <v>#REF!</v>
      </c>
      <c r="HD57" t="e">
        <f>#REF!+"$Cm=!$q3"</f>
        <v>#REF!</v>
      </c>
      <c r="HE57" t="e">
        <f>#REF!+"$Cm=!$q4"</f>
        <v>#REF!</v>
      </c>
      <c r="HF57" t="e">
        <f>#REF!+"$Cm=!$q5"</f>
        <v>#REF!</v>
      </c>
      <c r="HG57" t="e">
        <f>#REF!+"$Cm=!$q6"</f>
        <v>#REF!</v>
      </c>
      <c r="HH57" t="e">
        <f>#REF!+"$Cm=!$q7"</f>
        <v>#REF!</v>
      </c>
      <c r="HI57" t="e">
        <f>#REF!+"$Cm=!$q8"</f>
        <v>#REF!</v>
      </c>
      <c r="HJ57" t="e">
        <f>#REF!+"$Cm=!$q9"</f>
        <v>#REF!</v>
      </c>
      <c r="HK57" t="e">
        <f>#REF!+"$Cm=!$q:"</f>
        <v>#REF!</v>
      </c>
      <c r="HL57" t="e">
        <f>#REF!+"$Cm=!$q;"</f>
        <v>#REF!</v>
      </c>
      <c r="HM57" t="e">
        <f>#REF!+"$Cm=!$q&lt;"</f>
        <v>#REF!</v>
      </c>
      <c r="HN57" t="e">
        <f>#REF!+"$Cm=!$q="</f>
        <v>#REF!</v>
      </c>
      <c r="HO57" t="e">
        <f>#REF!+"$Cm=!$q&gt;"</f>
        <v>#REF!</v>
      </c>
      <c r="HP57" t="e">
        <f>#REF!+"$Cm=!$q?"</f>
        <v>#REF!</v>
      </c>
      <c r="HQ57" t="e">
        <f>#REF!+"$Cm=!$q@"</f>
        <v>#REF!</v>
      </c>
      <c r="HR57" t="e">
        <f>#REF!+"$Cm=!$qA"</f>
        <v>#REF!</v>
      </c>
      <c r="HS57" t="e">
        <f>#REF!+"$Cm=!$qB"</f>
        <v>#REF!</v>
      </c>
      <c r="HT57" t="e">
        <f>#REF!+"$Cm=!$qC"</f>
        <v>#REF!</v>
      </c>
      <c r="HU57" t="e">
        <f>#REF!+"$Cm=!$qD"</f>
        <v>#REF!</v>
      </c>
      <c r="HV57" t="e">
        <f>#REF!+"$Cm=!$qE"</f>
        <v>#REF!</v>
      </c>
      <c r="HW57" t="e">
        <f>#REF!+"$Cm=!$qF"</f>
        <v>#REF!</v>
      </c>
      <c r="HX57" t="e">
        <f>#REF!+"$Cm=!$qG"</f>
        <v>#REF!</v>
      </c>
      <c r="HY57" t="e">
        <f>#REF!+"$Cm=!$qH"</f>
        <v>#REF!</v>
      </c>
      <c r="HZ57" t="e">
        <f>#REF!+"$Cm=!$qI"</f>
        <v>#REF!</v>
      </c>
      <c r="IA57" t="e">
        <f>#REF!+"$Cm=!$qJ"</f>
        <v>#REF!</v>
      </c>
      <c r="IB57" t="e">
        <f>#REF!+"$Cm=!$qK"</f>
        <v>#REF!</v>
      </c>
      <c r="IC57" t="e">
        <f>#REF!+"$Cm=!$qL"</f>
        <v>#REF!</v>
      </c>
      <c r="ID57" t="e">
        <f>#REF!+"$Cm=!$qM"</f>
        <v>#REF!</v>
      </c>
      <c r="IE57" t="e">
        <f>#REF!+"$Cm=!$qN"</f>
        <v>#REF!</v>
      </c>
      <c r="IF57" t="e">
        <f>#REF!+"$Cm=!$qO"</f>
        <v>#REF!</v>
      </c>
      <c r="IG57" t="e">
        <f>#REF!+"$Cm=!$qP"</f>
        <v>#REF!</v>
      </c>
      <c r="IH57" t="e">
        <f>#REF!+"$Cm=!$qQ"</f>
        <v>#REF!</v>
      </c>
      <c r="II57" t="e">
        <f>#REF!+"$Cm=!$qR"</f>
        <v>#REF!</v>
      </c>
      <c r="IJ57" t="e">
        <f>#REF!+"$Cm=!$qS"</f>
        <v>#REF!</v>
      </c>
      <c r="IK57" t="e">
        <f>#REF!+"$Cm=!$qT"</f>
        <v>#REF!</v>
      </c>
      <c r="IL57" t="e">
        <f>#REF!+"$Cm=!$qU"</f>
        <v>#REF!</v>
      </c>
      <c r="IM57" t="e">
        <f>#REF!+"$Cm=!$qV"</f>
        <v>#REF!</v>
      </c>
      <c r="IN57" t="e">
        <f>#REF!+"$Cm=!$qW"</f>
        <v>#REF!</v>
      </c>
      <c r="IO57" t="e">
        <f>#REF!+"$Cm=!$qX"</f>
        <v>#REF!</v>
      </c>
      <c r="IP57" t="e">
        <f>#REF!+"$Cm=!$qY"</f>
        <v>#REF!</v>
      </c>
      <c r="IQ57" t="e">
        <f>#REF!+"$Cm=!$qZ"</f>
        <v>#REF!</v>
      </c>
      <c r="IR57" t="e">
        <f>#REF!+"$Cm=!$q["</f>
        <v>#REF!</v>
      </c>
      <c r="IS57" t="e">
        <f>#REF!+"$Cm=!$q\"</f>
        <v>#REF!</v>
      </c>
      <c r="IT57" t="e">
        <f>#REF!+"$Cm=!$q]"</f>
        <v>#REF!</v>
      </c>
      <c r="IU57" t="e">
        <f>#REF!+"$Cm=!$q^"</f>
        <v>#REF!</v>
      </c>
      <c r="IV57" t="e">
        <f>#REF!+"$Cm=!$q_"</f>
        <v>#REF!</v>
      </c>
    </row>
    <row r="58" spans="6:256">
      <c r="F58" t="e">
        <f>#REF!+"$Cm=!$q`"</f>
        <v>#REF!</v>
      </c>
      <c r="G58" t="e">
        <f>#REF!+"$Cm=!$qa"</f>
        <v>#REF!</v>
      </c>
      <c r="H58" t="e">
        <f>#REF!+"$Cm=!$qb"</f>
        <v>#REF!</v>
      </c>
      <c r="I58" t="e">
        <f>#REF!+"$Cm=!$qc"</f>
        <v>#REF!</v>
      </c>
      <c r="J58" t="e">
        <f>#REF!+"$Cm=!$qd"</f>
        <v>#REF!</v>
      </c>
      <c r="K58" t="e">
        <f>#REF!+"$Cm=!$qe"</f>
        <v>#REF!</v>
      </c>
      <c r="L58" t="e">
        <f>#REF!+"$Cm=!$qf"</f>
        <v>#REF!</v>
      </c>
      <c r="M58" t="e">
        <f>#REF!+"$Cm=!$qg"</f>
        <v>#REF!</v>
      </c>
      <c r="N58" t="e">
        <f>#REF!+"$Cm=!$qh"</f>
        <v>#REF!</v>
      </c>
      <c r="O58" t="e">
        <f>#REF!+"$Cm=!$qi"</f>
        <v>#REF!</v>
      </c>
      <c r="P58" t="e">
        <f>#REF!+"$Cm=!$qj"</f>
        <v>#REF!</v>
      </c>
      <c r="Q58" t="e">
        <f>#REF!+"$Cm=!$qk"</f>
        <v>#REF!</v>
      </c>
      <c r="R58" t="e">
        <f>#REF!+"$Cm=!$ql"</f>
        <v>#REF!</v>
      </c>
      <c r="S58" t="e">
        <f>#REF!+"$Cm=!$qm"</f>
        <v>#REF!</v>
      </c>
      <c r="T58" t="e">
        <f>#REF!+"$Cm=!$qn"</f>
        <v>#REF!</v>
      </c>
      <c r="U58" t="e">
        <f>#REF!+"$Cm=!$qo"</f>
        <v>#REF!</v>
      </c>
      <c r="V58" t="e">
        <f>#REF!+"$Cm=!$qp"</f>
        <v>#REF!</v>
      </c>
      <c r="W58" t="e">
        <f>#REF!+"$Cm=!$qq"</f>
        <v>#REF!</v>
      </c>
      <c r="X58" t="e">
        <f>#REF!+"$Cm=!$qr"</f>
        <v>#REF!</v>
      </c>
      <c r="Y58" t="e">
        <f>#REF!+"$Cm=!$qs"</f>
        <v>#REF!</v>
      </c>
      <c r="Z58" t="e">
        <f>#REF!+"$Cm=!$qt"</f>
        <v>#REF!</v>
      </c>
      <c r="AA58" t="e">
        <f>#REF!+"$Cm=!$qu"</f>
        <v>#REF!</v>
      </c>
      <c r="AB58" t="e">
        <f>#REF!+"$Cm=!$qv"</f>
        <v>#REF!</v>
      </c>
      <c r="AC58" t="e">
        <f>#REF!+"$Cm=!$qw"</f>
        <v>#REF!</v>
      </c>
      <c r="AD58" t="e">
        <f>#REF!+"$Cm=!$qx"</f>
        <v>#REF!</v>
      </c>
      <c r="AE58" t="e">
        <f>#REF!+"$Cm=!$qy"</f>
        <v>#REF!</v>
      </c>
      <c r="AF58" t="e">
        <f>#REF!+"$Cm=!$qz"</f>
        <v>#REF!</v>
      </c>
      <c r="AG58" t="e">
        <f>#REF!+"$Cm=!$q{"</f>
        <v>#REF!</v>
      </c>
      <c r="AH58" t="e">
        <f>#REF!+"$Cm=!$q|"</f>
        <v>#REF!</v>
      </c>
      <c r="AI58" t="e">
        <f>#REF!+"$Cm=!$q}"</f>
        <v>#REF!</v>
      </c>
      <c r="AJ58" t="e">
        <f>#REF!+"$Cm=!$q~"</f>
        <v>#REF!</v>
      </c>
      <c r="AK58" t="e">
        <f>#REF!+"$Cm=!$r#"</f>
        <v>#REF!</v>
      </c>
      <c r="AL58" t="e">
        <f>#REF!+"$Cm=!$r$"</f>
        <v>#REF!</v>
      </c>
      <c r="AM58" t="e">
        <f>#REF!+"$Cm=!$r%"</f>
        <v>#REF!</v>
      </c>
      <c r="AN58" t="e">
        <f>#REF!+"$Cm=!$r&amp;"</f>
        <v>#REF!</v>
      </c>
      <c r="AO58" t="e">
        <f>#REF!+"$Cm=!$r'"</f>
        <v>#REF!</v>
      </c>
      <c r="AP58" t="e">
        <f>#REF!+"$Cm=!$r("</f>
        <v>#REF!</v>
      </c>
      <c r="AQ58" t="e">
        <f>#REF!+"$Cm=!$r)"</f>
        <v>#REF!</v>
      </c>
      <c r="AR58" t="e">
        <f>#REF!+"$Cm=!$r."</f>
        <v>#REF!</v>
      </c>
      <c r="AS58" t="e">
        <f>#REF!+"$Cm=!$r/"</f>
        <v>#REF!</v>
      </c>
      <c r="AT58" t="e">
        <f>#REF!+"$Cm=!$r0"</f>
        <v>#REF!</v>
      </c>
      <c r="AU58" t="e">
        <f>#REF!+"$Cm=!$r1"</f>
        <v>#REF!</v>
      </c>
      <c r="AV58" t="e">
        <f>#REF!+"$Cm=!$r2"</f>
        <v>#REF!</v>
      </c>
      <c r="AW58" t="e">
        <f>#REF!+"$Cm=!$r3"</f>
        <v>#REF!</v>
      </c>
      <c r="AX58" t="e">
        <f>#REF!+"$Cm=!$r4"</f>
        <v>#REF!</v>
      </c>
      <c r="AY58" t="e">
        <f>#REF!+"$Cm=!$r5"</f>
        <v>#REF!</v>
      </c>
      <c r="AZ58" t="e">
        <f>#REF!+"$Cm=!$r6"</f>
        <v>#REF!</v>
      </c>
      <c r="BA58" t="e">
        <f>#REF!+"$Cm=!$r7"</f>
        <v>#REF!</v>
      </c>
      <c r="BB58" t="e">
        <f>#REF!+"$Cm=!$r8"</f>
        <v>#REF!</v>
      </c>
      <c r="BC58" t="e">
        <f>#REF!+"$Cm=!$r9"</f>
        <v>#REF!</v>
      </c>
      <c r="BD58" t="e">
        <f>#REF!+"$Cm=!$r:"</f>
        <v>#REF!</v>
      </c>
      <c r="BE58" t="e">
        <f>#REF!+"$Cm=!$r;"</f>
        <v>#REF!</v>
      </c>
      <c r="BF58" t="e">
        <f>#REF!+"$Cm=!$r&lt;"</f>
        <v>#REF!</v>
      </c>
      <c r="BG58" t="e">
        <f>#REF!+"$Cm=!$r="</f>
        <v>#REF!</v>
      </c>
      <c r="BH58" t="e">
        <f>#REF!+"$Cm=!$r&gt;"</f>
        <v>#REF!</v>
      </c>
      <c r="BI58" t="e">
        <f>#REF!+"$Cm=!$r?"</f>
        <v>#REF!</v>
      </c>
      <c r="BJ58" t="e">
        <f>#REF!+"$Cm=!$r@"</f>
        <v>#REF!</v>
      </c>
      <c r="BK58" t="e">
        <f>#REF!+"$Cm=!$rA"</f>
        <v>#REF!</v>
      </c>
      <c r="BL58" t="e">
        <f>#REF!+"$Cm=!$rB"</f>
        <v>#REF!</v>
      </c>
      <c r="BM58" t="e">
        <f>#REF!+"$Cm=!$rC"</f>
        <v>#REF!</v>
      </c>
      <c r="BN58" t="e">
        <f>#REF!+"$Cm=!$rD"</f>
        <v>#REF!</v>
      </c>
      <c r="BO58" t="e">
        <f>#REF!+"$Cm=!$rE"</f>
        <v>#REF!</v>
      </c>
      <c r="BP58" t="e">
        <f>#REF!+"$Cm=!$rF"</f>
        <v>#REF!</v>
      </c>
      <c r="BQ58" t="e">
        <f>#REF!+"$Cm=!$rG"</f>
        <v>#REF!</v>
      </c>
      <c r="BR58" t="e">
        <f>#REF!+"$Cm=!$rH"</f>
        <v>#REF!</v>
      </c>
      <c r="BS58" t="e">
        <f>#REF!+"$Cm=!$rI"</f>
        <v>#REF!</v>
      </c>
      <c r="BT58" t="e">
        <f>#REF!+"$Cm=!$rJ"</f>
        <v>#REF!</v>
      </c>
      <c r="BU58" t="e">
        <f>#REF!+"$Cm=!$rK"</f>
        <v>#REF!</v>
      </c>
      <c r="BV58" t="e">
        <f>#REF!+"$Cm=!$rL"</f>
        <v>#REF!</v>
      </c>
      <c r="BW58" t="e">
        <f>#REF!+"$Cm=!$rM"</f>
        <v>#REF!</v>
      </c>
      <c r="BX58" t="e">
        <f>#REF!+"$Cm=!$rN"</f>
        <v>#REF!</v>
      </c>
      <c r="BY58" t="e">
        <f>#REF!+"$Cm=!$rO"</f>
        <v>#REF!</v>
      </c>
      <c r="BZ58" t="e">
        <f>#REF!+"$Cm=!$rP"</f>
        <v>#REF!</v>
      </c>
      <c r="CA58" t="e">
        <f>#REF!+"$Cm=!$rQ"</f>
        <v>#REF!</v>
      </c>
      <c r="CB58" t="e">
        <f>#REF!+"$Cm=!$rR"</f>
        <v>#REF!</v>
      </c>
      <c r="CC58" t="e">
        <f>#REF!+"$Cm=!$rS"</f>
        <v>#REF!</v>
      </c>
      <c r="CD58" t="e">
        <f>#REF!+"$Cm=!$rT"</f>
        <v>#REF!</v>
      </c>
      <c r="CE58" t="e">
        <f>#REF!+"$Cm=!$rU"</f>
        <v>#REF!</v>
      </c>
      <c r="CF58" t="e">
        <f>#REF!+"$Cm=!$rV"</f>
        <v>#REF!</v>
      </c>
      <c r="CG58" t="e">
        <f>#REF!+"$Cm=!$rW"</f>
        <v>#REF!</v>
      </c>
      <c r="CH58" t="e">
        <f>#REF!+"$Cm=!$rX"</f>
        <v>#REF!</v>
      </c>
      <c r="CI58" t="e">
        <f>#REF!+"$Cm=!$rY"</f>
        <v>#REF!</v>
      </c>
      <c r="CJ58" t="e">
        <f>#REF!+"$Cm=!$rZ"</f>
        <v>#REF!</v>
      </c>
      <c r="CK58" t="e">
        <f>#REF!+"$Cm=!$r["</f>
        <v>#REF!</v>
      </c>
      <c r="CL58" t="e">
        <f>#REF!+"$Cm=!$r\"</f>
        <v>#REF!</v>
      </c>
      <c r="CM58" t="e">
        <f>#REF!+"$Cm=!$r]"</f>
        <v>#REF!</v>
      </c>
      <c r="CN58" t="e">
        <f>#REF!+"$Cm=!$r^"</f>
        <v>#REF!</v>
      </c>
      <c r="CO58" t="e">
        <f>#REF!+"$Cm=!$r_"</f>
        <v>#REF!</v>
      </c>
      <c r="CP58" t="e">
        <f>#REF!+"$Cm=!$r`"</f>
        <v>#REF!</v>
      </c>
      <c r="CQ58" t="e">
        <f>#REF!+"$Cm=!$ra"</f>
        <v>#REF!</v>
      </c>
      <c r="CR58" t="e">
        <f>#REF!+"$Cm=!$rb"</f>
        <v>#REF!</v>
      </c>
      <c r="CS58" t="e">
        <f>#REF!+"$Cm=!$rc"</f>
        <v>#REF!</v>
      </c>
      <c r="CT58" t="e">
        <f>#REF!+"$Cm=!$rd"</f>
        <v>#REF!</v>
      </c>
      <c r="CU58" t="e">
        <f>#REF!+"$Cm=!$re"</f>
        <v>#REF!</v>
      </c>
      <c r="CV58" t="e">
        <f>#REF!+"$Cm=!$rf"</f>
        <v>#REF!</v>
      </c>
      <c r="CW58" t="e">
        <f>#REF!+"$Cm=!$rg"</f>
        <v>#REF!</v>
      </c>
      <c r="CX58" t="e">
        <f>#REF!+"$Cm=!$rh"</f>
        <v>#REF!</v>
      </c>
      <c r="CY58" t="e">
        <f>#REF!+"$Cm=!$ri"</f>
        <v>#REF!</v>
      </c>
      <c r="CZ58" t="e">
        <f>#REF!+"$Cm=!$rj"</f>
        <v>#REF!</v>
      </c>
      <c r="DA58" t="e">
        <f>#REF!+"$Cm=!$rk"</f>
        <v>#REF!</v>
      </c>
      <c r="DB58" t="e">
        <f>#REF!+"$Cm=!$rl"</f>
        <v>#REF!</v>
      </c>
      <c r="DC58" t="e">
        <f>#REF!+"$Cm=!$rm"</f>
        <v>#REF!</v>
      </c>
      <c r="DD58" t="e">
        <f>#REF!+"$Cm=!$rn"</f>
        <v>#REF!</v>
      </c>
      <c r="DE58" t="e">
        <f>#REF!+"$Cm=!$ro"</f>
        <v>#REF!</v>
      </c>
      <c r="DF58" t="e">
        <f>#REF!+"$Cm=!$rp"</f>
        <v>#REF!</v>
      </c>
      <c r="DG58" t="e">
        <f>#REF!+"$Cm=!$rq"</f>
        <v>#REF!</v>
      </c>
      <c r="DH58" t="e">
        <f>#REF!+"$Cm=!$rr"</f>
        <v>#REF!</v>
      </c>
      <c r="DI58" t="e">
        <f>#REF!+"$Cm=!$rs"</f>
        <v>#REF!</v>
      </c>
      <c r="DJ58" t="e">
        <f>#REF!+"$Cm=!$rt"</f>
        <v>#REF!</v>
      </c>
      <c r="DK58" t="e">
        <f>#REF!+"$Cm=!$ru"</f>
        <v>#REF!</v>
      </c>
      <c r="DL58" t="e">
        <f>#REF!+"$Cm=!$rv"</f>
        <v>#REF!</v>
      </c>
      <c r="DM58" t="e">
        <f>#REF!+"$Cm=!$rw"</f>
        <v>#REF!</v>
      </c>
      <c r="DN58" t="e">
        <f>#REF!+"$Cm=!$rx"</f>
        <v>#REF!</v>
      </c>
      <c r="DO58" t="e">
        <f>#REF!+"$Cm=!$ry"</f>
        <v>#REF!</v>
      </c>
      <c r="DP58" t="e">
        <f>#REF!+"$Cm=!$rz"</f>
        <v>#REF!</v>
      </c>
      <c r="DQ58" t="e">
        <f>#REF!+"$Cm=!$r{"</f>
        <v>#REF!</v>
      </c>
      <c r="DR58" t="e">
        <f>#REF!+"$Cm=!$r|"</f>
        <v>#REF!</v>
      </c>
      <c r="DS58" t="e">
        <f>#REF!+"$Cm=!$r}"</f>
        <v>#REF!</v>
      </c>
      <c r="DT58" t="e">
        <f>#REF!+"$Cm=!$r~"</f>
        <v>#REF!</v>
      </c>
      <c r="DU58" t="e">
        <f>#REF!+"$Cm=!$s#"</f>
        <v>#REF!</v>
      </c>
      <c r="DV58" t="e">
        <f>#REF!+"$Cm=!$s$"</f>
        <v>#REF!</v>
      </c>
      <c r="DW58" t="e">
        <f>#REF!+"$Cm=!$s%"</f>
        <v>#REF!</v>
      </c>
      <c r="DX58" t="e">
        <f>#REF!+"$Cm=!$s&amp;"</f>
        <v>#REF!</v>
      </c>
      <c r="DY58" t="e">
        <f>#REF!+"$Cm=!$s'"</f>
        <v>#REF!</v>
      </c>
      <c r="DZ58" t="e">
        <f>#REF!+"$Cm=!$s("</f>
        <v>#REF!</v>
      </c>
      <c r="EA58" t="e">
        <f>#REF!+"$Cm=!$s)"</f>
        <v>#REF!</v>
      </c>
      <c r="EB58" t="e">
        <f>#REF!+"$Cm=!$s."</f>
        <v>#REF!</v>
      </c>
      <c r="EC58" t="e">
        <f>#REF!+"$Cm=!$s/"</f>
        <v>#REF!</v>
      </c>
      <c r="ED58" t="e">
        <f>#REF!+"$Cm=!$s0"</f>
        <v>#REF!</v>
      </c>
      <c r="EE58" t="e">
        <f>#REF!+"$Cm=!$s1"</f>
        <v>#REF!</v>
      </c>
      <c r="EF58" t="e">
        <f>#REF!+"$Cm=!$s2"</f>
        <v>#REF!</v>
      </c>
      <c r="EG58" t="e">
        <f>#REF!+"$Cm=!$s3"</f>
        <v>#REF!</v>
      </c>
      <c r="EH58" t="e">
        <f>#REF!+"$Cm=!$s4"</f>
        <v>#REF!</v>
      </c>
      <c r="EI58" t="e">
        <f>#REF!+"$Cm=!$s5"</f>
        <v>#REF!</v>
      </c>
      <c r="EJ58" t="e">
        <f>#REF!+"$Cm=!$s6"</f>
        <v>#REF!</v>
      </c>
      <c r="EK58" t="e">
        <f>#REF!+"$Cm=!$s7"</f>
        <v>#REF!</v>
      </c>
      <c r="EL58" t="e">
        <f>#REF!+"$Cm=!$s8"</f>
        <v>#REF!</v>
      </c>
      <c r="EM58" t="e">
        <f>#REF!+"$Cm=!$s9"</f>
        <v>#REF!</v>
      </c>
      <c r="EN58" t="e">
        <f>#REF!+"$Cm=!$s:"</f>
        <v>#REF!</v>
      </c>
      <c r="EO58" t="e">
        <f>#REF!+"$Cm=!$s;"</f>
        <v>#REF!</v>
      </c>
      <c r="EP58" t="e">
        <f>#REF!+"$Cm=!$s&lt;"</f>
        <v>#REF!</v>
      </c>
      <c r="EQ58" t="e">
        <f>#REF!+"$Cm=!$s="</f>
        <v>#REF!</v>
      </c>
      <c r="ER58" t="e">
        <f>#REF!+"$Cm=!$s&gt;"</f>
        <v>#REF!</v>
      </c>
      <c r="ES58" t="e">
        <f>#REF!+"$Cm=!$s?"</f>
        <v>#REF!</v>
      </c>
      <c r="ET58" t="e">
        <f>#REF!+"$Cm=!$s@"</f>
        <v>#REF!</v>
      </c>
      <c r="EU58" t="e">
        <f>#REF!+"$Cm=!$sA"</f>
        <v>#REF!</v>
      </c>
      <c r="EV58" t="e">
        <f>#REF!+"$Cm=!$sB"</f>
        <v>#REF!</v>
      </c>
      <c r="EW58" t="e">
        <f>#REF!+"$Cm=!$sC"</f>
        <v>#REF!</v>
      </c>
      <c r="EX58" t="e">
        <f>#REF!+"$Cm=!$sD"</f>
        <v>#REF!</v>
      </c>
      <c r="EY58" t="e">
        <f>#REF!+"$Cm=!$sE"</f>
        <v>#REF!</v>
      </c>
      <c r="EZ58" t="e">
        <f>#REF!+"$Cm=!$sF"</f>
        <v>#REF!</v>
      </c>
      <c r="FA58" t="e">
        <f>#REF!+"$Cm=!$sG"</f>
        <v>#REF!</v>
      </c>
      <c r="FB58" t="e">
        <f>#REF!+"$Cm=!$sH"</f>
        <v>#REF!</v>
      </c>
      <c r="FC58" t="e">
        <f>#REF!+"$Cm=!$sI"</f>
        <v>#REF!</v>
      </c>
      <c r="FD58" t="e">
        <f>#REF!+"$Cm=!$sJ"</f>
        <v>#REF!</v>
      </c>
      <c r="FE58" t="e">
        <f>#REF!+"$Cm=!$sK"</f>
        <v>#REF!</v>
      </c>
      <c r="FF58" t="e">
        <f>#REF!+"$Cm=!$sL"</f>
        <v>#REF!</v>
      </c>
      <c r="FG58" t="e">
        <f>#REF!+"$Cm=!$sM"</f>
        <v>#REF!</v>
      </c>
      <c r="FH58" t="e">
        <f>#REF!+"$Cm=!$sN"</f>
        <v>#REF!</v>
      </c>
      <c r="FI58" t="e">
        <f>#REF!+"$Cm=!$sO"</f>
        <v>#REF!</v>
      </c>
      <c r="FJ58" t="e">
        <f>#REF!+"$Cm=!$sP"</f>
        <v>#REF!</v>
      </c>
      <c r="FK58" t="e">
        <f>#REF!+"$Cm=!$sQ"</f>
        <v>#REF!</v>
      </c>
      <c r="FL58" t="e">
        <f>#REF!+"$Cm=!$sR"</f>
        <v>#REF!</v>
      </c>
      <c r="FM58" t="e">
        <f>#REF!+"$Cm=!$sS"</f>
        <v>#REF!</v>
      </c>
      <c r="FN58" t="e">
        <f>#REF!+"$Cm=!$sT"</f>
        <v>#REF!</v>
      </c>
      <c r="FO58" t="e">
        <f>#REF!+"$Cm=!$sU"</f>
        <v>#REF!</v>
      </c>
      <c r="FP58" t="e">
        <f>#REF!+"$Cm=!$sV"</f>
        <v>#REF!</v>
      </c>
      <c r="FQ58" t="e">
        <f>#REF!+"$Cm=!$sW"</f>
        <v>#REF!</v>
      </c>
      <c r="FR58" t="e">
        <f>#REF!+"$Cm=!$sX"</f>
        <v>#REF!</v>
      </c>
      <c r="FS58" t="e">
        <f>#REF!+"$Cm=!$sY"</f>
        <v>#REF!</v>
      </c>
      <c r="FT58" t="e">
        <f>#REF!+"$Cm=!$sZ"</f>
        <v>#REF!</v>
      </c>
      <c r="FU58" t="e">
        <f>#REF!+"$Cm=!$s["</f>
        <v>#REF!</v>
      </c>
      <c r="FV58" t="e">
        <f>#REF!+"$Cm=!$s\"</f>
        <v>#REF!</v>
      </c>
      <c r="FW58" t="e">
        <f>#REF!+"$Cm=!$s]"</f>
        <v>#REF!</v>
      </c>
      <c r="FX58" t="e">
        <f>#REF!+"$Cm=!$s^"</f>
        <v>#REF!</v>
      </c>
      <c r="FY58" t="e">
        <f>#REF!+"$Cm=!$s_"</f>
        <v>#REF!</v>
      </c>
      <c r="FZ58" t="e">
        <f>#REF!+"$Cm=!$s`"</f>
        <v>#REF!</v>
      </c>
      <c r="GA58" t="e">
        <f>#REF!+"$Cm=!$sa"</f>
        <v>#REF!</v>
      </c>
      <c r="GB58" t="e">
        <f>#REF!+"$Cm=!$sb"</f>
        <v>#REF!</v>
      </c>
      <c r="GC58" t="e">
        <f>#REF!+"$Cm=!$sc"</f>
        <v>#REF!</v>
      </c>
      <c r="GD58" t="e">
        <f>#REF!+"$Cm=!$sd"</f>
        <v>#REF!</v>
      </c>
      <c r="GE58" t="e">
        <f>#REF!+"$Cm=!$se"</f>
        <v>#REF!</v>
      </c>
      <c r="GF58" t="e">
        <f>#REF!+"$Cm=!$sf"</f>
        <v>#REF!</v>
      </c>
      <c r="GG58" t="e">
        <f>#REF!+"$Cm=!$sg"</f>
        <v>#REF!</v>
      </c>
      <c r="GH58" t="e">
        <f>#REF!+"$Cm=!$sh"</f>
        <v>#REF!</v>
      </c>
      <c r="GI58" t="e">
        <f>#REF!+"$Cm=!$si"</f>
        <v>#REF!</v>
      </c>
      <c r="GJ58" t="e">
        <f>#REF!+"$Cm=!$sj"</f>
        <v>#REF!</v>
      </c>
      <c r="GK58" t="e">
        <f>#REF!+"$Cm=!$sk"</f>
        <v>#REF!</v>
      </c>
      <c r="GL58" t="e">
        <f>#REF!+"$Cm=!$sl"</f>
        <v>#REF!</v>
      </c>
      <c r="GM58" t="e">
        <f>#REF!+"$Cm=!$sm"</f>
        <v>#REF!</v>
      </c>
      <c r="GN58" t="e">
        <f>#REF!+"$Cm=!$sn"</f>
        <v>#REF!</v>
      </c>
      <c r="GO58" t="e">
        <f>#REF!+"$Cm=!$so"</f>
        <v>#REF!</v>
      </c>
      <c r="GP58" t="e">
        <f>#REF!+"$Cm=!$sp"</f>
        <v>#REF!</v>
      </c>
      <c r="GQ58" t="e">
        <f>#REF!+"$Cm=!$sq"</f>
        <v>#REF!</v>
      </c>
      <c r="GR58" t="e">
        <f>#REF!+"$Cm=!$sr"</f>
        <v>#REF!</v>
      </c>
      <c r="GS58" t="e">
        <f>#REF!+"$Cm=!$ss"</f>
        <v>#REF!</v>
      </c>
      <c r="GT58" t="e">
        <f>#REF!+"$Cm=!$st"</f>
        <v>#REF!</v>
      </c>
      <c r="GU58" t="e">
        <f>#REF!+"$Cm=!$su"</f>
        <v>#REF!</v>
      </c>
      <c r="GV58" t="e">
        <f>#REF!+"$Cm=!$sv"</f>
        <v>#REF!</v>
      </c>
      <c r="GW58" t="e">
        <f>#REF!+"$Cm=!$sw"</f>
        <v>#REF!</v>
      </c>
      <c r="GX58" t="e">
        <f>#REF!+"$Cm=!$sx"</f>
        <v>#REF!</v>
      </c>
      <c r="GY58" t="e">
        <f>#REF!+"$Cm=!$sy"</f>
        <v>#REF!</v>
      </c>
      <c r="GZ58" t="e">
        <f>#REF!+"$Cm=!$sz"</f>
        <v>#REF!</v>
      </c>
      <c r="HA58" t="e">
        <f>#REF!+"$Cm=!$s{"</f>
        <v>#REF!</v>
      </c>
      <c r="HB58" t="e">
        <f>#REF!+"$Cm=!$s|"</f>
        <v>#REF!</v>
      </c>
      <c r="HC58" t="e">
        <f>#REF!+"$Cm=!$s}"</f>
        <v>#REF!</v>
      </c>
      <c r="HD58" t="e">
        <f>#REF!+"$Cm=!$s~"</f>
        <v>#REF!</v>
      </c>
      <c r="HE58" t="e">
        <f>#REF!+"$Cm=!$t#"</f>
        <v>#REF!</v>
      </c>
      <c r="HF58" t="e">
        <f>#REF!+"$Cm=!$t$"</f>
        <v>#REF!</v>
      </c>
      <c r="HG58" t="e">
        <f>#REF!+"$Cm=!$t%"</f>
        <v>#REF!</v>
      </c>
      <c r="HH58" t="e">
        <f>#REF!+"$Cm=!$t&amp;"</f>
        <v>#REF!</v>
      </c>
      <c r="HI58" t="e">
        <f>#REF!+"$Cm=!$t'"</f>
        <v>#REF!</v>
      </c>
      <c r="HJ58" t="e">
        <f>#REF!+"$Cm=!$t("</f>
        <v>#REF!</v>
      </c>
      <c r="HK58" t="e">
        <f>#REF!+"$Cm=!$t)"</f>
        <v>#REF!</v>
      </c>
      <c r="HL58" t="e">
        <f>#REF!+"$Cm=!$t."</f>
        <v>#REF!</v>
      </c>
      <c r="HM58" t="e">
        <f>#REF!+"$Cm=!$t/"</f>
        <v>#REF!</v>
      </c>
      <c r="HN58" t="e">
        <f>#REF!+"$Cm=!$t0"</f>
        <v>#REF!</v>
      </c>
      <c r="HO58" t="e">
        <f>#REF!+"$Cm=!$t1"</f>
        <v>#REF!</v>
      </c>
      <c r="HP58" t="e">
        <f>#REF!+"$Cm=!$t2"</f>
        <v>#REF!</v>
      </c>
      <c r="HQ58" t="e">
        <f>#REF!+"$Cm=!$t3"</f>
        <v>#REF!</v>
      </c>
      <c r="HR58" t="e">
        <f>#REF!+"$Cm=!$t4"</f>
        <v>#REF!</v>
      </c>
      <c r="HS58" t="e">
        <f>#REF!+"$Cm=!$t5"</f>
        <v>#REF!</v>
      </c>
      <c r="HT58" t="e">
        <f>#REF!+"$Cm=!$t6"</f>
        <v>#REF!</v>
      </c>
      <c r="HU58" t="e">
        <f>#REF!+"$Cm=!$t7"</f>
        <v>#REF!</v>
      </c>
      <c r="HV58" t="e">
        <f>#REF!+"$Cm=!$t8"</f>
        <v>#REF!</v>
      </c>
      <c r="HW58" t="e">
        <f>#REF!+"$Cm=!$t9"</f>
        <v>#REF!</v>
      </c>
      <c r="HX58" t="e">
        <f>#REF!+"$Cm=!$t:"</f>
        <v>#REF!</v>
      </c>
      <c r="HY58" t="e">
        <f>#REF!+"$Cm=!$t;"</f>
        <v>#REF!</v>
      </c>
      <c r="HZ58" t="e">
        <f>#REF!+"$Cm=!$t&lt;"</f>
        <v>#REF!</v>
      </c>
      <c r="IA58" t="e">
        <f>#REF!+"$Cm=!$t="</f>
        <v>#REF!</v>
      </c>
      <c r="IB58" t="e">
        <f>#REF!+"$Cm=!$t&gt;"</f>
        <v>#REF!</v>
      </c>
      <c r="IC58" t="e">
        <f>#REF!+"$Cm=!$t?"</f>
        <v>#REF!</v>
      </c>
      <c r="ID58" t="e">
        <f>#REF!+"$Cm=!$t@"</f>
        <v>#REF!</v>
      </c>
      <c r="IE58" t="e">
        <f>#REF!+"$Cm=!$tA"</f>
        <v>#REF!</v>
      </c>
      <c r="IF58" t="e">
        <f>#REF!+"$Cm=!$tB"</f>
        <v>#REF!</v>
      </c>
      <c r="IG58" t="e">
        <f>#REF!+"$Cm=!$tC"</f>
        <v>#REF!</v>
      </c>
      <c r="IH58" t="e">
        <f>#REF!+"$Cm=!$tD"</f>
        <v>#REF!</v>
      </c>
      <c r="II58" t="e">
        <f>#REF!+"$Cm=!$tE"</f>
        <v>#REF!</v>
      </c>
      <c r="IJ58" t="e">
        <f>#REF!+"$Cm=!$tF"</f>
        <v>#REF!</v>
      </c>
      <c r="IK58" t="e">
        <f>#REF!+"$Cm=!$tG"</f>
        <v>#REF!</v>
      </c>
      <c r="IL58" t="e">
        <f>#REF!+"$Cm=!$tH"</f>
        <v>#REF!</v>
      </c>
      <c r="IM58" t="e">
        <f>#REF!+"$Cm=!$tI"</f>
        <v>#REF!</v>
      </c>
      <c r="IN58" t="e">
        <f>#REF!+"$Cm=!$tJ"</f>
        <v>#REF!</v>
      </c>
      <c r="IO58" t="e">
        <f>#REF!+"$Cm=!$tK"</f>
        <v>#REF!</v>
      </c>
      <c r="IP58" t="e">
        <f>#REF!+"$Cm=!$tL"</f>
        <v>#REF!</v>
      </c>
      <c r="IQ58" t="e">
        <f>#REF!+"$Cm=!$tM"</f>
        <v>#REF!</v>
      </c>
      <c r="IR58" t="e">
        <f>#REF!+"$Cm=!$tN"</f>
        <v>#REF!</v>
      </c>
      <c r="IS58" t="e">
        <f>#REF!+"$Cm=!$tO"</f>
        <v>#REF!</v>
      </c>
      <c r="IT58" t="e">
        <f>#REF!+"$Cm=!$tP"</f>
        <v>#REF!</v>
      </c>
      <c r="IU58" t="e">
        <f>#REF!+"$Cm=!$tQ"</f>
        <v>#REF!</v>
      </c>
      <c r="IV58" t="e">
        <f>#REF!+"$Cm=!$tR"</f>
        <v>#REF!</v>
      </c>
    </row>
    <row r="59" spans="6:256">
      <c r="F59" t="e">
        <f>#REF!+"$Cm=!$tS"</f>
        <v>#REF!</v>
      </c>
      <c r="G59" t="e">
        <f>#REF!+"$Cm=!$tT"</f>
        <v>#REF!</v>
      </c>
      <c r="H59" t="e">
        <f>#REF!+"$Cm=!$tU"</f>
        <v>#REF!</v>
      </c>
      <c r="I59" t="e">
        <f>#REF!+"$Cm=!$tV"</f>
        <v>#REF!</v>
      </c>
      <c r="J59" t="e">
        <f>#REF!+"$Cm=!$tW"</f>
        <v>#REF!</v>
      </c>
      <c r="K59" t="e">
        <f>#REF!+"$Cm=!$tX"</f>
        <v>#REF!</v>
      </c>
      <c r="L59" t="e">
        <f>#REF!+"$Cm=!$tY"</f>
        <v>#REF!</v>
      </c>
      <c r="M59" t="e">
        <f>#REF!+"$Cm=!$tZ"</f>
        <v>#REF!</v>
      </c>
      <c r="N59" t="e">
        <f>#REF!+"$Cm=!$t["</f>
        <v>#REF!</v>
      </c>
      <c r="O59" t="e">
        <f>#REF!+"$Cm=!$t\"</f>
        <v>#REF!</v>
      </c>
      <c r="P59" t="e">
        <f>#REF!+"$Cm=!$t]"</f>
        <v>#REF!</v>
      </c>
      <c r="Q59" t="e">
        <f>#REF!+"$Cm=!$t^"</f>
        <v>#REF!</v>
      </c>
      <c r="R59" t="e">
        <f>#REF!+"$Cm=!$t_"</f>
        <v>#REF!</v>
      </c>
      <c r="S59" t="e">
        <f>#REF!+"$Cm=!$t`"</f>
        <v>#REF!</v>
      </c>
      <c r="T59" t="e">
        <f>#REF!+"$Cm=!$ta"</f>
        <v>#REF!</v>
      </c>
      <c r="U59" t="e">
        <f>#REF!+"$Cm=!$tb"</f>
        <v>#REF!</v>
      </c>
      <c r="V59" t="e">
        <f>#REF!+"$Cm=!$tc"</f>
        <v>#REF!</v>
      </c>
      <c r="W59" t="e">
        <f>#REF!+"$Cm=!$td"</f>
        <v>#REF!</v>
      </c>
      <c r="X59" t="e">
        <f>#REF!+"$Cm=!$te"</f>
        <v>#REF!</v>
      </c>
      <c r="Y59" t="e">
        <f>#REF!+"$Cm=!$tf"</f>
        <v>#REF!</v>
      </c>
      <c r="Z59" t="e">
        <f>#REF!+"$Cm=!$tg"</f>
        <v>#REF!</v>
      </c>
      <c r="AA59" t="e">
        <f>#REF!+"$Cm=!$th"</f>
        <v>#REF!</v>
      </c>
      <c r="AB59" t="e">
        <f>#REF!+"$Cm=!$ti"</f>
        <v>#REF!</v>
      </c>
      <c r="AC59" t="e">
        <f>#REF!+"$Cm=!$tj"</f>
        <v>#REF!</v>
      </c>
      <c r="AD59" t="e">
        <f>#REF!+"$Cm=!$tk"</f>
        <v>#REF!</v>
      </c>
      <c r="AE59" t="e">
        <f>#REF!+"$Cm=!$tl"</f>
        <v>#REF!</v>
      </c>
      <c r="AF59" t="e">
        <f>#REF!+"$Cm=!$tm"</f>
        <v>#REF!</v>
      </c>
      <c r="AG59" t="e">
        <f>#REF!+"$Cm=!$tn"</f>
        <v>#REF!</v>
      </c>
      <c r="AH59" t="e">
        <f>#REF!+"$Cm=!$to"</f>
        <v>#REF!</v>
      </c>
      <c r="AI59" t="e">
        <f>#REF!+"$Cm=!$tp"</f>
        <v>#REF!</v>
      </c>
      <c r="AJ59" t="e">
        <f>#REF!+"$Cm=!$tq"</f>
        <v>#REF!</v>
      </c>
      <c r="AK59" t="e">
        <f>#REF!+"$Cm=!$tr"</f>
        <v>#REF!</v>
      </c>
      <c r="AL59" t="e">
        <f>#REF!+"$Cm=!$ts"</f>
        <v>#REF!</v>
      </c>
      <c r="AM59" t="e">
        <f>#REF!+"$Cm=!$tt"</f>
        <v>#REF!</v>
      </c>
      <c r="AN59" t="e">
        <f>#REF!+"$Cm=!$tu"</f>
        <v>#REF!</v>
      </c>
      <c r="AO59" t="e">
        <f>#REF!+"$Cm=!$tv"</f>
        <v>#REF!</v>
      </c>
      <c r="AP59" t="e">
        <f>#REF!+"$Cm=!$tw"</f>
        <v>#REF!</v>
      </c>
      <c r="AQ59" t="e">
        <f>#REF!+"$Cm=!$tx"</f>
        <v>#REF!</v>
      </c>
      <c r="AR59" t="e">
        <f>#REF!+"$Cm=!$ty"</f>
        <v>#REF!</v>
      </c>
      <c r="AS59" t="e">
        <f>#REF!+"$Cm=!$tz"</f>
        <v>#REF!</v>
      </c>
      <c r="AT59" t="e">
        <f>#REF!+"$Cm=!$t{"</f>
        <v>#REF!</v>
      </c>
      <c r="AU59" t="e">
        <f>#REF!+"$Cm=!$t|"</f>
        <v>#REF!</v>
      </c>
      <c r="AV59" t="e">
        <f>#REF!+"$Cm=!$t}"</f>
        <v>#REF!</v>
      </c>
      <c r="AW59" t="e">
        <f>#REF!+"$Cm=!$t~"</f>
        <v>#REF!</v>
      </c>
      <c r="AX59" t="e">
        <f>#REF!+"$Cm=!$u#"</f>
        <v>#REF!</v>
      </c>
      <c r="AY59" t="e">
        <f>#REF!+"$Cm=!$u$"</f>
        <v>#REF!</v>
      </c>
      <c r="AZ59" t="e">
        <f>#REF!+"$Cm=!$u%"</f>
        <v>#REF!</v>
      </c>
      <c r="BA59" t="e">
        <f>#REF!+"$Cm=!$u&amp;"</f>
        <v>#REF!</v>
      </c>
      <c r="BB59" t="e">
        <f>#REF!+"$Cm=!$u'"</f>
        <v>#REF!</v>
      </c>
      <c r="BC59" t="e">
        <f>#REF!+"$Cm=!$u("</f>
        <v>#REF!</v>
      </c>
      <c r="BD59" t="e">
        <f>#REF!+"$Cm=!$u)"</f>
        <v>#REF!</v>
      </c>
      <c r="BE59" t="e">
        <f>#REF!+"$Cm=!$u."</f>
        <v>#REF!</v>
      </c>
      <c r="BF59" t="e">
        <f>#REF!+"$Cm=!$u/"</f>
        <v>#REF!</v>
      </c>
      <c r="BG59" t="e">
        <f>#REF!+"$Cm=!$u0"</f>
        <v>#REF!</v>
      </c>
      <c r="BH59" t="e">
        <f>#REF!+"$Cm=!$u1"</f>
        <v>#REF!</v>
      </c>
      <c r="BI59" t="e">
        <f>#REF!+"$Cm=!$u2"</f>
        <v>#REF!</v>
      </c>
      <c r="BJ59" t="e">
        <f>#REF!+"$Cm=!$u3"</f>
        <v>#REF!</v>
      </c>
      <c r="BK59" t="e">
        <f>#REF!+"$Cm=!$u4"</f>
        <v>#REF!</v>
      </c>
      <c r="BL59" t="e">
        <f>#REF!+"$Cm=!$u5"</f>
        <v>#REF!</v>
      </c>
      <c r="BM59" t="e">
        <f>#REF!+"$Cm=!$u6"</f>
        <v>#REF!</v>
      </c>
      <c r="BN59" t="e">
        <f>#REF!+"$Cm=!$u7"</f>
        <v>#REF!</v>
      </c>
      <c r="BO59" t="e">
        <f>#REF!+"$Cm=!$u8"</f>
        <v>#REF!</v>
      </c>
      <c r="BP59" t="e">
        <f>#REF!+"$Cm=!$u9"</f>
        <v>#REF!</v>
      </c>
      <c r="BQ59" t="e">
        <f>#REF!+"$Cm=!$u:"</f>
        <v>#REF!</v>
      </c>
      <c r="BR59" t="e">
        <f>#REF!+"$Cm=!$u;"</f>
        <v>#REF!</v>
      </c>
      <c r="BS59" t="e">
        <f>#REF!+"$Cm=!$u&lt;"</f>
        <v>#REF!</v>
      </c>
      <c r="BT59" t="e">
        <f>#REF!+"$Cm=!$u="</f>
        <v>#REF!</v>
      </c>
      <c r="BU59" t="e">
        <f>#REF!+"$Cm=!$u&gt;"</f>
        <v>#REF!</v>
      </c>
      <c r="BV59" t="e">
        <f>#REF!+"$Cm=!$u?"</f>
        <v>#REF!</v>
      </c>
      <c r="BW59" t="e">
        <f>#REF!+"$Cm=!$u@"</f>
        <v>#REF!</v>
      </c>
      <c r="BX59" t="e">
        <f>#REF!+"$Cm=!$uA"</f>
        <v>#REF!</v>
      </c>
      <c r="BY59" t="e">
        <f>#REF!+"$Cm=!$uB"</f>
        <v>#REF!</v>
      </c>
      <c r="BZ59" t="e">
        <f>#REF!+"$Cm=!$uC"</f>
        <v>#REF!</v>
      </c>
      <c r="CA59" t="e">
        <f>#REF!+"$Cm=!$uD"</f>
        <v>#REF!</v>
      </c>
      <c r="CB59" t="e">
        <f>#REF!+"$Cm=!$uE"</f>
        <v>#REF!</v>
      </c>
      <c r="CC59" t="e">
        <f>#REF!+"$Cm=!$uF"</f>
        <v>#REF!</v>
      </c>
      <c r="CD59" t="e">
        <f>#REF!+"$Cm=!$uG"</f>
        <v>#REF!</v>
      </c>
      <c r="CE59" t="e">
        <f>#REF!+"$Cm=!$uH"</f>
        <v>#REF!</v>
      </c>
      <c r="CF59" t="e">
        <f>#REF!+"$Cm=!$uI"</f>
        <v>#REF!</v>
      </c>
      <c r="CG59" t="e">
        <f>#REF!+"$Cm=!$uJ"</f>
        <v>#REF!</v>
      </c>
      <c r="CH59" t="e">
        <f>#REF!+"$Cm=!$uK"</f>
        <v>#REF!</v>
      </c>
      <c r="CI59" t="e">
        <f>#REF!+"$Cm=!$uL"</f>
        <v>#REF!</v>
      </c>
      <c r="CJ59" t="e">
        <f>#REF!+"$Cm=!$uM"</f>
        <v>#REF!</v>
      </c>
      <c r="CK59" t="e">
        <f>#REF!+"$Cm=!$uN"</f>
        <v>#REF!</v>
      </c>
      <c r="CL59" t="e">
        <f>#REF!+"$Cm=!$uO"</f>
        <v>#REF!</v>
      </c>
      <c r="CM59" t="e">
        <f>#REF!+"$Cm=!$uP"</f>
        <v>#REF!</v>
      </c>
      <c r="CN59" t="e">
        <f>#REF!+"$Cm=!$uQ"</f>
        <v>#REF!</v>
      </c>
      <c r="CO59" t="e">
        <f>#REF!+"$Cm=!$uR"</f>
        <v>#REF!</v>
      </c>
      <c r="CP59" t="e">
        <f>#REF!+"$Cm=!$uS"</f>
        <v>#REF!</v>
      </c>
      <c r="CQ59" t="e">
        <f>#REF!+"$Cm=!$uT"</f>
        <v>#REF!</v>
      </c>
      <c r="CR59" t="e">
        <f>#REF!+"$Cm=!$uU"</f>
        <v>#REF!</v>
      </c>
      <c r="CS59" t="e">
        <f>#REF!+"$Cm=!$uV"</f>
        <v>#REF!</v>
      </c>
      <c r="CT59" t="e">
        <f>#REF!+"$Cm=!$uW"</f>
        <v>#REF!</v>
      </c>
      <c r="CU59" t="e">
        <f>#REF!+"$Cm=!$uX"</f>
        <v>#REF!</v>
      </c>
      <c r="CV59" t="e">
        <f>#REF!+"$Cm=!$uY"</f>
        <v>#REF!</v>
      </c>
      <c r="CW59" t="e">
        <f>#REF!+"$Cm=!$uZ"</f>
        <v>#REF!</v>
      </c>
      <c r="CX59" t="e">
        <f>#REF!+"$Cm=!$u["</f>
        <v>#REF!</v>
      </c>
      <c r="CY59" t="e">
        <f>#REF!+"$Cm=!$u\"</f>
        <v>#REF!</v>
      </c>
      <c r="CZ59" t="e">
        <f>#REF!+"$Cm=!$u]"</f>
        <v>#REF!</v>
      </c>
      <c r="DA59" t="e">
        <f>#REF!+"$Cm=!$u^"</f>
        <v>#REF!</v>
      </c>
      <c r="DB59" t="e">
        <f>#REF!+"$Cm=!$u_"</f>
        <v>#REF!</v>
      </c>
      <c r="DC59" t="e">
        <f>#REF!+"$Cm=!$u`"</f>
        <v>#REF!</v>
      </c>
      <c r="DD59" t="e">
        <f>#REF!+"$Cm=!$ua"</f>
        <v>#REF!</v>
      </c>
      <c r="DE59" t="e">
        <f>#REF!+"$Cm=!$ub"</f>
        <v>#REF!</v>
      </c>
      <c r="DF59" t="e">
        <f>#REF!+"$Cm=!$uc"</f>
        <v>#REF!</v>
      </c>
      <c r="DG59" t="e">
        <f>#REF!+"$Cm=!$ud"</f>
        <v>#REF!</v>
      </c>
      <c r="DH59" t="e">
        <f>#REF!+"$Cm=!$ue"</f>
        <v>#REF!</v>
      </c>
      <c r="DI59" t="e">
        <f>#REF!+"$Cm=!$uf"</f>
        <v>#REF!</v>
      </c>
      <c r="DJ59" t="e">
        <f>#REF!+"$Cm=!$ug"</f>
        <v>#REF!</v>
      </c>
      <c r="DK59" t="e">
        <f>#REF!+"$Cm=!$uh"</f>
        <v>#REF!</v>
      </c>
      <c r="DL59" t="e">
        <f>#REF!+"$Cm=!$ui"</f>
        <v>#REF!</v>
      </c>
      <c r="DM59" t="e">
        <f>#REF!+"$Cm=!$uj"</f>
        <v>#REF!</v>
      </c>
      <c r="DN59" t="e">
        <f>#REF!+"$Cm=!$uk"</f>
        <v>#REF!</v>
      </c>
      <c r="DO59" t="e">
        <f>#REF!+"$Cm=!$ul"</f>
        <v>#REF!</v>
      </c>
      <c r="DP59" t="e">
        <f>#REF!+"$Cm=!$um"</f>
        <v>#REF!</v>
      </c>
      <c r="DQ59" t="e">
        <f>#REF!+"$Cm=!$un"</f>
        <v>#REF!</v>
      </c>
      <c r="DR59" t="e">
        <f>#REF!+"$Cm=!$uo"</f>
        <v>#REF!</v>
      </c>
      <c r="DS59" t="e">
        <f>#REF!+"$Cm=!$up"</f>
        <v>#REF!</v>
      </c>
      <c r="DT59" t="e">
        <f>#REF!+"$Cm=!$uq"</f>
        <v>#REF!</v>
      </c>
      <c r="DU59" t="e">
        <f>#REF!+"$Cm=!$ur"</f>
        <v>#REF!</v>
      </c>
      <c r="DV59" t="e">
        <f>#REF!+"$Cm=!$us"</f>
        <v>#REF!</v>
      </c>
      <c r="DW59" t="e">
        <f>#REF!+"$Cm=!$ut"</f>
        <v>#REF!</v>
      </c>
      <c r="DX59" t="e">
        <f>#REF!+"$Cm=!$uu"</f>
        <v>#REF!</v>
      </c>
      <c r="DY59" t="e">
        <f>#REF!+"$Cm=!$uv"</f>
        <v>#REF!</v>
      </c>
      <c r="DZ59" t="e">
        <f>#REF!+"$Cm=!$uw"</f>
        <v>#REF!</v>
      </c>
      <c r="EA59" t="e">
        <f>#REF!+"$Cm=!$ux"</f>
        <v>#REF!</v>
      </c>
      <c r="EB59" t="e">
        <f>#REF!+"$Cm=!$uy"</f>
        <v>#REF!</v>
      </c>
      <c r="EC59" t="e">
        <f>#REF!+"$Cm=!$uz"</f>
        <v>#REF!</v>
      </c>
      <c r="ED59" t="e">
        <f>#REF!+"$Cm=!$u{"</f>
        <v>#REF!</v>
      </c>
      <c r="EE59" t="e">
        <f>#REF!+"$Cm=!$u|"</f>
        <v>#REF!</v>
      </c>
      <c r="EF59" t="e">
        <f>#REF!+"$Cm=!$u}"</f>
        <v>#REF!</v>
      </c>
      <c r="EG59" t="e">
        <f>#REF!+"$Cm=!$u~"</f>
        <v>#REF!</v>
      </c>
      <c r="EH59" t="e">
        <f>#REF!+"$Cm=!$v#"</f>
        <v>#REF!</v>
      </c>
      <c r="EI59" t="e">
        <f>#REF!+"$Cm=!$v$"</f>
        <v>#REF!</v>
      </c>
      <c r="EJ59" t="e">
        <f>#REF!+"$Cm=!$v%"</f>
        <v>#REF!</v>
      </c>
      <c r="EK59" t="e">
        <f>#REF!+"$Cm=!$v&amp;"</f>
        <v>#REF!</v>
      </c>
      <c r="EL59" t="e">
        <f>#REF!+"$Cm=!$v'"</f>
        <v>#REF!</v>
      </c>
      <c r="EM59" t="e">
        <f>#REF!+"$Cm=!$v("</f>
        <v>#REF!</v>
      </c>
      <c r="EN59" t="e">
        <f>#REF!+"$Cm=!$v)"</f>
        <v>#REF!</v>
      </c>
      <c r="EO59" t="e">
        <f>#REF!+"$Cm=!$v."</f>
        <v>#REF!</v>
      </c>
      <c r="EP59" t="e">
        <f>#REF!+"$Cm=!$v/"</f>
        <v>#REF!</v>
      </c>
      <c r="EQ59" t="e">
        <f>#REF!+"$Cm=!$v0"</f>
        <v>#REF!</v>
      </c>
      <c r="ER59" t="e">
        <f>#REF!+"$Cm=!$v1"</f>
        <v>#REF!</v>
      </c>
      <c r="ES59" t="e">
        <f>#REF!+"$Cm=!$v2"</f>
        <v>#REF!</v>
      </c>
      <c r="ET59" t="e">
        <f>#REF!+"$Cm=!$v3"</f>
        <v>#REF!</v>
      </c>
      <c r="EU59" t="e">
        <f>#REF!+"$Cm=!$v4"</f>
        <v>#REF!</v>
      </c>
      <c r="EV59" t="e">
        <f>#REF!+"$Cm=!$v5"</f>
        <v>#REF!</v>
      </c>
      <c r="EW59" t="e">
        <f>#REF!+"$Cm=!$v6"</f>
        <v>#REF!</v>
      </c>
      <c r="EX59" t="e">
        <f>#REF!+"$Cm=!$v7"</f>
        <v>#REF!</v>
      </c>
      <c r="EY59" t="e">
        <f>#REF!+"$Cm=!$v8"</f>
        <v>#REF!</v>
      </c>
      <c r="EZ59" t="e">
        <f>#REF!+"$Cm=!$v9"</f>
        <v>#REF!</v>
      </c>
      <c r="FA59" t="e">
        <f>#REF!+"$Cm=!$v:"</f>
        <v>#REF!</v>
      </c>
      <c r="FB59" t="e">
        <f>#REF!+"$Cm=!$v;"</f>
        <v>#REF!</v>
      </c>
      <c r="FC59" t="e">
        <f>#REF!+"$Cm=!$v&lt;"</f>
        <v>#REF!</v>
      </c>
      <c r="FD59" t="e">
        <f>#REF!+"$Cm=!$v="</f>
        <v>#REF!</v>
      </c>
      <c r="FE59" t="e">
        <f>#REF!+"$Cm=!$v&gt;"</f>
        <v>#REF!</v>
      </c>
      <c r="FF59" t="e">
        <f>#REF!+"$Cm=!$v?"</f>
        <v>#REF!</v>
      </c>
      <c r="FG59" t="e">
        <f>#REF!+"$Cm=!$v@"</f>
        <v>#REF!</v>
      </c>
      <c r="FH59" t="e">
        <f>#REF!+"$Cm=!$vA"</f>
        <v>#REF!</v>
      </c>
      <c r="FI59" t="e">
        <f>#REF!+"$Cm=!$vB"</f>
        <v>#REF!</v>
      </c>
      <c r="FJ59" t="e">
        <f>#REF!+"$Cm=!$vC"</f>
        <v>#REF!</v>
      </c>
      <c r="FK59" t="e">
        <f>#REF!+"$Cm=!$vD"</f>
        <v>#REF!</v>
      </c>
      <c r="FL59" t="e">
        <f>#REF!+"$Cm=!$vE"</f>
        <v>#REF!</v>
      </c>
      <c r="FM59" t="e">
        <f>#REF!+"$Cm=!$vF"</f>
        <v>#REF!</v>
      </c>
      <c r="FN59" t="e">
        <f>#REF!+"$Cm=!$vG"</f>
        <v>#REF!</v>
      </c>
      <c r="FO59" t="e">
        <f>#REF!+"$Cm=!$vH"</f>
        <v>#REF!</v>
      </c>
      <c r="FP59" t="e">
        <f>#REF!+"$Cm=!$vI"</f>
        <v>#REF!</v>
      </c>
      <c r="FQ59" t="e">
        <f>#REF!+"$Cm=!$vJ"</f>
        <v>#REF!</v>
      </c>
      <c r="FR59" t="e">
        <f>#REF!+"$Cm=!$vK"</f>
        <v>#REF!</v>
      </c>
      <c r="FS59" t="e">
        <f>#REF!+"$Cm=!$vL"</f>
        <v>#REF!</v>
      </c>
      <c r="FT59" t="e">
        <f>#REF!+"$Cm=!$vM"</f>
        <v>#REF!</v>
      </c>
      <c r="FU59" t="e">
        <f>#REF!+"$Cm=!$vN"</f>
        <v>#REF!</v>
      </c>
      <c r="FV59" t="e">
        <f>#REF!+"$Cm=!$vO"</f>
        <v>#REF!</v>
      </c>
      <c r="FW59" t="e">
        <f>#REF!+"$Cm=!$vP"</f>
        <v>#REF!</v>
      </c>
      <c r="FX59" t="e">
        <f>#REF!+"$Cm=!$vQ"</f>
        <v>#REF!</v>
      </c>
      <c r="FY59" t="e">
        <f>#REF!+"$Cm=!$vR"</f>
        <v>#REF!</v>
      </c>
      <c r="FZ59" t="e">
        <f>#REF!+"$Cm=!$vS"</f>
        <v>#REF!</v>
      </c>
      <c r="GA59" t="e">
        <f>#REF!+"$Cm=!$vT"</f>
        <v>#REF!</v>
      </c>
      <c r="GB59" t="e">
        <f>#REF!+"$Cm=!$vU"</f>
        <v>#REF!</v>
      </c>
      <c r="GC59" t="e">
        <f>#REF!+"$Cm=!$vV"</f>
        <v>#REF!</v>
      </c>
      <c r="GD59" t="e">
        <f>#REF!+"$Cm=!$vW"</f>
        <v>#REF!</v>
      </c>
      <c r="GE59" t="e">
        <f>#REF!+"$Cm=!$vX"</f>
        <v>#REF!</v>
      </c>
      <c r="GF59" t="e">
        <f>#REF!+"$Cm=!$vY"</f>
        <v>#REF!</v>
      </c>
      <c r="GG59" t="e">
        <f>#REF!+"$Cm=!$vZ"</f>
        <v>#REF!</v>
      </c>
      <c r="GH59" t="e">
        <f>#REF!+"$Cm=!$v["</f>
        <v>#REF!</v>
      </c>
      <c r="GI59" t="e">
        <f>#REF!+"$Cm=!$v\"</f>
        <v>#REF!</v>
      </c>
      <c r="GJ59" t="e">
        <f>#REF!+"$Cm=!$v]"</f>
        <v>#REF!</v>
      </c>
      <c r="GK59" t="e">
        <f>#REF!+"$Cm=!$v^"</f>
        <v>#REF!</v>
      </c>
      <c r="GL59" t="e">
        <f>#REF!+"$Cm=!$v_"</f>
        <v>#REF!</v>
      </c>
      <c r="GM59" t="e">
        <f>#REF!+"$Cm=!$v`"</f>
        <v>#REF!</v>
      </c>
      <c r="GN59" t="e">
        <f>#REF!+"$Cm=!$va"</f>
        <v>#REF!</v>
      </c>
      <c r="GO59" t="e">
        <f>#REF!+"$Cm=!$vb"</f>
        <v>#REF!</v>
      </c>
      <c r="GP59" t="e">
        <f>#REF!+"$Cm=!$vc"</f>
        <v>#REF!</v>
      </c>
      <c r="GQ59" t="e">
        <f>#REF!+"$Cm=!$vd"</f>
        <v>#REF!</v>
      </c>
      <c r="GR59" t="e">
        <f>#REF!+"$Cm=!$ve"</f>
        <v>#REF!</v>
      </c>
      <c r="GS59" t="e">
        <f>#REF!+"$Cm=!$vf"</f>
        <v>#REF!</v>
      </c>
      <c r="GT59" t="e">
        <f>#REF!+"$Cm=!$vg"</f>
        <v>#REF!</v>
      </c>
      <c r="GU59" t="e">
        <f>#REF!+"$Cm=!$vh"</f>
        <v>#REF!</v>
      </c>
      <c r="GV59" t="e">
        <f>#REF!+"$Cm=!$vi"</f>
        <v>#REF!</v>
      </c>
      <c r="GW59" t="e">
        <f>#REF!+"$Cm=!$vj"</f>
        <v>#REF!</v>
      </c>
      <c r="GX59" t="e">
        <f>#REF!+"$Cm=!$vk"</f>
        <v>#REF!</v>
      </c>
      <c r="GY59" t="e">
        <f>#REF!+"$Cm=!$vl"</f>
        <v>#REF!</v>
      </c>
      <c r="GZ59" t="e">
        <f>#REF!+"$Cm=!$vm"</f>
        <v>#REF!</v>
      </c>
      <c r="HA59" t="e">
        <f>#REF!+"$Cm=!$vn"</f>
        <v>#REF!</v>
      </c>
      <c r="HB59" t="e">
        <f>#REF!+"$Cm=!$vo"</f>
        <v>#REF!</v>
      </c>
      <c r="HC59" t="e">
        <f>#REF!+"$Cm=!$vp"</f>
        <v>#REF!</v>
      </c>
      <c r="HD59" t="e">
        <f>#REF!+"$Cm=!$vq"</f>
        <v>#REF!</v>
      </c>
      <c r="HE59" t="e">
        <f>#REF!+"$Cm=!$vr"</f>
        <v>#REF!</v>
      </c>
      <c r="HF59" t="e">
        <f>#REF!+"$Cm=!$vs"</f>
        <v>#REF!</v>
      </c>
      <c r="HG59" t="e">
        <f>#REF!+"$Cm=!$vt"</f>
        <v>#REF!</v>
      </c>
      <c r="HH59" t="e">
        <f>#REF!+"$Cm=!$vu"</f>
        <v>#REF!</v>
      </c>
      <c r="HI59" t="e">
        <f>#REF!+"$Cm=!$vv"</f>
        <v>#REF!</v>
      </c>
      <c r="HJ59" t="e">
        <f>#REF!+"$Cm=!$vw"</f>
        <v>#REF!</v>
      </c>
      <c r="HK59" t="e">
        <f>#REF!+"$Cm=!$vx"</f>
        <v>#REF!</v>
      </c>
      <c r="HL59" t="e">
        <f>#REF!+"$Cm=!$vy"</f>
        <v>#REF!</v>
      </c>
      <c r="HM59" t="e">
        <f>#REF!+"$Cm=!$vz"</f>
        <v>#REF!</v>
      </c>
      <c r="HN59" t="e">
        <f>#REF!+"$Cm=!$v{"</f>
        <v>#REF!</v>
      </c>
      <c r="HO59" t="e">
        <f>#REF!+"$Cm=!$v|"</f>
        <v>#REF!</v>
      </c>
      <c r="HP59" t="e">
        <f>#REF!+"$Cm=!$v}"</f>
        <v>#REF!</v>
      </c>
      <c r="HQ59" t="e">
        <f>#REF!+"$Cm=!$v~"</f>
        <v>#REF!</v>
      </c>
      <c r="HR59" t="e">
        <f>#REF!+"$Cm=!$w#"</f>
        <v>#REF!</v>
      </c>
      <c r="HS59" t="e">
        <f>#REF!+"$Cm=!$w$"</f>
        <v>#REF!</v>
      </c>
      <c r="HT59" t="e">
        <f>#REF!+"$Cm=!$w%"</f>
        <v>#REF!</v>
      </c>
      <c r="HU59" t="e">
        <f>#REF!+"$Cm=!$w&amp;"</f>
        <v>#REF!</v>
      </c>
      <c r="HV59" t="e">
        <f>#REF!+"$Cm=!$w'"</f>
        <v>#REF!</v>
      </c>
      <c r="HW59" t="e">
        <f>#REF!+"$Cm=!$w("</f>
        <v>#REF!</v>
      </c>
      <c r="HX59" t="e">
        <f>#REF!+"$Cm=!$w)"</f>
        <v>#REF!</v>
      </c>
      <c r="HY59" t="e">
        <f>#REF!+"$Cm=!$w."</f>
        <v>#REF!</v>
      </c>
      <c r="HZ59" t="e">
        <f>#REF!+"$Cm=!$w/"</f>
        <v>#REF!</v>
      </c>
      <c r="IA59" t="e">
        <f>#REF!+"$Cm=!$w0"</f>
        <v>#REF!</v>
      </c>
      <c r="IB59" t="e">
        <f>#REF!+"$Cm=!$w1"</f>
        <v>#REF!</v>
      </c>
      <c r="IC59" t="e">
        <f>#REF!+"$Cm=!$w2"</f>
        <v>#REF!</v>
      </c>
      <c r="ID59" t="e">
        <f>#REF!+"$Cm=!$w3"</f>
        <v>#REF!</v>
      </c>
      <c r="IE59" t="e">
        <f>#REF!+"$Cm=!$w4"</f>
        <v>#REF!</v>
      </c>
      <c r="IF59" t="e">
        <f>#REF!+"$Cm=!$w5"</f>
        <v>#REF!</v>
      </c>
      <c r="IG59" t="e">
        <f>#REF!+"$Cm=!$w6"</f>
        <v>#REF!</v>
      </c>
      <c r="IH59" t="e">
        <f>#REF!+"$Cm=!$w7"</f>
        <v>#REF!</v>
      </c>
      <c r="II59" t="e">
        <f>#REF!+"$Cm=!$w8"</f>
        <v>#REF!</v>
      </c>
      <c r="IJ59" t="e">
        <f>#REF!+"$Cm=!$w9"</f>
        <v>#REF!</v>
      </c>
      <c r="IK59" t="e">
        <f>#REF!+"$Cm=!$w:"</f>
        <v>#REF!</v>
      </c>
      <c r="IL59" t="e">
        <f>#REF!+"$Cm=!$w;"</f>
        <v>#REF!</v>
      </c>
      <c r="IM59" t="e">
        <f>#REF!+"$Cm=!$w&lt;"</f>
        <v>#REF!</v>
      </c>
      <c r="IN59" t="e">
        <f>#REF!+"$Cm=!$w="</f>
        <v>#REF!</v>
      </c>
      <c r="IO59" t="e">
        <f>#REF!+"$Cm=!$w&gt;"</f>
        <v>#REF!</v>
      </c>
      <c r="IP59" t="e">
        <f>#REF!+"$Cm=!$w?"</f>
        <v>#REF!</v>
      </c>
      <c r="IQ59" t="e">
        <f>#REF!+"$Cm=!$w@"</f>
        <v>#REF!</v>
      </c>
      <c r="IR59" t="e">
        <f>#REF!+"$Cm=!$wA"</f>
        <v>#REF!</v>
      </c>
      <c r="IS59" t="e">
        <f>#REF!+"$Cm=!$wB"</f>
        <v>#REF!</v>
      </c>
      <c r="IT59" t="e">
        <f>#REF!+"$Cm=!$wC"</f>
        <v>#REF!</v>
      </c>
      <c r="IU59" t="e">
        <f>#REF!+"$Cm=!$wD"</f>
        <v>#REF!</v>
      </c>
      <c r="IV59" t="e">
        <f>#REF!+"$Cm=!$wE"</f>
        <v>#REF!</v>
      </c>
    </row>
    <row r="60" spans="6:256">
      <c r="F60" t="e">
        <f>#REF!+"$Cm=!$wF"</f>
        <v>#REF!</v>
      </c>
      <c r="G60" t="e">
        <f>#REF!+"$Cm=!$wG"</f>
        <v>#REF!</v>
      </c>
      <c r="H60" t="e">
        <f>#REF!+"$Cm=!$wH"</f>
        <v>#REF!</v>
      </c>
      <c r="I60" t="e">
        <f>#REF!+"$Cm=!$wI"</f>
        <v>#REF!</v>
      </c>
      <c r="J60" t="e">
        <f>#REF!+"$Cm=!$wJ"</f>
        <v>#REF!</v>
      </c>
      <c r="K60" t="e">
        <f>#REF!+"$Cm=!$wK"</f>
        <v>#REF!</v>
      </c>
      <c r="L60" t="e">
        <f>#REF!+"$Cm=!$wL"</f>
        <v>#REF!</v>
      </c>
      <c r="M60" t="e">
        <f>#REF!+"$Cm=!$wM"</f>
        <v>#REF!</v>
      </c>
      <c r="N60" t="e">
        <f>#REF!+"$Cm=!$wN"</f>
        <v>#REF!</v>
      </c>
      <c r="O60" t="e">
        <f>#REF!+"$Cm=!$wO"</f>
        <v>#REF!</v>
      </c>
      <c r="P60" t="e">
        <f>#REF!+"$Cm=!$wP"</f>
        <v>#REF!</v>
      </c>
      <c r="Q60" t="e">
        <f>#REF!+"$Cm=!$wQ"</f>
        <v>#REF!</v>
      </c>
      <c r="R60" t="e">
        <f>#REF!+"$Cm=!$wR"</f>
        <v>#REF!</v>
      </c>
      <c r="S60" t="e">
        <f>#REF!+"$Cm=!$wS"</f>
        <v>#REF!</v>
      </c>
      <c r="T60" t="e">
        <f>#REF!+"$Cm=!$wT"</f>
        <v>#REF!</v>
      </c>
      <c r="U60" t="e">
        <f>#REF!+"$Cm=!$wU"</f>
        <v>#REF!</v>
      </c>
      <c r="V60" t="e">
        <f>#REF!+"$Cm=!$wV"</f>
        <v>#REF!</v>
      </c>
      <c r="W60" t="e">
        <f>#REF!+"$Cm=!$wW"</f>
        <v>#REF!</v>
      </c>
      <c r="X60" t="e">
        <f>#REF!+"$Cm=!$wX"</f>
        <v>#REF!</v>
      </c>
      <c r="Y60" t="e">
        <f>#REF!+"$Cm=!$wY"</f>
        <v>#REF!</v>
      </c>
      <c r="Z60" t="e">
        <f>#REF!+"$Cm=!$wZ"</f>
        <v>#REF!</v>
      </c>
      <c r="AA60" t="e">
        <f>#REF!+"$Cm=!$w["</f>
        <v>#REF!</v>
      </c>
      <c r="AB60" t="e">
        <f>#REF!+"$Cm=!$w\"</f>
        <v>#REF!</v>
      </c>
      <c r="AC60" t="e">
        <f>#REF!+"$Cm=!$w]"</f>
        <v>#REF!</v>
      </c>
      <c r="AD60" t="e">
        <f>#REF!+"$Cm=!$w^"</f>
        <v>#REF!</v>
      </c>
      <c r="AE60" t="e">
        <f>#REF!+"$Cm=!$w_"</f>
        <v>#REF!</v>
      </c>
      <c r="AF60" t="e">
        <f>#REF!+"$Cm=!$w`"</f>
        <v>#REF!</v>
      </c>
      <c r="AG60" t="e">
        <f>#REF!+"$Cm=!$wa"</f>
        <v>#REF!</v>
      </c>
      <c r="AH60" t="e">
        <f>#REF!+"$Cm=!$wb"</f>
        <v>#REF!</v>
      </c>
      <c r="AI60" t="e">
        <f>#REF!+"$Cm=!$wc"</f>
        <v>#REF!</v>
      </c>
      <c r="AJ60" t="e">
        <f>#REF!+"$Cm=!$wd"</f>
        <v>#REF!</v>
      </c>
      <c r="AK60" t="e">
        <f>#REF!+"$Cm=!$we"</f>
        <v>#REF!</v>
      </c>
      <c r="AL60" t="e">
        <f>#REF!+"$Cm=!$wf"</f>
        <v>#REF!</v>
      </c>
      <c r="AM60" t="e">
        <f>#REF!+"$Cm=!$wg"</f>
        <v>#REF!</v>
      </c>
      <c r="AN60" t="e">
        <f>#REF!+"$Cm=!$wh"</f>
        <v>#REF!</v>
      </c>
      <c r="AO60" t="e">
        <f>#REF!+"$Cm=!$wi"</f>
        <v>#REF!</v>
      </c>
      <c r="AP60" t="e">
        <f>#REF!+"$Cm=!$wj"</f>
        <v>#REF!</v>
      </c>
      <c r="AQ60" t="e">
        <f>#REF!+"$Cm=!$wk"</f>
        <v>#REF!</v>
      </c>
      <c r="AR60" t="e">
        <f>#REF!+"$Cm=!$wl"</f>
        <v>#REF!</v>
      </c>
      <c r="AS60" t="e">
        <f>#REF!+"$Cm=!$wm"</f>
        <v>#REF!</v>
      </c>
      <c r="AT60" t="e">
        <f>#REF!+"$Cm=!$wn"</f>
        <v>#REF!</v>
      </c>
      <c r="AU60" t="e">
        <f>#REF!+"$Cm=!$wo"</f>
        <v>#REF!</v>
      </c>
      <c r="AV60" t="e">
        <f>#REF!+"$Cm=!$wp"</f>
        <v>#REF!</v>
      </c>
      <c r="AW60" t="e">
        <f>#REF!+"$Cm=!$wq"</f>
        <v>#REF!</v>
      </c>
      <c r="AX60" t="e">
        <f>#REF!+"$Cm=!$wr"</f>
        <v>#REF!</v>
      </c>
      <c r="AY60" t="e">
        <f>#REF!+"$Cm=!$ws"</f>
        <v>#REF!</v>
      </c>
      <c r="AZ60" t="e">
        <f>#REF!+"$Cm=!$wt"</f>
        <v>#REF!</v>
      </c>
      <c r="BA60" t="e">
        <f>#REF!+"$Cm=!$wu"</f>
        <v>#REF!</v>
      </c>
      <c r="BB60" t="e">
        <f>#REF!+"$Cm=!$wv"</f>
        <v>#REF!</v>
      </c>
      <c r="BC60" t="e">
        <f>#REF!+"$Cm=!$ww"</f>
        <v>#REF!</v>
      </c>
      <c r="BD60" t="e">
        <f>#REF!+"$Cm=!$wx"</f>
        <v>#REF!</v>
      </c>
      <c r="BE60" t="e">
        <f>#REF!+"$Cm=!$wy"</f>
        <v>#REF!</v>
      </c>
      <c r="BF60" t="e">
        <f>#REF!+"$Cm=!$wz"</f>
        <v>#REF!</v>
      </c>
      <c r="BG60" t="e">
        <f>#REF!+"$Cm=!$w{"</f>
        <v>#REF!</v>
      </c>
      <c r="BH60" t="e">
        <f>#REF!+"$Cm=!$w|"</f>
        <v>#REF!</v>
      </c>
      <c r="BI60" t="e">
        <f>#REF!+"$Cm=!$w}"</f>
        <v>#REF!</v>
      </c>
      <c r="BJ60" t="e">
        <f>#REF!+"$Cm=!$w~"</f>
        <v>#REF!</v>
      </c>
      <c r="BK60" t="e">
        <f>#REF!+"$Cm=!$x#"</f>
        <v>#REF!</v>
      </c>
      <c r="BL60" t="e">
        <f>#REF!+"$Cm=!$x$"</f>
        <v>#REF!</v>
      </c>
      <c r="BM60" t="e">
        <f>#REF!+"$Cm=!$x%"</f>
        <v>#REF!</v>
      </c>
      <c r="BN60" t="e">
        <f>#REF!+"$Cm=!$x&amp;"</f>
        <v>#REF!</v>
      </c>
      <c r="BO60" t="e">
        <f>#REF!+"$Cm=!$x'"</f>
        <v>#REF!</v>
      </c>
      <c r="BP60" t="e">
        <f>#REF!+"$Cm=!$x("</f>
        <v>#REF!</v>
      </c>
      <c r="BQ60" t="e">
        <f>#REF!+"$Cm=!$x)"</f>
        <v>#REF!</v>
      </c>
      <c r="BR60" t="e">
        <f>#REF!+"$Cm=!$x."</f>
        <v>#REF!</v>
      </c>
      <c r="BS60" t="e">
        <f>#REF!+"$Cm=!$x/"</f>
        <v>#REF!</v>
      </c>
      <c r="BT60" t="e">
        <f>#REF!+"$Cm=!$x0"</f>
        <v>#REF!</v>
      </c>
      <c r="BU60" t="e">
        <f>#REF!+"$Cm=!$x1"</f>
        <v>#REF!</v>
      </c>
      <c r="BV60" t="e">
        <f>#REF!+"$Cm=!$x2"</f>
        <v>#REF!</v>
      </c>
      <c r="BW60" t="e">
        <f>#REF!+"$Cm=!$x3"</f>
        <v>#REF!</v>
      </c>
      <c r="BX60" t="e">
        <f>#REF!+"$Cm=!$x4"</f>
        <v>#REF!</v>
      </c>
      <c r="BY60" t="e">
        <f>#REF!+"$Cm=!$x5"</f>
        <v>#REF!</v>
      </c>
      <c r="BZ60" t="e">
        <f>#REF!+"$Cm=!$x6"</f>
        <v>#REF!</v>
      </c>
      <c r="CA60" t="e">
        <f>#REF!+"$Cm=!$x7"</f>
        <v>#REF!</v>
      </c>
      <c r="CB60" t="e">
        <f>#REF!+"$Cm=!$x8"</f>
        <v>#REF!</v>
      </c>
      <c r="CC60" t="e">
        <f>#REF!+"$Cm=!$x9"</f>
        <v>#REF!</v>
      </c>
      <c r="CD60" t="e">
        <f>#REF!+"$Cm=!$x:"</f>
        <v>#REF!</v>
      </c>
      <c r="CE60" t="e">
        <f>#REF!+"$Cm=!$x;"</f>
        <v>#REF!</v>
      </c>
      <c r="CF60" t="e">
        <f>#REF!+"$Cm=!$x&lt;"</f>
        <v>#REF!</v>
      </c>
      <c r="CG60" t="e">
        <f>#REF!+"$Cm=!$x="</f>
        <v>#REF!</v>
      </c>
      <c r="CH60" t="e">
        <f>#REF!+"$Cm=!$x&gt;"</f>
        <v>#REF!</v>
      </c>
      <c r="CI60" t="e">
        <f>#REF!+"$Cm=!$x?"</f>
        <v>#REF!</v>
      </c>
      <c r="CJ60" t="e">
        <f>#REF!+"$Cm=!$x@"</f>
        <v>#REF!</v>
      </c>
      <c r="CK60" t="e">
        <f>#REF!+"$Cm=!$xA"</f>
        <v>#REF!</v>
      </c>
      <c r="CL60" t="e">
        <f>#REF!+"$Cm=!$xB"</f>
        <v>#REF!</v>
      </c>
      <c r="CM60" t="e">
        <f>#REF!+"$Cm=!$xC"</f>
        <v>#REF!</v>
      </c>
      <c r="CN60" t="e">
        <f>#REF!+"$Cm=!$xD"</f>
        <v>#REF!</v>
      </c>
      <c r="CO60" t="e">
        <f>#REF!+"$Cm=!$xE"</f>
        <v>#REF!</v>
      </c>
      <c r="CP60" t="e">
        <f>#REF!+"$Cm=!$xF"</f>
        <v>#REF!</v>
      </c>
      <c r="CQ60" t="e">
        <f>#REF!+"$Cm=!$xG"</f>
        <v>#REF!</v>
      </c>
      <c r="CR60" t="e">
        <f>#REF!+"$Cm=!$xH"</f>
        <v>#REF!</v>
      </c>
      <c r="CS60" t="e">
        <f>#REF!+"$Cm=!$xI"</f>
        <v>#REF!</v>
      </c>
      <c r="CT60" t="e">
        <f>#REF!+"$Cm=!$xJ"</f>
        <v>#REF!</v>
      </c>
      <c r="CU60" t="e">
        <f>#REF!+"$Cm=!$xK"</f>
        <v>#REF!</v>
      </c>
      <c r="CV60" t="e">
        <f>#REF!+"$Cm=!$xL"</f>
        <v>#REF!</v>
      </c>
      <c r="CW60" t="e">
        <f>#REF!+"$Cm=!$xM"</f>
        <v>#REF!</v>
      </c>
      <c r="CX60" t="e">
        <f>#REF!+"$Cm=!$xN"</f>
        <v>#REF!</v>
      </c>
      <c r="CY60" t="e">
        <f>#REF!+"$Cm=!$xO"</f>
        <v>#REF!</v>
      </c>
      <c r="CZ60" t="e">
        <f>#REF!+"$Cm=!$xP"</f>
        <v>#REF!</v>
      </c>
      <c r="DA60" t="e">
        <f>#REF!+"$Cm=!$xQ"</f>
        <v>#REF!</v>
      </c>
      <c r="DB60" t="e">
        <f>#REF!+"$Cm=!$xR"</f>
        <v>#REF!</v>
      </c>
      <c r="DC60" t="e">
        <f>#REF!+"$Cm=!$xS"</f>
        <v>#REF!</v>
      </c>
      <c r="DD60" t="e">
        <f>#REF!+"$Cm=!$xT"</f>
        <v>#REF!</v>
      </c>
      <c r="DE60" t="e">
        <f>#REF!+"$Cm=!$xU"</f>
        <v>#REF!</v>
      </c>
      <c r="DF60" t="e">
        <f>#REF!+"$Cm=!$xV"</f>
        <v>#REF!</v>
      </c>
      <c r="DG60" t="e">
        <f>#REF!+"$Cm=!$xW"</f>
        <v>#REF!</v>
      </c>
      <c r="DH60" t="e">
        <f>#REF!+"$Cm=!$xX"</f>
        <v>#REF!</v>
      </c>
      <c r="DI60" t="e">
        <f>#REF!+"$Cm=!$xY"</f>
        <v>#REF!</v>
      </c>
      <c r="DJ60" t="e">
        <f>#REF!+"$Cm=!$xZ"</f>
        <v>#REF!</v>
      </c>
      <c r="DK60" t="e">
        <f>#REF!+"$Cm=!$x["</f>
        <v>#REF!</v>
      </c>
      <c r="DL60" t="e">
        <f>#REF!+"$Cm=!$x\"</f>
        <v>#REF!</v>
      </c>
      <c r="DM60" t="e">
        <f>#REF!+"$Cm=!$x]"</f>
        <v>#REF!</v>
      </c>
      <c r="DN60" t="e">
        <f>#REF!+"$Cm=!$x^"</f>
        <v>#REF!</v>
      </c>
      <c r="DO60" t="e">
        <f>#REF!+"$Cm=!$x_"</f>
        <v>#REF!</v>
      </c>
      <c r="DP60" t="e">
        <f>#REF!+"$Cm=!$x`"</f>
        <v>#REF!</v>
      </c>
      <c r="DQ60" t="e">
        <f>#REF!+"$Cm=!$xa"</f>
        <v>#REF!</v>
      </c>
      <c r="DR60" t="e">
        <f>#REF!+"$Cm=!$xb"</f>
        <v>#REF!</v>
      </c>
      <c r="DS60" t="e">
        <f>#REF!+"$Cm=!$xc"</f>
        <v>#REF!</v>
      </c>
      <c r="DT60" t="e">
        <f>#REF!+"$Cm=!$xd"</f>
        <v>#REF!</v>
      </c>
      <c r="DU60" t="e">
        <f>#REF!+"$Cm=!$xe"</f>
        <v>#REF!</v>
      </c>
      <c r="DV60" t="e">
        <f>#REF!+"$Cm=!$xf"</f>
        <v>#REF!</v>
      </c>
      <c r="DW60" t="e">
        <f>#REF!+"$Cm=!$xg"</f>
        <v>#REF!</v>
      </c>
      <c r="DX60" t="e">
        <f>#REF!+"$Cm=!$xh"</f>
        <v>#REF!</v>
      </c>
      <c r="DY60" t="e">
        <f>#REF!+"$Cm=!$xi"</f>
        <v>#REF!</v>
      </c>
      <c r="DZ60" t="e">
        <f>#REF!+"$Cm=!$xj"</f>
        <v>#REF!</v>
      </c>
      <c r="EA60" t="e">
        <f>#REF!+"$Cm=!$xk"</f>
        <v>#REF!</v>
      </c>
      <c r="EB60" t="e">
        <f>#REF!+"$Cm=!$xl"</f>
        <v>#REF!</v>
      </c>
      <c r="EC60" t="e">
        <f>#REF!+"$Cm=!$xm"</f>
        <v>#REF!</v>
      </c>
      <c r="ED60" t="e">
        <f>#REF!+"$Cm=!$xn"</f>
        <v>#REF!</v>
      </c>
      <c r="EE60" t="e">
        <f>#REF!+"$Cm=!$xo"</f>
        <v>#REF!</v>
      </c>
      <c r="EF60" t="e">
        <f>#REF!+"$Cm=!$xp"</f>
        <v>#REF!</v>
      </c>
      <c r="EG60" t="e">
        <f>#REF!+"$Cm=!$xq"</f>
        <v>#REF!</v>
      </c>
      <c r="EH60" t="e">
        <f>#REF!+"$Cm=!$xr"</f>
        <v>#REF!</v>
      </c>
      <c r="EI60" t="e">
        <f>#REF!+"$Cm=!$xs"</f>
        <v>#REF!</v>
      </c>
      <c r="EJ60" t="e">
        <f>#REF!+"$Cm=!$xt"</f>
        <v>#REF!</v>
      </c>
      <c r="EK60" t="e">
        <f>#REF!+"$Cm=!$xu"</f>
        <v>#REF!</v>
      </c>
      <c r="EL60" t="e">
        <f>#REF!+"$Cm=!$xv"</f>
        <v>#REF!</v>
      </c>
      <c r="EM60" t="e">
        <f>#REF!+"$Cm=!$xw"</f>
        <v>#REF!</v>
      </c>
      <c r="EN60" t="e">
        <f>#REF!+"$Cm=!$xx"</f>
        <v>#REF!</v>
      </c>
      <c r="EO60" t="e">
        <f>#REF!+"$Cm=!$xy"</f>
        <v>#REF!</v>
      </c>
      <c r="EP60" t="e">
        <f>#REF!+"$Cm=!$xz"</f>
        <v>#REF!</v>
      </c>
      <c r="EQ60" t="e">
        <f>#REF!+"$Cm=!$x{"</f>
        <v>#REF!</v>
      </c>
      <c r="ER60" t="e">
        <f>#REF!+"$Cm=!$x|"</f>
        <v>#REF!</v>
      </c>
      <c r="ES60" t="e">
        <f>#REF!+"$Cm=!$x}"</f>
        <v>#REF!</v>
      </c>
      <c r="ET60" t="e">
        <f>#REF!+"$Cm=!$x~"</f>
        <v>#REF!</v>
      </c>
      <c r="EU60" t="e">
        <f>#REF!+"$Cm=!$y#"</f>
        <v>#REF!</v>
      </c>
      <c r="EV60" t="e">
        <f>#REF!+"$Cm=!$y$"</f>
        <v>#REF!</v>
      </c>
      <c r="EW60" t="e">
        <f>#REF!+"$Cm=!$y%"</f>
        <v>#REF!</v>
      </c>
      <c r="EX60" t="e">
        <f>#REF!+"$Cm=!$y&amp;"</f>
        <v>#REF!</v>
      </c>
      <c r="EY60" t="e">
        <f>#REF!+"$Cm=!$y'"</f>
        <v>#REF!</v>
      </c>
      <c r="EZ60" t="e">
        <f>#REF!+"$Cm=!$y("</f>
        <v>#REF!</v>
      </c>
      <c r="FA60" t="e">
        <f>#REF!+"$Cm=!$y)"</f>
        <v>#REF!</v>
      </c>
      <c r="FB60" t="e">
        <f>#REF!+"$Cm=!$y."</f>
        <v>#REF!</v>
      </c>
      <c r="FC60" t="e">
        <f>#REF!+"$Cm=!$y/"</f>
        <v>#REF!</v>
      </c>
      <c r="FD60" t="e">
        <f>#REF!+"$Cm=!$y0"</f>
        <v>#REF!</v>
      </c>
      <c r="FE60" t="e">
        <f>#REF!+"$Cm=!$y1"</f>
        <v>#REF!</v>
      </c>
      <c r="FF60" t="e">
        <f>#REF!+"$Cm=!$y2"</f>
        <v>#REF!</v>
      </c>
      <c r="FG60" t="e">
        <f>#REF!+"$Cm=!$y3"</f>
        <v>#REF!</v>
      </c>
      <c r="FH60" t="e">
        <f>#REF!+"$Cm=!$y4"</f>
        <v>#REF!</v>
      </c>
      <c r="FI60" t="e">
        <f>#REF!+"$Cm=!$y5"</f>
        <v>#REF!</v>
      </c>
      <c r="FJ60" t="e">
        <f>#REF!+"$Cm=!$y6"</f>
        <v>#REF!</v>
      </c>
      <c r="FK60" t="e">
        <f>#REF!+"$Cm=!$y7"</f>
        <v>#REF!</v>
      </c>
      <c r="FL60" t="e">
        <f>#REF!+"$Cm=!$y8"</f>
        <v>#REF!</v>
      </c>
      <c r="FM60" t="e">
        <f>#REF!+"$Cm=!$y9"</f>
        <v>#REF!</v>
      </c>
      <c r="FN60" t="e">
        <f>#REF!+"$Cm=!$y:"</f>
        <v>#REF!</v>
      </c>
      <c r="FO60" t="e">
        <f>#REF!+"$Cm=!$y;"</f>
        <v>#REF!</v>
      </c>
      <c r="FP60" t="e">
        <f>#REF!+"$Cm=!$y&lt;"</f>
        <v>#REF!</v>
      </c>
      <c r="FQ60" t="e">
        <f>#REF!+"$Cm=!$y="</f>
        <v>#REF!</v>
      </c>
      <c r="FR60" t="e">
        <f>#REF!+"$Cm=!$y&gt;"</f>
        <v>#REF!</v>
      </c>
      <c r="FS60" t="e">
        <f>#REF!+"$Cm=!$y?"</f>
        <v>#REF!</v>
      </c>
      <c r="FT60" t="e">
        <f>#REF!+"$Cm=!$y@"</f>
        <v>#REF!</v>
      </c>
      <c r="FU60" t="e">
        <f>#REF!+"$Cm=!$yA"</f>
        <v>#REF!</v>
      </c>
      <c r="FV60" t="e">
        <f>#REF!+"$Cm=!$yB"</f>
        <v>#REF!</v>
      </c>
      <c r="FW60" t="e">
        <f>#REF!+"$Cm=!$yC"</f>
        <v>#REF!</v>
      </c>
      <c r="FX60" t="e">
        <f>#REF!+"$Cm=!$yD"</f>
        <v>#REF!</v>
      </c>
      <c r="FY60" t="e">
        <f>#REF!+"$Cm=!$yE"</f>
        <v>#REF!</v>
      </c>
      <c r="FZ60" t="e">
        <f>#REF!+"$Cm=!$yF"</f>
        <v>#REF!</v>
      </c>
      <c r="GA60" t="e">
        <f>#REF!+"$Cm=!$yG"</f>
        <v>#REF!</v>
      </c>
      <c r="GB60" t="e">
        <f>#REF!+"$Cm=!$yH"</f>
        <v>#REF!</v>
      </c>
      <c r="GC60" t="e">
        <f>#REF!+"$Cm=!$yI"</f>
        <v>#REF!</v>
      </c>
      <c r="GD60" t="e">
        <f>#REF!+"$Cm=!$yJ"</f>
        <v>#REF!</v>
      </c>
      <c r="GE60" t="e">
        <f>#REF!+"$Cm=!$yK"</f>
        <v>#REF!</v>
      </c>
      <c r="GF60" t="e">
        <f>#REF!+"$Cm=!$yL"</f>
        <v>#REF!</v>
      </c>
      <c r="GG60" t="e">
        <f>#REF!+"$Cm=!$yM"</f>
        <v>#REF!</v>
      </c>
      <c r="GH60" t="e">
        <f>#REF!+"$Cm=!$yN"</f>
        <v>#REF!</v>
      </c>
      <c r="GI60" t="e">
        <f>#REF!+"$Cm=!$yO"</f>
        <v>#REF!</v>
      </c>
      <c r="GJ60" t="e">
        <f>#REF!+"$Cm=!$yP"</f>
        <v>#REF!</v>
      </c>
      <c r="GK60" t="e">
        <f>#REF!+"$Cm=!$yQ"</f>
        <v>#REF!</v>
      </c>
      <c r="GL60" t="e">
        <f>#REF!+"$Cm=!$yR"</f>
        <v>#REF!</v>
      </c>
      <c r="GM60" t="e">
        <f>#REF!+"$Cm=!$yS"</f>
        <v>#REF!</v>
      </c>
      <c r="GN60" t="e">
        <f>#REF!+"$Cm=!$yT"</f>
        <v>#REF!</v>
      </c>
      <c r="GO60" t="e">
        <f>#REF!+"$Cm=!$yU"</f>
        <v>#REF!</v>
      </c>
      <c r="GP60" t="e">
        <f>#REF!+"$Cm=!$yV"</f>
        <v>#REF!</v>
      </c>
      <c r="GQ60" t="e">
        <f>#REF!+"$Cm=!$yW"</f>
        <v>#REF!</v>
      </c>
      <c r="GR60" t="e">
        <f>#REF!+"$Cm=!$yX"</f>
        <v>#REF!</v>
      </c>
      <c r="GS60" t="e">
        <f>#REF!+"$Cm=!$yY"</f>
        <v>#REF!</v>
      </c>
      <c r="GT60" t="e">
        <f>#REF!+"$Cm=!$yZ"</f>
        <v>#REF!</v>
      </c>
      <c r="GU60" t="e">
        <f>#REF!+"$Cm=!$y["</f>
        <v>#REF!</v>
      </c>
      <c r="GV60" t="e">
        <f>#REF!+"$Cm=!$y\"</f>
        <v>#REF!</v>
      </c>
      <c r="GW60" t="e">
        <f>#REF!+"$Cm=!$y]"</f>
        <v>#REF!</v>
      </c>
      <c r="GX60" t="e">
        <f>#REF!+"$Cm=!$y^"</f>
        <v>#REF!</v>
      </c>
      <c r="GY60" t="e">
        <f>#REF!+"$Cm=!$y_"</f>
        <v>#REF!</v>
      </c>
      <c r="GZ60" t="e">
        <f>#REF!+"$Cm=!$y`"</f>
        <v>#REF!</v>
      </c>
      <c r="HA60" t="e">
        <f>#REF!+"$Cm=!$ya"</f>
        <v>#REF!</v>
      </c>
      <c r="HB60" t="e">
        <f>#REF!+"$Cm=!$yb"</f>
        <v>#REF!</v>
      </c>
      <c r="HC60" t="e">
        <f>#REF!+"$Cm=!$yc"</f>
        <v>#REF!</v>
      </c>
      <c r="HD60" t="e">
        <f>#REF!+"$Cm=!$yd"</f>
        <v>#REF!</v>
      </c>
      <c r="HE60" t="e">
        <f>#REF!+"$Cm=!$ye"</f>
        <v>#REF!</v>
      </c>
      <c r="HF60" t="e">
        <f>#REF!+"$Cm=!$yf"</f>
        <v>#REF!</v>
      </c>
      <c r="HG60" t="e">
        <f>#REF!+"$Cm=!$yg"</f>
        <v>#REF!</v>
      </c>
      <c r="HH60" t="e">
        <f>#REF!+"$Cm=!$yh"</f>
        <v>#REF!</v>
      </c>
      <c r="HI60" t="e">
        <f>#REF!+"$Cm=!$yi"</f>
        <v>#REF!</v>
      </c>
      <c r="HJ60" t="e">
        <f>#REF!+"$Cm=!$yj"</f>
        <v>#REF!</v>
      </c>
      <c r="HK60" t="e">
        <f>#REF!+"$Cm=!$yk"</f>
        <v>#REF!</v>
      </c>
      <c r="HL60" t="e">
        <f>#REF!+"$Cm=!$yl"</f>
        <v>#REF!</v>
      </c>
      <c r="HM60" t="e">
        <f>#REF!+"$Cm=!$ym"</f>
        <v>#REF!</v>
      </c>
      <c r="HN60" t="e">
        <f>#REF!+"$Cm=!$yn"</f>
        <v>#REF!</v>
      </c>
      <c r="HO60" t="e">
        <f>#REF!+"$Cm=!$yo"</f>
        <v>#REF!</v>
      </c>
      <c r="HP60" t="e">
        <f>#REF!+"$Cm=!$yp"</f>
        <v>#REF!</v>
      </c>
      <c r="HQ60" t="e">
        <f>#REF!+"$Cm=!$yq"</f>
        <v>#REF!</v>
      </c>
      <c r="HR60" t="e">
        <f>#REF!+"$Cm=!$yr"</f>
        <v>#REF!</v>
      </c>
      <c r="HS60" t="e">
        <f>#REF!+"$Cm=!$ys"</f>
        <v>#REF!</v>
      </c>
      <c r="HT60" t="e">
        <f>#REF!+"$Cm=!$yt"</f>
        <v>#REF!</v>
      </c>
      <c r="HU60" t="e">
        <f>#REF!+"$Cm=!$yu"</f>
        <v>#REF!</v>
      </c>
      <c r="HV60" t="e">
        <f>#REF!+"$Cm=!$yv"</f>
        <v>#REF!</v>
      </c>
      <c r="HW60" t="e">
        <f>#REF!+"$Cm=!$yw"</f>
        <v>#REF!</v>
      </c>
      <c r="HX60" t="e">
        <f>#REF!+"$Cm=!$yx"</f>
        <v>#REF!</v>
      </c>
      <c r="HY60" t="e">
        <f>#REF!+"$Cm=!$yy"</f>
        <v>#REF!</v>
      </c>
      <c r="HZ60" t="e">
        <f>#REF!+"$Cm=!$yz"</f>
        <v>#REF!</v>
      </c>
      <c r="IA60" t="e">
        <f>#REF!+"$Cm=!$y{"</f>
        <v>#REF!</v>
      </c>
      <c r="IB60" t="e">
        <f>#REF!+"$Cm=!$y|"</f>
        <v>#REF!</v>
      </c>
      <c r="IC60" t="e">
        <f>#REF!+"$Cm=!$y}"</f>
        <v>#REF!</v>
      </c>
      <c r="ID60" t="e">
        <f>#REF!+"$Cm=!$y~"</f>
        <v>#REF!</v>
      </c>
      <c r="IE60" t="e">
        <f>#REF!+"$Cm=!$z#"</f>
        <v>#REF!</v>
      </c>
      <c r="IF60" t="e">
        <f>#REF!+"$Cm=!$z$"</f>
        <v>#REF!</v>
      </c>
      <c r="IG60" t="e">
        <f>#REF!+"$Cm=!$z%"</f>
        <v>#REF!</v>
      </c>
      <c r="IH60" t="e">
        <f>#REF!+"$Cm=!$z&amp;"</f>
        <v>#REF!</v>
      </c>
      <c r="II60" t="e">
        <f>#REF!+"$Cm=!$z'"</f>
        <v>#REF!</v>
      </c>
      <c r="IJ60" t="e">
        <f>#REF!+"$Cm=!$z("</f>
        <v>#REF!</v>
      </c>
      <c r="IK60" t="e">
        <f>#REF!+"$Cm=!$z)"</f>
        <v>#REF!</v>
      </c>
      <c r="IL60" t="e">
        <f>#REF!+"$Cm=!$z."</f>
        <v>#REF!</v>
      </c>
      <c r="IM60" t="e">
        <f>#REF!+"$Cm=!$z/"</f>
        <v>#REF!</v>
      </c>
      <c r="IN60" t="e">
        <f>#REF!+"$Cm=!$z0"</f>
        <v>#REF!</v>
      </c>
      <c r="IO60" t="e">
        <f>#REF!+"$Cm=!$z1"</f>
        <v>#REF!</v>
      </c>
      <c r="IP60" t="e">
        <f>#REF!+"$Cm=!$z2"</f>
        <v>#REF!</v>
      </c>
      <c r="IQ60" t="e">
        <f>#REF!+"$Cm=!$z3"</f>
        <v>#REF!</v>
      </c>
      <c r="IR60" t="e">
        <f>#REF!+"$Cm=!$z4"</f>
        <v>#REF!</v>
      </c>
      <c r="IS60" t="e">
        <f>#REF!+"$Cm=!$z5"</f>
        <v>#REF!</v>
      </c>
      <c r="IT60" t="e">
        <f>#REF!+"$Cm=!$z6"</f>
        <v>#REF!</v>
      </c>
      <c r="IU60" t="e">
        <f>#REF!+"$Cm=!$z7"</f>
        <v>#REF!</v>
      </c>
      <c r="IV60" t="e">
        <f>#REF!+"$Cm=!$z8"</f>
        <v>#REF!</v>
      </c>
    </row>
    <row r="61" spans="6:256">
      <c r="F61" t="e">
        <f>#REF!+"$Cm=!$z9"</f>
        <v>#REF!</v>
      </c>
      <c r="G61" t="e">
        <f>#REF!+"$Cm=!$z:"</f>
        <v>#REF!</v>
      </c>
      <c r="H61" t="e">
        <f>#REF!+"$Cm=!$z;"</f>
        <v>#REF!</v>
      </c>
      <c r="I61" t="e">
        <f>#REF!+"$Cm=!$z&lt;"</f>
        <v>#REF!</v>
      </c>
      <c r="J61" t="e">
        <f>#REF!+"$Cm=!$z="</f>
        <v>#REF!</v>
      </c>
      <c r="K61" t="e">
        <f>#REF!+"$Cm=!$z&gt;"</f>
        <v>#REF!</v>
      </c>
      <c r="L61" t="e">
        <f>#REF!+"$Cm=!$z?"</f>
        <v>#REF!</v>
      </c>
      <c r="M61" t="e">
        <f>#REF!+"$Cm=!$z@"</f>
        <v>#REF!</v>
      </c>
      <c r="N61" t="e">
        <f>#REF!+"$Cm=!$zA"</f>
        <v>#REF!</v>
      </c>
      <c r="O61" t="e">
        <f>#REF!+"$Cm=!$zB"</f>
        <v>#REF!</v>
      </c>
      <c r="P61" t="e">
        <f>#REF!+"$Cm=!$zC"</f>
        <v>#REF!</v>
      </c>
      <c r="Q61" t="e">
        <f>#REF!+"$Cm=!$zD"</f>
        <v>#REF!</v>
      </c>
      <c r="R61" t="e">
        <f>#REF!+"$Cm=!$zE"</f>
        <v>#REF!</v>
      </c>
      <c r="S61" t="e">
        <f>#REF!+"$Cm=!$zF"</f>
        <v>#REF!</v>
      </c>
      <c r="T61" t="e">
        <f>#REF!+"$Cm=!$zG"</f>
        <v>#REF!</v>
      </c>
      <c r="U61" t="e">
        <f>#REF!+"$Cm=!$zH"</f>
        <v>#REF!</v>
      </c>
      <c r="V61" t="e">
        <f>#REF!+"$Cm=!$zI"</f>
        <v>#REF!</v>
      </c>
      <c r="W61" t="e">
        <f>#REF!+"$Cm=!$zJ"</f>
        <v>#REF!</v>
      </c>
      <c r="X61" t="e">
        <f>#REF!+"$Cm=!$zK"</f>
        <v>#REF!</v>
      </c>
      <c r="Y61" t="e">
        <f>#REF!+"$Cm=!$zL"</f>
        <v>#REF!</v>
      </c>
      <c r="Z61" t="e">
        <f>#REF!+"$Cm=!$zM"</f>
        <v>#REF!</v>
      </c>
      <c r="AA61" t="e">
        <f>#REF!+"$Cm=!$zN"</f>
        <v>#REF!</v>
      </c>
      <c r="AB61" t="e">
        <f>#REF!+"$Cm=!$zO"</f>
        <v>#REF!</v>
      </c>
      <c r="AC61" t="e">
        <f>#REF!+"$Cm=!$zP"</f>
        <v>#REF!</v>
      </c>
      <c r="AD61" t="e">
        <f>#REF!+"$Cm=!$zQ"</f>
        <v>#REF!</v>
      </c>
      <c r="AE61" t="e">
        <f>#REF!+"$Cm=!$zR"</f>
        <v>#REF!</v>
      </c>
      <c r="AF61" t="e">
        <f>#REF!+"$Cm=!$zS"</f>
        <v>#REF!</v>
      </c>
      <c r="AG61" t="e">
        <f>#REF!+"$Cm=!$zT"</f>
        <v>#REF!</v>
      </c>
      <c r="AH61" t="e">
        <f>#REF!+"$Cm=!$zU"</f>
        <v>#REF!</v>
      </c>
      <c r="AI61" t="e">
        <f>#REF!+"$Cm=!$zV"</f>
        <v>#REF!</v>
      </c>
      <c r="AJ61" t="e">
        <f>#REF!+"$Cm=!$zW"</f>
        <v>#REF!</v>
      </c>
      <c r="AK61" t="e">
        <f>#REF!+"$Cm=!$zX"</f>
        <v>#REF!</v>
      </c>
      <c r="AL61" t="e">
        <f>#REF!+"$Cm=!$zY"</f>
        <v>#REF!</v>
      </c>
      <c r="AM61" t="e">
        <f>#REF!+"$Cm=!$zZ"</f>
        <v>#REF!</v>
      </c>
      <c r="AN61" t="e">
        <f>#REF!+"$Cm=!$z["</f>
        <v>#REF!</v>
      </c>
      <c r="AO61" t="e">
        <f>#REF!+"$Cm=!$z\"</f>
        <v>#REF!</v>
      </c>
      <c r="AP61" t="e">
        <f>#REF!+"$Cm=!$z]"</f>
        <v>#REF!</v>
      </c>
      <c r="AQ61" t="e">
        <f>#REF!+"$Cm=!$z^"</f>
        <v>#REF!</v>
      </c>
      <c r="AR61" t="e">
        <f>#REF!+"$Cm=!$z_"</f>
        <v>#REF!</v>
      </c>
      <c r="AS61" t="e">
        <f>#REF!+"$Cm=!$z`"</f>
        <v>#REF!</v>
      </c>
      <c r="AT61" t="e">
        <f>#REF!+"$Cm=!$za"</f>
        <v>#REF!</v>
      </c>
      <c r="AU61" t="e">
        <f>#REF!+"$Cm=!$zb"</f>
        <v>#REF!</v>
      </c>
      <c r="AV61" t="e">
        <f>#REF!+"$Cm=!$zc"</f>
        <v>#REF!</v>
      </c>
      <c r="AW61" t="e">
        <f>#REF!+"$Cm=!$zd"</f>
        <v>#REF!</v>
      </c>
      <c r="AX61" t="e">
        <f>#REF!+"$Cm=!$ze"</f>
        <v>#REF!</v>
      </c>
      <c r="AY61" t="e">
        <f>#REF!+"$Cm=!$zf"</f>
        <v>#REF!</v>
      </c>
      <c r="AZ61" t="e">
        <f>#REF!+"$Cm=!$zg"</f>
        <v>#REF!</v>
      </c>
      <c r="BA61" t="e">
        <f>#REF!+"$Cm=!$zh"</f>
        <v>#REF!</v>
      </c>
      <c r="BB61" t="e">
        <f>#REF!+"$Cm=!$zi"</f>
        <v>#REF!</v>
      </c>
      <c r="BC61" t="e">
        <f>#REF!+"$Cm=!$zj"</f>
        <v>#REF!</v>
      </c>
      <c r="BD61" t="e">
        <f>#REF!+"$Cm=!$zk"</f>
        <v>#REF!</v>
      </c>
      <c r="BE61" t="e">
        <f>#REF!+"$Cm=!$zl"</f>
        <v>#REF!</v>
      </c>
      <c r="BF61" t="e">
        <f>#REF!+"$Cm=!$zm"</f>
        <v>#REF!</v>
      </c>
      <c r="BG61" t="e">
        <f>#REF!+"$Cm=!$zn"</f>
        <v>#REF!</v>
      </c>
      <c r="BH61" t="e">
        <f>#REF!+"$Cm=!$zo"</f>
        <v>#REF!</v>
      </c>
      <c r="BI61" t="e">
        <f>#REF!+"$Cm=!$zp"</f>
        <v>#REF!</v>
      </c>
      <c r="BJ61" t="e">
        <f>#REF!+"$Cm=!$zq"</f>
        <v>#REF!</v>
      </c>
      <c r="BK61" t="e">
        <f>#REF!+"$Cm=!$zr"</f>
        <v>#REF!</v>
      </c>
      <c r="BL61" t="e">
        <f>#REF!+"$Cm=!$zs"</f>
        <v>#REF!</v>
      </c>
      <c r="BM61" t="e">
        <f>#REF!+"$Cm=!$zt"</f>
        <v>#REF!</v>
      </c>
      <c r="BN61" t="e">
        <f>#REF!+"$Cm=!$zu"</f>
        <v>#REF!</v>
      </c>
      <c r="BO61" t="e">
        <f>#REF!+"$Cm=!$zv"</f>
        <v>#REF!</v>
      </c>
      <c r="BP61" t="e">
        <f>#REF!+"$Cm=!$zw"</f>
        <v>#REF!</v>
      </c>
      <c r="BQ61" t="e">
        <f>#REF!+"$Cm=!$zx"</f>
        <v>#REF!</v>
      </c>
      <c r="BR61" t="e">
        <f>#REF!+"$Cm=!$zy"</f>
        <v>#REF!</v>
      </c>
      <c r="BS61" t="e">
        <f>#REF!+"$Cm=!$zz"</f>
        <v>#REF!</v>
      </c>
      <c r="BT61" t="e">
        <f>#REF!+"$Cm=!$z{"</f>
        <v>#REF!</v>
      </c>
      <c r="BU61" t="e">
        <f>#REF!+"$Cm=!$z|"</f>
        <v>#REF!</v>
      </c>
      <c r="BV61" t="e">
        <f>#REF!+"$Cm=!$z}"</f>
        <v>#REF!</v>
      </c>
      <c r="BW61" t="e">
        <f>#REF!+"$Cm=!$z~"</f>
        <v>#REF!</v>
      </c>
      <c r="BX61" t="e">
        <f>#REF!+"$Cm=!${#"</f>
        <v>#REF!</v>
      </c>
      <c r="BY61" t="e">
        <f>#REF!+"$Cm=!${$"</f>
        <v>#REF!</v>
      </c>
      <c r="BZ61" t="e">
        <f>#REF!+"$Cm=!${%"</f>
        <v>#REF!</v>
      </c>
      <c r="CA61" t="e">
        <f>#REF!+"$Cm=!${&amp;"</f>
        <v>#REF!</v>
      </c>
      <c r="CB61" t="e">
        <f>#REF!+"$Cm=!${'"</f>
        <v>#REF!</v>
      </c>
      <c r="CC61" t="e">
        <f>#REF!+"$Cm=!${("</f>
        <v>#REF!</v>
      </c>
      <c r="CD61" t="e">
        <f>#REF!+"$Cm=!${)"</f>
        <v>#REF!</v>
      </c>
      <c r="CE61" t="e">
        <f>#REF!+"$Cm=!${."</f>
        <v>#REF!</v>
      </c>
      <c r="CF61" t="e">
        <f>#REF!+"$Cm=!${/"</f>
        <v>#REF!</v>
      </c>
      <c r="CG61" t="e">
        <f>#REF!+"$Cm=!${0"</f>
        <v>#REF!</v>
      </c>
      <c r="CH61" t="e">
        <f>#REF!+"$Cm=!${1"</f>
        <v>#REF!</v>
      </c>
      <c r="CI61" t="e">
        <f>#REF!+"$Cm=!${2"</f>
        <v>#REF!</v>
      </c>
      <c r="CJ61" t="e">
        <f>#REF!+"$Cm=!${3"</f>
        <v>#REF!</v>
      </c>
      <c r="CK61" t="e">
        <f>#REF!+"$Cm=!${4"</f>
        <v>#REF!</v>
      </c>
      <c r="CL61" t="e">
        <f>#REF!+"$Cm=!${5"</f>
        <v>#REF!</v>
      </c>
      <c r="CM61" t="e">
        <f>#REF!+"$Cm=!${6"</f>
        <v>#REF!</v>
      </c>
      <c r="CN61" t="e">
        <f>#REF!+"$Cm=!${7"</f>
        <v>#REF!</v>
      </c>
      <c r="CO61" t="e">
        <f>#REF!+"$Cm=!${8"</f>
        <v>#REF!</v>
      </c>
      <c r="CP61" t="e">
        <f>#REF!+"$Cm=!${9"</f>
        <v>#REF!</v>
      </c>
      <c r="CQ61" t="e">
        <f>#REF!+"$Cm=!${:"</f>
        <v>#REF!</v>
      </c>
      <c r="CR61" t="e">
        <f>#REF!+"$Cm=!${;"</f>
        <v>#REF!</v>
      </c>
      <c r="CS61" t="e">
        <f>#REF!+"$Cm=!${&lt;"</f>
        <v>#REF!</v>
      </c>
      <c r="CT61" t="e">
        <f>#REF!+"$Cm=!${="</f>
        <v>#REF!</v>
      </c>
      <c r="CU61" t="e">
        <f>#REF!+"$Cm=!${&gt;"</f>
        <v>#REF!</v>
      </c>
      <c r="CV61" t="e">
        <f>#REF!+"$Cm=!${?"</f>
        <v>#REF!</v>
      </c>
      <c r="CW61" t="e">
        <f>#REF!+"$Cm=!${@"</f>
        <v>#REF!</v>
      </c>
      <c r="CX61" t="e">
        <f>#REF!+"$Cm=!${A"</f>
        <v>#REF!</v>
      </c>
      <c r="CY61" t="e">
        <f>#REF!+"$Cm=!${B"</f>
        <v>#REF!</v>
      </c>
      <c r="CZ61" t="e">
        <f>#REF!+"$Cm=!${C"</f>
        <v>#REF!</v>
      </c>
      <c r="DA61" t="e">
        <f>#REF!+"$Cm=!${D"</f>
        <v>#REF!</v>
      </c>
      <c r="DB61" t="e">
        <f>#REF!+"$Cm=!${E"</f>
        <v>#REF!</v>
      </c>
      <c r="DC61" t="e">
        <f>#REF!+"$Cm=!${F"</f>
        <v>#REF!</v>
      </c>
      <c r="DD61" t="e">
        <f>#REF!+"$Cm=!${G"</f>
        <v>#REF!</v>
      </c>
      <c r="DE61" t="e">
        <f>#REF!+"$Cm=!${H"</f>
        <v>#REF!</v>
      </c>
      <c r="DF61" t="e">
        <f>#REF!+"$Cm=!${I"</f>
        <v>#REF!</v>
      </c>
      <c r="DG61" t="e">
        <f>#REF!+"$Cm=!${J"</f>
        <v>#REF!</v>
      </c>
      <c r="DH61" t="e">
        <f>#REF!+"$Cm=!${K"</f>
        <v>#REF!</v>
      </c>
      <c r="DI61" t="e">
        <f>#REF!+"$Cm=!${L"</f>
        <v>#REF!</v>
      </c>
      <c r="DJ61" t="e">
        <f>#REF!+"$Cm=!${M"</f>
        <v>#REF!</v>
      </c>
      <c r="DK61" t="e">
        <f>#REF!+"$Cm=!${N"</f>
        <v>#REF!</v>
      </c>
      <c r="DL61" t="e">
        <f>#REF!+"$Cm=!${O"</f>
        <v>#REF!</v>
      </c>
      <c r="DM61" t="e">
        <f>#REF!+"$Cm=!${P"</f>
        <v>#REF!</v>
      </c>
      <c r="DN61" t="e">
        <f>#REF!+"$Cm=!${Q"</f>
        <v>#REF!</v>
      </c>
      <c r="DO61" t="e">
        <f>#REF!+"$Cm=!${R"</f>
        <v>#REF!</v>
      </c>
      <c r="DP61" t="e">
        <f>#REF!+"$Cm=!${S"</f>
        <v>#REF!</v>
      </c>
      <c r="DQ61" t="e">
        <f>#REF!+"$Cm=!${T"</f>
        <v>#REF!</v>
      </c>
      <c r="DR61" t="e">
        <f>#REF!+"$Cm=!${U"</f>
        <v>#REF!</v>
      </c>
      <c r="DS61" t="e">
        <f>#REF!+"$Cm=!${V"</f>
        <v>#REF!</v>
      </c>
      <c r="DT61" t="e">
        <f>#REF!+"$Cm=!${W"</f>
        <v>#REF!</v>
      </c>
      <c r="DU61" t="e">
        <f>#REF!+"$Cm=!${X"</f>
        <v>#REF!</v>
      </c>
      <c r="DV61" t="e">
        <f>#REF!+"$Cm=!${Y"</f>
        <v>#REF!</v>
      </c>
      <c r="DW61" t="e">
        <f>#REF!+"$Cm=!${Z"</f>
        <v>#REF!</v>
      </c>
      <c r="DX61" t="e">
        <f>#REF!+"$Cm=!${["</f>
        <v>#REF!</v>
      </c>
      <c r="DY61" t="e">
        <f>#REF!+"$Cm=!${\"</f>
        <v>#REF!</v>
      </c>
      <c r="DZ61" t="e">
        <f>#REF!+"$Cm=!${]"</f>
        <v>#REF!</v>
      </c>
      <c r="EA61" t="e">
        <f>#REF!+"$Cm=!${^"</f>
        <v>#REF!</v>
      </c>
      <c r="EB61" t="e">
        <f>#REF!+"$Cm=!${_"</f>
        <v>#REF!</v>
      </c>
      <c r="EC61" t="e">
        <f>#REF!+"$Cm=!${`"</f>
        <v>#REF!</v>
      </c>
      <c r="ED61" t="e">
        <f>#REF!+"$Cm=!${a"</f>
        <v>#REF!</v>
      </c>
      <c r="EE61" t="e">
        <f>#REF!+"$Cm=!${b"</f>
        <v>#REF!</v>
      </c>
      <c r="EF61" t="e">
        <f>#REF!+"$Cm=!${c"</f>
        <v>#REF!</v>
      </c>
      <c r="EG61" t="e">
        <f>#REF!+"$Cm=!${d"</f>
        <v>#REF!</v>
      </c>
      <c r="EH61" t="e">
        <f>#REF!+"$Cm=!${e"</f>
        <v>#REF!</v>
      </c>
      <c r="EI61" t="e">
        <f>#REF!+"$Cm=!${f"</f>
        <v>#REF!</v>
      </c>
      <c r="EJ61" t="e">
        <f>#REF!+"$Cm=!${g"</f>
        <v>#REF!</v>
      </c>
      <c r="EK61" t="e">
        <f>#REF!+"$Cm=!${h"</f>
        <v>#REF!</v>
      </c>
      <c r="EL61" t="e">
        <f>#REF!+"$Cm=!${i"</f>
        <v>#REF!</v>
      </c>
      <c r="EM61" t="e">
        <f>#REF!+"$Cm=!${j"</f>
        <v>#REF!</v>
      </c>
      <c r="EN61" t="e">
        <f>#REF!+"$Cm=!${k"</f>
        <v>#REF!</v>
      </c>
      <c r="EO61" t="e">
        <f>#REF!+"$Cm=!${l"</f>
        <v>#REF!</v>
      </c>
      <c r="EP61" t="e">
        <f>#REF!+"$Cm=!${m"</f>
        <v>#REF!</v>
      </c>
      <c r="EQ61" t="e">
        <f>#REF!+"$Cm=!${n"</f>
        <v>#REF!</v>
      </c>
      <c r="ER61" t="e">
        <f>#REF!+"$Cm=!${o"</f>
        <v>#REF!</v>
      </c>
      <c r="ES61" t="e">
        <f>#REF!+"$Cm=!${p"</f>
        <v>#REF!</v>
      </c>
      <c r="ET61" t="e">
        <f>#REF!+"$Cm=!${q"</f>
        <v>#REF!</v>
      </c>
      <c r="EU61" t="e">
        <f>#REF!+"$Cm=!${r"</f>
        <v>#REF!</v>
      </c>
      <c r="EV61" t="e">
        <f>#REF!+"$Cm=!${s"</f>
        <v>#REF!</v>
      </c>
      <c r="EW61" t="e">
        <f>#REF!+"$Cm=!${t"</f>
        <v>#REF!</v>
      </c>
      <c r="EX61" t="e">
        <f>#REF!+"$Cm=!${u"</f>
        <v>#REF!</v>
      </c>
      <c r="EY61" t="e">
        <f>#REF!+"$Cm=!${v"</f>
        <v>#REF!</v>
      </c>
      <c r="EZ61" t="e">
        <f>#REF!+"$Cm=!${w"</f>
        <v>#REF!</v>
      </c>
      <c r="FA61" t="e">
        <f>#REF!+"$Cm=!${x"</f>
        <v>#REF!</v>
      </c>
      <c r="FB61" t="e">
        <f>#REF!+"$Cm=!${y"</f>
        <v>#REF!</v>
      </c>
      <c r="FC61" t="e">
        <f>#REF!+"$Cm=!${z"</f>
        <v>#REF!</v>
      </c>
      <c r="FD61" t="e">
        <f>#REF!+"$Cm=!${{"</f>
        <v>#REF!</v>
      </c>
      <c r="FE61" t="e">
        <f>#REF!+"$Cm=!${|"</f>
        <v>#REF!</v>
      </c>
      <c r="FF61" t="e">
        <f>#REF!+"$Cm=!${}"</f>
        <v>#REF!</v>
      </c>
      <c r="FG61" t="e">
        <f>#REF!+"$Cm=!${~"</f>
        <v>#REF!</v>
      </c>
      <c r="FH61" t="e">
        <f>#REF!+"$Cm=!$|#"</f>
        <v>#REF!</v>
      </c>
      <c r="FI61" t="e">
        <f>#REF!+"$Cm=!$|$"</f>
        <v>#REF!</v>
      </c>
      <c r="FJ61" t="e">
        <f>#REF!+"$Cm=!$|%"</f>
        <v>#REF!</v>
      </c>
      <c r="FK61" t="e">
        <f>#REF!+"$Cm=!$|&amp;"</f>
        <v>#REF!</v>
      </c>
      <c r="FL61" t="e">
        <f>#REF!+"$Cm=!$|'"</f>
        <v>#REF!</v>
      </c>
      <c r="FM61" t="e">
        <f>#REF!+"$Cm=!$|("</f>
        <v>#REF!</v>
      </c>
      <c r="FN61" t="e">
        <f>#REF!+"$Cm=!$|)"</f>
        <v>#REF!</v>
      </c>
      <c r="FO61" t="e">
        <f>#REF!+"$Cm=!$|."</f>
        <v>#REF!</v>
      </c>
      <c r="FP61" t="e">
        <f>#REF!+"$Cm=!$|/"</f>
        <v>#REF!</v>
      </c>
      <c r="FQ61" t="e">
        <f>#REF!+"$Cm=!$|0"</f>
        <v>#REF!</v>
      </c>
      <c r="FR61" t="e">
        <f>#REF!+"$Cm=!$|1"</f>
        <v>#REF!</v>
      </c>
      <c r="FS61" t="e">
        <f>#REF!+"$Cm=!$|2"</f>
        <v>#REF!</v>
      </c>
      <c r="FT61" t="e">
        <f>#REF!+"$Cm=!$|3"</f>
        <v>#REF!</v>
      </c>
      <c r="FU61" t="e">
        <f>#REF!+"$Cm=!$|4"</f>
        <v>#REF!</v>
      </c>
      <c r="FV61" t="e">
        <f>#REF!+"$Cm=!$|5"</f>
        <v>#REF!</v>
      </c>
      <c r="FW61" t="e">
        <f>#REF!+"$Cm=!$|6"</f>
        <v>#REF!</v>
      </c>
      <c r="FX61" t="e">
        <f>#REF!+"$Cm=!$|7"</f>
        <v>#REF!</v>
      </c>
      <c r="FY61" t="e">
        <f>#REF!+"$Cm=!$|8"</f>
        <v>#REF!</v>
      </c>
      <c r="FZ61" t="e">
        <f>#REF!+"$Cm=!$|9"</f>
        <v>#REF!</v>
      </c>
      <c r="GA61" t="e">
        <f>#REF!+"$Cm=!$|:"</f>
        <v>#REF!</v>
      </c>
      <c r="GB61" t="e">
        <f>#REF!+"$Cm=!$|;"</f>
        <v>#REF!</v>
      </c>
      <c r="GC61" t="e">
        <f>#REF!+"$Cm=!$|&lt;"</f>
        <v>#REF!</v>
      </c>
      <c r="GD61" t="e">
        <f>#REF!+"$Cm=!$|="</f>
        <v>#REF!</v>
      </c>
      <c r="GE61" t="e">
        <f>#REF!+"$Cm=!$|&gt;"</f>
        <v>#REF!</v>
      </c>
      <c r="GF61" t="e">
        <f>#REF!+"$Cm=!$|?"</f>
        <v>#REF!</v>
      </c>
      <c r="GG61" t="e">
        <f>#REF!+"$Cm=!$|@"</f>
        <v>#REF!</v>
      </c>
      <c r="GH61" t="e">
        <f>#REF!+"$Cm=!$|A"</f>
        <v>#REF!</v>
      </c>
      <c r="GI61" t="e">
        <f>#REF!+"$Cm=!$|B"</f>
        <v>#REF!</v>
      </c>
      <c r="GJ61" t="e">
        <f>#REF!+"$Cm=!$|C"</f>
        <v>#REF!</v>
      </c>
      <c r="GK61" t="e">
        <f>#REF!+"$Cm=!$|D"</f>
        <v>#REF!</v>
      </c>
      <c r="GL61" t="e">
        <f>#REF!+"$Cm=!$|E"</f>
        <v>#REF!</v>
      </c>
      <c r="GM61" t="e">
        <f>#REF!+"$Cm=!$|F"</f>
        <v>#REF!</v>
      </c>
      <c r="GN61" t="e">
        <f>#REF!+"$Cm=!$|G"</f>
        <v>#REF!</v>
      </c>
      <c r="GO61" t="e">
        <f>#REF!+"$Cm=!$|H"</f>
        <v>#REF!</v>
      </c>
      <c r="GP61" t="e">
        <f>#REF!+"$Cm=!$|I"</f>
        <v>#REF!</v>
      </c>
      <c r="GQ61" t="e">
        <f>#REF!+"$Cm=!$|J"</f>
        <v>#REF!</v>
      </c>
      <c r="GR61" t="e">
        <f>#REF!+"$Cm=!$|K"</f>
        <v>#REF!</v>
      </c>
      <c r="GS61" t="e">
        <f>#REF!+"$Cm=!$|L"</f>
        <v>#REF!</v>
      </c>
      <c r="GT61" t="e">
        <f>#REF!+"$Cm=!$|M"</f>
        <v>#REF!</v>
      </c>
      <c r="GU61" t="e">
        <f>#REF!+"$Cm=!$|N"</f>
        <v>#REF!</v>
      </c>
      <c r="GV61" t="e">
        <f>#REF!+"$Cm=!$|O"</f>
        <v>#REF!</v>
      </c>
      <c r="GW61" t="e">
        <f>#REF!+"$Cm=!$|P"</f>
        <v>#REF!</v>
      </c>
      <c r="GX61" t="e">
        <f>#REF!+"$Cm=!$|Q"</f>
        <v>#REF!</v>
      </c>
      <c r="GY61" t="e">
        <f>#REF!+"$Cm=!$|R"</f>
        <v>#REF!</v>
      </c>
      <c r="GZ61" t="e">
        <f>#REF!+"$Cm=!$|S"</f>
        <v>#REF!</v>
      </c>
      <c r="HA61" t="e">
        <f>#REF!+"$Cm=!$|T"</f>
        <v>#REF!</v>
      </c>
      <c r="HB61" t="e">
        <f>#REF!+"$Cm=!$|U"</f>
        <v>#REF!</v>
      </c>
      <c r="HC61" t="e">
        <f>#REF!+"$Cm=!$|V"</f>
        <v>#REF!</v>
      </c>
      <c r="HD61" t="e">
        <f>#REF!+"$Cm=!$|W"</f>
        <v>#REF!</v>
      </c>
      <c r="HE61" t="e">
        <f>#REF!+"$Cm=!$|X"</f>
        <v>#REF!</v>
      </c>
      <c r="HF61" t="e">
        <f>#REF!+"$Cm=!$|Y"</f>
        <v>#REF!</v>
      </c>
      <c r="HG61" t="e">
        <f>#REF!+"$Cm=!$|Z"</f>
        <v>#REF!</v>
      </c>
      <c r="HH61" t="e">
        <f>#REF!+"$Cm=!$|["</f>
        <v>#REF!</v>
      </c>
      <c r="HI61" t="e">
        <f>#REF!+"$Cm=!$|\"</f>
        <v>#REF!</v>
      </c>
      <c r="HJ61" t="e">
        <f>#REF!+"$Cm=!$|]"</f>
        <v>#REF!</v>
      </c>
      <c r="HK61" t="e">
        <f>#REF!+"$Cm=!$|^"</f>
        <v>#REF!</v>
      </c>
      <c r="HL61" t="e">
        <f>#REF!+"$Cm=!$|_"</f>
        <v>#REF!</v>
      </c>
      <c r="HM61" t="e">
        <f>#REF!+"$Cm=!$|`"</f>
        <v>#REF!</v>
      </c>
      <c r="HN61" t="e">
        <f>#REF!+"$Cm=!$|a"</f>
        <v>#REF!</v>
      </c>
      <c r="HO61" t="e">
        <f>#REF!+"$Cm=!$|b"</f>
        <v>#REF!</v>
      </c>
      <c r="HP61" t="e">
        <f>#REF!+"$Cm=!$|c"</f>
        <v>#REF!</v>
      </c>
      <c r="HQ61" t="e">
        <f>#REF!+"$Cm=!$|d"</f>
        <v>#REF!</v>
      </c>
      <c r="HR61" t="e">
        <f>#REF!+"$Cm=!$|e"</f>
        <v>#REF!</v>
      </c>
      <c r="HS61" t="e">
        <f>#REF!+"$Cm=!$|f"</f>
        <v>#REF!</v>
      </c>
      <c r="HT61" t="e">
        <f>#REF!+"$Cm=!$|g"</f>
        <v>#REF!</v>
      </c>
      <c r="HU61" t="e">
        <f>#REF!+"$Cm=!$|h"</f>
        <v>#REF!</v>
      </c>
      <c r="HV61" t="e">
        <f>#REF!+"$Cm=!$|i"</f>
        <v>#REF!</v>
      </c>
      <c r="HW61" t="e">
        <f>#REF!+"$Cm=!$|j"</f>
        <v>#REF!</v>
      </c>
      <c r="HX61" t="e">
        <f>#REF!+"$Cm=!$|k"</f>
        <v>#REF!</v>
      </c>
      <c r="HY61" t="e">
        <f>#REF!+"$Cm=!$|l"</f>
        <v>#REF!</v>
      </c>
      <c r="HZ61" t="e">
        <f>#REF!+"$Cm=!$|m"</f>
        <v>#REF!</v>
      </c>
      <c r="IA61" t="e">
        <f>#REF!+"$Cm=!$|n"</f>
        <v>#REF!</v>
      </c>
      <c r="IB61" t="e">
        <f>#REF!+"$Cm=!$|o"</f>
        <v>#REF!</v>
      </c>
      <c r="IC61" t="e">
        <f>#REF!+"$Cm=!$|p"</f>
        <v>#REF!</v>
      </c>
      <c r="ID61" t="e">
        <f>#REF!+"$Cm=!$|q"</f>
        <v>#REF!</v>
      </c>
      <c r="IE61" t="e">
        <f>#REF!+"$Cm=!$|r"</f>
        <v>#REF!</v>
      </c>
      <c r="IF61" t="e">
        <f>#REF!+"$Cm=!$|s"</f>
        <v>#REF!</v>
      </c>
      <c r="IG61" t="e">
        <f>#REF!+"$Cm=!$|t"</f>
        <v>#REF!</v>
      </c>
      <c r="IH61" t="e">
        <f>#REF!+"$Cm=!$|u"</f>
        <v>#REF!</v>
      </c>
      <c r="II61" t="e">
        <f>#REF!+"$Cm=!$|v"</f>
        <v>#REF!</v>
      </c>
      <c r="IJ61" t="e">
        <f>#REF!+"$Cm=!$|w"</f>
        <v>#REF!</v>
      </c>
      <c r="IK61" t="e">
        <f>#REF!+"$Cm=!$|x"</f>
        <v>#REF!</v>
      </c>
      <c r="IL61" t="e">
        <f>#REF!+"$Cm=!$|y"</f>
        <v>#REF!</v>
      </c>
      <c r="IM61" t="e">
        <f>#REF!+"$Cm=!$|z"</f>
        <v>#REF!</v>
      </c>
      <c r="IN61" t="e">
        <f>#REF!+"$Cm=!$|{"</f>
        <v>#REF!</v>
      </c>
      <c r="IO61" t="e">
        <f>#REF!+"$Cm=!$||"</f>
        <v>#REF!</v>
      </c>
      <c r="IP61" t="e">
        <f>#REF!+"$Cm=!$|}"</f>
        <v>#REF!</v>
      </c>
      <c r="IQ61" t="e">
        <f>#REF!+"$Cm=!$|~"</f>
        <v>#REF!</v>
      </c>
      <c r="IR61" t="e">
        <f>#REF!+"$Cm=!$}#"</f>
        <v>#REF!</v>
      </c>
      <c r="IS61" t="e">
        <f>#REF!+"$Cm=!$}$"</f>
        <v>#REF!</v>
      </c>
      <c r="IT61" t="e">
        <f>#REF!+"$Cm=!$}%"</f>
        <v>#REF!</v>
      </c>
      <c r="IU61" t="e">
        <f>#REF!+"$Cm=!$}&amp;"</f>
        <v>#REF!</v>
      </c>
      <c r="IV61" t="e">
        <f>#REF!+"$Cm=!$}'"</f>
        <v>#REF!</v>
      </c>
    </row>
    <row r="62" spans="6:256">
      <c r="F62" t="e">
        <f>#REF!+"$Cm=!$}("</f>
        <v>#REF!</v>
      </c>
      <c r="G62" t="e">
        <f>#REF!+"$Cm=!$})"</f>
        <v>#REF!</v>
      </c>
      <c r="H62" t="e">
        <f>#REF!+"$Cm=!$}."</f>
        <v>#REF!</v>
      </c>
      <c r="I62" t="e">
        <f>#REF!+"$Cm=!$}/"</f>
        <v>#REF!</v>
      </c>
      <c r="J62" t="e">
        <f>#REF!+"$Cm=!$}0"</f>
        <v>#REF!</v>
      </c>
      <c r="K62" t="e">
        <f>#REF!+"$Cm=!$}1"</f>
        <v>#REF!</v>
      </c>
      <c r="L62" t="e">
        <f>#REF!+"$Cm=!$}2"</f>
        <v>#REF!</v>
      </c>
      <c r="M62" t="e">
        <f>#REF!+"$Cm=!$}3"</f>
        <v>#REF!</v>
      </c>
      <c r="N62" t="e">
        <f>#REF!+"$Cm=!$}4"</f>
        <v>#REF!</v>
      </c>
      <c r="O62" t="e">
        <f>#REF!+"$Cm=!$}5"</f>
        <v>#REF!</v>
      </c>
      <c r="P62" t="e">
        <f>#REF!+"$Cm=!$}6"</f>
        <v>#REF!</v>
      </c>
      <c r="Q62" t="e">
        <f>#REF!+"$Cm=!$}7"</f>
        <v>#REF!</v>
      </c>
      <c r="R62" t="e">
        <f>#REF!+"$Cm=!$}8"</f>
        <v>#REF!</v>
      </c>
      <c r="S62" t="e">
        <f>#REF!+"$Cm=!$}9"</f>
        <v>#REF!</v>
      </c>
      <c r="T62" t="e">
        <f>#REF!+"$Cm=!$}:"</f>
        <v>#REF!</v>
      </c>
      <c r="U62" t="e">
        <f>#REF!+"$Cm=!$};"</f>
        <v>#REF!</v>
      </c>
      <c r="V62" t="e">
        <f>#REF!+"$Cm=!$}&lt;"</f>
        <v>#REF!</v>
      </c>
      <c r="W62" t="e">
        <f>#REF!+"$Cm=!$}="</f>
        <v>#REF!</v>
      </c>
      <c r="X62" t="e">
        <f>#REF!+"$Cm=!$}&gt;"</f>
        <v>#REF!</v>
      </c>
      <c r="Y62" t="e">
        <f>#REF!+"$Cm=!$}?"</f>
        <v>#REF!</v>
      </c>
      <c r="Z62" t="e">
        <f>#REF!+"$Cm=!$}@"</f>
        <v>#REF!</v>
      </c>
      <c r="AA62" t="e">
        <f>#REF!+"$Cm=!$}A"</f>
        <v>#REF!</v>
      </c>
      <c r="AB62" t="e">
        <f>#REF!+"$Cm=!$}B"</f>
        <v>#REF!</v>
      </c>
      <c r="AC62" t="e">
        <f>#REF!+"$Cm=!$}C"</f>
        <v>#REF!</v>
      </c>
      <c r="AD62" t="e">
        <f>#REF!+"$Cm=!$}D"</f>
        <v>#REF!</v>
      </c>
      <c r="AE62" t="e">
        <f>#REF!+"$Cm=!$}E"</f>
        <v>#REF!</v>
      </c>
      <c r="AF62" t="e">
        <f>#REF!+"$Cm=!$}F"</f>
        <v>#REF!</v>
      </c>
      <c r="AG62" t="e">
        <f>#REF!+"$Cm=!$}G"</f>
        <v>#REF!</v>
      </c>
      <c r="AH62" t="e">
        <f>#REF!+"$Cm=!$}H"</f>
        <v>#REF!</v>
      </c>
      <c r="AI62" t="e">
        <f>#REF!+"$Cm=!$}I"</f>
        <v>#REF!</v>
      </c>
      <c r="AJ62" t="e">
        <f>#REF!+"$Cm=!$}J"</f>
        <v>#REF!</v>
      </c>
      <c r="AK62" t="e">
        <f>#REF!+"$Cm=!$}K"</f>
        <v>#REF!</v>
      </c>
      <c r="AL62" t="e">
        <f>#REF!+"$Cm=!$}L"</f>
        <v>#REF!</v>
      </c>
      <c r="AM62" t="e">
        <f>#REF!+"$Cm=!$}M"</f>
        <v>#REF!</v>
      </c>
      <c r="AN62" t="e">
        <f>#REF!+"$Cm=!$}N"</f>
        <v>#REF!</v>
      </c>
      <c r="AO62" t="e">
        <f>#REF!+"$Cm=!$}O"</f>
        <v>#REF!</v>
      </c>
      <c r="AP62" t="e">
        <f>#REF!+"$Cm=!$}P"</f>
        <v>#REF!</v>
      </c>
      <c r="AQ62" t="e">
        <f>#REF!+"$Cm=!$}Q"</f>
        <v>#REF!</v>
      </c>
      <c r="AR62" t="e">
        <f>#REF!+"$Cm=!$}R"</f>
        <v>#REF!</v>
      </c>
      <c r="AS62" t="e">
        <f>#REF!+"$Cm=!$}S"</f>
        <v>#REF!</v>
      </c>
      <c r="AT62" t="e">
        <f>#REF!+"$Cm=!$}T"</f>
        <v>#REF!</v>
      </c>
      <c r="AU62" t="e">
        <f>#REF!+"$Cm=!$}U"</f>
        <v>#REF!</v>
      </c>
      <c r="AV62" t="e">
        <f>#REF!+"$Cm=!$}V"</f>
        <v>#REF!</v>
      </c>
      <c r="AW62" t="e">
        <f>#REF!+"$Cm=!$}W"</f>
        <v>#REF!</v>
      </c>
      <c r="AX62" t="e">
        <f>#REF!+"$Cm=!$}X"</f>
        <v>#REF!</v>
      </c>
      <c r="AY62" t="e">
        <f>#REF!+"$Cm=!$}Y"</f>
        <v>#REF!</v>
      </c>
      <c r="AZ62" t="e">
        <f>#REF!+"$Cm=!$}Z"</f>
        <v>#REF!</v>
      </c>
      <c r="BA62" t="e">
        <f>#REF!+"$Cm=!$}["</f>
        <v>#REF!</v>
      </c>
      <c r="BB62" t="e">
        <f>#REF!+"$Cm=!$}\"</f>
        <v>#REF!</v>
      </c>
      <c r="BC62" t="e">
        <f>#REF!+"$Cm=!$}]"</f>
        <v>#REF!</v>
      </c>
      <c r="BD62" t="e">
        <f>#REF!+"$Cm=!$}^"</f>
        <v>#REF!</v>
      </c>
      <c r="BE62" t="e">
        <f>#REF!+"$Cm=!$}_"</f>
        <v>#REF!</v>
      </c>
      <c r="BF62" t="e">
        <f>#REF!+"$Cm=!$}`"</f>
        <v>#REF!</v>
      </c>
      <c r="BG62" t="e">
        <f>#REF!+"$Cm=!$}a"</f>
        <v>#REF!</v>
      </c>
      <c r="BH62" t="e">
        <f>#REF!+"$Cm=!$}b"</f>
        <v>#REF!</v>
      </c>
      <c r="BI62" t="e">
        <f>#REF!+"$Cm=!$}c"</f>
        <v>#REF!</v>
      </c>
      <c r="BJ62" t="e">
        <f>#REF!+"$Cm=!$}d"</f>
        <v>#REF!</v>
      </c>
      <c r="BK62" t="e">
        <f>#REF!+"$Cm=!$}e"</f>
        <v>#REF!</v>
      </c>
      <c r="BL62" t="e">
        <f>#REF!+"$Cm=!$}f"</f>
        <v>#REF!</v>
      </c>
      <c r="BM62" t="e">
        <f>#REF!+"$Cm=!$}g"</f>
        <v>#REF!</v>
      </c>
      <c r="BN62" t="e">
        <f>#REF!+"$Cm=!$}h"</f>
        <v>#REF!</v>
      </c>
      <c r="BO62" t="e">
        <f>#REF!+"$Cm=!$}i"</f>
        <v>#REF!</v>
      </c>
      <c r="BP62" t="e">
        <f>#REF!+"$Cm=!$}j"</f>
        <v>#REF!</v>
      </c>
      <c r="BQ62" t="e">
        <f>#REF!+"$Cm=!$}k"</f>
        <v>#REF!</v>
      </c>
      <c r="BR62" t="e">
        <f>#REF!+"$Cm=!$}l"</f>
        <v>#REF!</v>
      </c>
      <c r="BS62" t="e">
        <f>#REF!+"$Cm=!$}m"</f>
        <v>#REF!</v>
      </c>
      <c r="BT62" t="e">
        <f>#REF!+"$Cm=!$}n"</f>
        <v>#REF!</v>
      </c>
      <c r="BU62" t="e">
        <f>#REF!+"$Cm=!$}o"</f>
        <v>#REF!</v>
      </c>
      <c r="BV62" t="e">
        <f>#REF!+"$Cm=!$}p"</f>
        <v>#REF!</v>
      </c>
      <c r="BW62" t="e">
        <f>#REF!+"$Cm=!$}q"</f>
        <v>#REF!</v>
      </c>
      <c r="BX62" t="e">
        <f>#REF!+"$Cm=!$}r"</f>
        <v>#REF!</v>
      </c>
      <c r="BY62" t="e">
        <f>#REF!+"$Cm=!$}s"</f>
        <v>#REF!</v>
      </c>
      <c r="BZ62" t="e">
        <f>#REF!+"$Cm=!$}t"</f>
        <v>#REF!</v>
      </c>
      <c r="CA62" t="e">
        <f>#REF!+"$Cm=!$}u"</f>
        <v>#REF!</v>
      </c>
      <c r="CB62" t="e">
        <f>#REF!+"$Cm=!$}v"</f>
        <v>#REF!</v>
      </c>
      <c r="CC62" t="e">
        <f>#REF!+"$Cm=!$}w"</f>
        <v>#REF!</v>
      </c>
      <c r="CD62" t="e">
        <f>#REF!+"$Cm=!$}x"</f>
        <v>#REF!</v>
      </c>
      <c r="CE62" t="e">
        <f>#REF!+"$Cm=!$}y"</f>
        <v>#REF!</v>
      </c>
      <c r="CF62" t="e">
        <f>#REF!+"$Cm=!$}z"</f>
        <v>#REF!</v>
      </c>
      <c r="CG62" t="e">
        <f>#REF!+"$Cm=!$}{"</f>
        <v>#REF!</v>
      </c>
      <c r="CH62" t="e">
        <f>#REF!+"$Cm=!$}|"</f>
        <v>#REF!</v>
      </c>
      <c r="CI62" t="e">
        <f>#REF!+"$Cm=!$}}"</f>
        <v>#REF!</v>
      </c>
      <c r="CJ62" t="e">
        <f>#REF!+"$Cm=!$}~"</f>
        <v>#REF!</v>
      </c>
      <c r="CK62" t="e">
        <f>#REF!+"$Cm=!$~#"</f>
        <v>#REF!</v>
      </c>
      <c r="CL62" t="e">
        <f>#REF!+"$Cm=!$~$"</f>
        <v>#REF!</v>
      </c>
      <c r="CM62" t="e">
        <f>#REF!+"$Cm=!$~%"</f>
        <v>#REF!</v>
      </c>
      <c r="CN62" t="e">
        <f>#REF!+"$Cm=!$~&amp;"</f>
        <v>#REF!</v>
      </c>
      <c r="CO62" t="e">
        <f>#REF!+"$Cm=!$~'"</f>
        <v>#REF!</v>
      </c>
      <c r="CP62" t="e">
        <f>#REF!+"$Cm=!$~("</f>
        <v>#REF!</v>
      </c>
      <c r="CQ62" t="e">
        <f>#REF!+"$Cm=!$~)"</f>
        <v>#REF!</v>
      </c>
      <c r="CR62" t="e">
        <f>#REF!+"$Cm=!$~."</f>
        <v>#REF!</v>
      </c>
      <c r="CS62" t="e">
        <f>#REF!+"$Cm=!$~/"</f>
        <v>#REF!</v>
      </c>
      <c r="CT62" t="e">
        <f>#REF!+"$Cm=!$~0"</f>
        <v>#REF!</v>
      </c>
      <c r="CU62" t="e">
        <f>#REF!+"$Cm=!$~1"</f>
        <v>#REF!</v>
      </c>
      <c r="CV62" t="e">
        <f>#REF!+"$Cm=!$~2"</f>
        <v>#REF!</v>
      </c>
      <c r="CW62" t="e">
        <f>#REF!+"$Cm=!$~3"</f>
        <v>#REF!</v>
      </c>
      <c r="CX62" t="e">
        <f>#REF!+"$Cm=!$~4"</f>
        <v>#REF!</v>
      </c>
      <c r="CY62" t="e">
        <f>#REF!+"$Cm=!$~5"</f>
        <v>#REF!</v>
      </c>
      <c r="CZ62" t="e">
        <f>#REF!+"$Cm=!$~6"</f>
        <v>#REF!</v>
      </c>
      <c r="DA62" t="e">
        <f>#REF!+"$Cm=!$~7"</f>
        <v>#REF!</v>
      </c>
      <c r="DB62" t="e">
        <f>#REF!+"$Cm=!$~8"</f>
        <v>#REF!</v>
      </c>
      <c r="DC62" t="e">
        <f>#REF!+"$Cm=!$~9"</f>
        <v>#REF!</v>
      </c>
      <c r="DD62" t="e">
        <f>#REF!+"$Cm=!$~:"</f>
        <v>#REF!</v>
      </c>
      <c r="DE62" t="e">
        <f>#REF!+"$Cm=!$~;"</f>
        <v>#REF!</v>
      </c>
      <c r="DF62" t="e">
        <f>#REF!+"$Cm=!$~&lt;"</f>
        <v>#REF!</v>
      </c>
      <c r="DG62" t="e">
        <f>#REF!+"$Cm=!$~="</f>
        <v>#REF!</v>
      </c>
      <c r="DH62" t="e">
        <f>#REF!+"$Cm=!$~&gt;"</f>
        <v>#REF!</v>
      </c>
      <c r="DI62" t="e">
        <f>#REF!+"$Cm=!$~?"</f>
        <v>#REF!</v>
      </c>
      <c r="DJ62" t="e">
        <f>#REF!+"$Cm=!$~@"</f>
        <v>#REF!</v>
      </c>
      <c r="DK62" t="e">
        <f>#REF!+"$Cm=!$~A"</f>
        <v>#REF!</v>
      </c>
      <c r="DL62" t="e">
        <f>#REF!+"$Cm=!$~B"</f>
        <v>#REF!</v>
      </c>
      <c r="DM62" t="e">
        <f>#REF!+"$Cm=!$~C"</f>
        <v>#REF!</v>
      </c>
      <c r="DN62" t="e">
        <f>#REF!+"$Cm=!$~D"</f>
        <v>#REF!</v>
      </c>
      <c r="DO62" t="e">
        <f>#REF!+"$Cm=!$~E"</f>
        <v>#REF!</v>
      </c>
      <c r="DP62" t="e">
        <f>#REF!+"$Cm=!$~F"</f>
        <v>#REF!</v>
      </c>
      <c r="DQ62" t="e">
        <f>#REF!+"$Cm=!$~G"</f>
        <v>#REF!</v>
      </c>
      <c r="DR62" t="e">
        <f>#REF!+"$Cm=!$~H"</f>
        <v>#REF!</v>
      </c>
      <c r="DS62" t="e">
        <f>#REF!+"$Cm=!$~I"</f>
        <v>#REF!</v>
      </c>
      <c r="DT62" t="e">
        <f>#REF!+"$Cm=!$~J"</f>
        <v>#REF!</v>
      </c>
      <c r="DU62" t="e">
        <f>#REF!+"$Cm=!$~K"</f>
        <v>#REF!</v>
      </c>
      <c r="DV62" t="e">
        <f>#REF!+"$Cm=!$~L"</f>
        <v>#REF!</v>
      </c>
      <c r="DW62" t="e">
        <f>#REF!+"$Cm=!$~M"</f>
        <v>#REF!</v>
      </c>
      <c r="DX62" t="e">
        <f>#REF!+"$Cm=!$~N"</f>
        <v>#REF!</v>
      </c>
      <c r="DY62" t="e">
        <f>#REF!+"$Cm=!$~O"</f>
        <v>#REF!</v>
      </c>
      <c r="DZ62" t="e">
        <f>#REF!+"$Cm=!$~P"</f>
        <v>#REF!</v>
      </c>
      <c r="EA62" t="e">
        <f>#REF!+"$Cm=!$~Q"</f>
        <v>#REF!</v>
      </c>
      <c r="EB62" t="e">
        <f>#REF!+"$Cm=!$~R"</f>
        <v>#REF!</v>
      </c>
      <c r="EC62" t="e">
        <f>#REF!+"$Cm=!$~S"</f>
        <v>#REF!</v>
      </c>
      <c r="ED62" t="e">
        <f>#REF!+"$Cm=!$~T"</f>
        <v>#REF!</v>
      </c>
      <c r="EE62" t="e">
        <f>#REF!+"$Cm=!$~U"</f>
        <v>#REF!</v>
      </c>
      <c r="EF62" t="e">
        <f>#REF!+"$Cm=!$~V"</f>
        <v>#REF!</v>
      </c>
      <c r="EG62" t="e">
        <f>#REF!+"$Cm=!$~W"</f>
        <v>#REF!</v>
      </c>
      <c r="EH62" t="e">
        <f>#REF!+"$Cm=!$~X"</f>
        <v>#REF!</v>
      </c>
      <c r="EI62" t="e">
        <f>#REF!+"$Cm=!$~Y"</f>
        <v>#REF!</v>
      </c>
      <c r="EJ62" t="e">
        <f>#REF!+"$Cm=!$~Z"</f>
        <v>#REF!</v>
      </c>
      <c r="EK62" t="e">
        <f>#REF!+"$Cm=!$~["</f>
        <v>#REF!</v>
      </c>
      <c r="EL62" t="e">
        <f>#REF!+"$Cm=!$~\"</f>
        <v>#REF!</v>
      </c>
      <c r="EM62" t="e">
        <f>#REF!+"$Cm=!$~]"</f>
        <v>#REF!</v>
      </c>
      <c r="EN62" t="e">
        <f>#REF!+"$Cm=!$~^"</f>
        <v>#REF!</v>
      </c>
      <c r="EO62" t="e">
        <f>#REF!+"$Cm=!$~_"</f>
        <v>#REF!</v>
      </c>
      <c r="EP62" t="e">
        <f>#REF!+"$Cm=!$~`"</f>
        <v>#REF!</v>
      </c>
      <c r="EQ62" t="e">
        <f>#REF!+"$Cm=!$~a"</f>
        <v>#REF!</v>
      </c>
      <c r="ER62" t="e">
        <f>#REF!+"$Cm=!$~b"</f>
        <v>#REF!</v>
      </c>
      <c r="ES62" t="e">
        <f>#REF!+"$Cm=!$~c"</f>
        <v>#REF!</v>
      </c>
      <c r="ET62" t="e">
        <f>#REF!+"$Cm=!$~d"</f>
        <v>#REF!</v>
      </c>
      <c r="EU62" t="e">
        <f>#REF!+"$Cm=!$~e"</f>
        <v>#REF!</v>
      </c>
      <c r="EV62" t="e">
        <f>#REF!+"$Cm=!$~f"</f>
        <v>#REF!</v>
      </c>
      <c r="EW62" t="e">
        <f>#REF!+"$Cm=!$~g"</f>
        <v>#REF!</v>
      </c>
      <c r="EX62" t="e">
        <f>#REF!+"$Cm=!$~h"</f>
        <v>#REF!</v>
      </c>
      <c r="EY62" t="e">
        <f>#REF!+"$Cm=!$~i"</f>
        <v>#REF!</v>
      </c>
      <c r="EZ62" t="e">
        <f>#REF!+"$Cm=!$~j"</f>
        <v>#REF!</v>
      </c>
      <c r="FA62" t="e">
        <f>#REF!+"$Cm=!$~k"</f>
        <v>#REF!</v>
      </c>
      <c r="FB62" t="e">
        <f>#REF!+"$Cm=!$~l"</f>
        <v>#REF!</v>
      </c>
      <c r="FC62" t="e">
        <f>#REF!+"$Cm=!$~m"</f>
        <v>#REF!</v>
      </c>
      <c r="FD62" t="e">
        <f>#REF!+"$Cm=!$~n"</f>
        <v>#REF!</v>
      </c>
      <c r="FE62" t="e">
        <f>#REF!+"$Cm=!$~o"</f>
        <v>#REF!</v>
      </c>
      <c r="FF62" t="e">
        <f>#REF!+"$Cm=!$~p"</f>
        <v>#REF!</v>
      </c>
      <c r="FG62" t="e">
        <f>#REF!+"$Cm=!$~q"</f>
        <v>#REF!</v>
      </c>
      <c r="FH62" t="e">
        <f>#REF!+"$Cm=!$~r"</f>
        <v>#REF!</v>
      </c>
      <c r="FI62" t="e">
        <f>#REF!+"$Cm=!$~s"</f>
        <v>#REF!</v>
      </c>
      <c r="FJ62" t="e">
        <f>#REF!+"$Cm=!$~t"</f>
        <v>#REF!</v>
      </c>
      <c r="FK62" t="e">
        <f>#REF!+"$Cm=!$~u"</f>
        <v>#REF!</v>
      </c>
      <c r="FL62" t="e">
        <f>#REF!+"$Cm=!$~v"</f>
        <v>#REF!</v>
      </c>
      <c r="FM62" t="e">
        <f>#REF!+"$Cm=!$~w"</f>
        <v>#REF!</v>
      </c>
      <c r="FN62" t="e">
        <f>#REF!+"$Cm=!$~x"</f>
        <v>#REF!</v>
      </c>
      <c r="FO62" t="e">
        <f>#REF!+"$Cm=!$~y"</f>
        <v>#REF!</v>
      </c>
      <c r="FP62" t="e">
        <f>#REF!+"$Cm=!$~z"</f>
        <v>#REF!</v>
      </c>
      <c r="FQ62" t="e">
        <f>#REF!+"$Cm=!$~{"</f>
        <v>#REF!</v>
      </c>
      <c r="FR62" t="e">
        <f>#REF!+"$Cm=!$~|"</f>
        <v>#REF!</v>
      </c>
      <c r="FS62" t="e">
        <f>#REF!+"$Cm=!$~}"</f>
        <v>#REF!</v>
      </c>
      <c r="FT62" t="e">
        <f>#REF!+"$Cm=!$~~"</f>
        <v>#REF!</v>
      </c>
      <c r="FU62" t="e">
        <f>#REF!+"$Cm=!%##"</f>
        <v>#REF!</v>
      </c>
      <c r="FV62" t="e">
        <f>#REF!+"$Cm=!%#$"</f>
        <v>#REF!</v>
      </c>
      <c r="FW62" t="e">
        <f>#REF!+"$Cm=!%#%"</f>
        <v>#REF!</v>
      </c>
      <c r="FX62" t="e">
        <f>#REF!+"$Cm=!%#&amp;"</f>
        <v>#REF!</v>
      </c>
      <c r="FY62" t="e">
        <f>#REF!+"$Cm=!%#'"</f>
        <v>#REF!</v>
      </c>
      <c r="FZ62" t="e">
        <f>#REF!+"$Cm=!%#("</f>
        <v>#REF!</v>
      </c>
      <c r="GA62" t="e">
        <f>#REF!+"$Cm=!%#)"</f>
        <v>#REF!</v>
      </c>
      <c r="GB62" t="e">
        <f>#REF!+"$Cm=!%#."</f>
        <v>#REF!</v>
      </c>
      <c r="GC62" t="e">
        <f>#REF!+"$Cm=!%#/"</f>
        <v>#REF!</v>
      </c>
      <c r="GD62" t="e">
        <f>#REF!+"$Cm=!%#0"</f>
        <v>#REF!</v>
      </c>
      <c r="GE62" t="e">
        <f>#REF!+"$Cm=!%#1"</f>
        <v>#REF!</v>
      </c>
      <c r="GF62" t="e">
        <f>#REF!+"$Cm=!%#2"</f>
        <v>#REF!</v>
      </c>
      <c r="GG62" t="e">
        <f>#REF!+"$Cm=!%#3"</f>
        <v>#REF!</v>
      </c>
      <c r="GH62" t="e">
        <f>#REF!+"$Cm=!%#4"</f>
        <v>#REF!</v>
      </c>
      <c r="GI62" t="e">
        <f>#REF!+"$Cm=!%#5"</f>
        <v>#REF!</v>
      </c>
      <c r="GJ62" t="e">
        <f>#REF!+"$Cm=!%#6"</f>
        <v>#REF!</v>
      </c>
      <c r="GK62" t="e">
        <f>#REF!+"$Cm=!%#7"</f>
        <v>#REF!</v>
      </c>
      <c r="GL62" t="e">
        <f>#REF!+"$Cm=!%#8"</f>
        <v>#REF!</v>
      </c>
      <c r="GM62" t="e">
        <f>#REF!+"$Cm=!%#9"</f>
        <v>#REF!</v>
      </c>
      <c r="GN62" t="e">
        <f>#REF!+"$Cm=!%#:"</f>
        <v>#REF!</v>
      </c>
      <c r="GO62" t="e">
        <f>#REF!+"$Cm=!%#;"</f>
        <v>#REF!</v>
      </c>
      <c r="GP62" t="e">
        <f>#REF!+"$Cm=!%#&lt;"</f>
        <v>#REF!</v>
      </c>
      <c r="GQ62" t="e">
        <f>#REF!+"$Cm=!%#="</f>
        <v>#REF!</v>
      </c>
      <c r="GR62" t="e">
        <f>#REF!+"$Cm=!%#&gt;"</f>
        <v>#REF!</v>
      </c>
      <c r="GS62" t="e">
        <f>#REF!+"$Cm=!%#?"</f>
        <v>#REF!</v>
      </c>
      <c r="GT62" t="e">
        <f>#REF!+"$Cm=!%#@"</f>
        <v>#REF!</v>
      </c>
      <c r="GU62" t="e">
        <f>#REF!+"$Cm=!%#A"</f>
        <v>#REF!</v>
      </c>
      <c r="GV62" t="e">
        <f>#REF!+"$Cm=!%#B"</f>
        <v>#REF!</v>
      </c>
      <c r="GW62" t="e">
        <f>#REF!+"$Cm=!%#C"</f>
        <v>#REF!</v>
      </c>
      <c r="GX62" t="e">
        <f>#REF!+"$Cm=!%#D"</f>
        <v>#REF!</v>
      </c>
      <c r="GY62" t="e">
        <f>#REF!+"$Cm=!%#E"</f>
        <v>#REF!</v>
      </c>
      <c r="GZ62" t="e">
        <f>#REF!+"$Cm=!%#F"</f>
        <v>#REF!</v>
      </c>
      <c r="HA62" t="e">
        <f>#REF!+"$Cm=!%#G"</f>
        <v>#REF!</v>
      </c>
      <c r="HB62" t="e">
        <f>#REF!+"$Cm=!%#H"</f>
        <v>#REF!</v>
      </c>
      <c r="HC62" t="e">
        <f>#REF!+"$Cm=!%#I"</f>
        <v>#REF!</v>
      </c>
      <c r="HD62" t="e">
        <f>#REF!+"$Cm=!%#J"</f>
        <v>#REF!</v>
      </c>
      <c r="HE62" t="e">
        <f>#REF!+"$Cm=!%#K"</f>
        <v>#REF!</v>
      </c>
      <c r="HF62" t="e">
        <f>#REF!+"$Cm=!%#L"</f>
        <v>#REF!</v>
      </c>
      <c r="HG62" t="e">
        <f>#REF!+"$Cm=!%#M"</f>
        <v>#REF!</v>
      </c>
      <c r="HH62" t="e">
        <f>#REF!+"$Cm=!%#N"</f>
        <v>#REF!</v>
      </c>
      <c r="HI62" t="e">
        <f>#REF!+"$Cm=!%#O"</f>
        <v>#REF!</v>
      </c>
      <c r="HJ62" t="e">
        <f>#REF!+"$Cm=!%#P"</f>
        <v>#REF!</v>
      </c>
      <c r="HK62" t="e">
        <f>#REF!+"$Cm=!%#Q"</f>
        <v>#REF!</v>
      </c>
      <c r="HL62" t="e">
        <f>#REF!+"$Cm=!%#R"</f>
        <v>#REF!</v>
      </c>
      <c r="HM62" t="e">
        <f>#REF!+"$Cm=!%#S"</f>
        <v>#REF!</v>
      </c>
      <c r="HN62" t="e">
        <f>#REF!+"$Cm=!%#T"</f>
        <v>#REF!</v>
      </c>
      <c r="HO62" t="e">
        <f>#REF!+"$Cm=!%#U"</f>
        <v>#REF!</v>
      </c>
      <c r="HP62" t="e">
        <f>#REF!+"$Cm=!%#V"</f>
        <v>#REF!</v>
      </c>
      <c r="HQ62" t="e">
        <f>#REF!+"$Cm=!%#W"</f>
        <v>#REF!</v>
      </c>
      <c r="HR62" t="e">
        <f>#REF!+"$Cm=!%#X"</f>
        <v>#REF!</v>
      </c>
      <c r="HS62" t="e">
        <f>#REF!+"$Cm=!%#Y"</f>
        <v>#REF!</v>
      </c>
      <c r="HT62" t="e">
        <f>#REF!+"$Cm=!%#Z"</f>
        <v>#REF!</v>
      </c>
      <c r="HU62" t="e">
        <f>#REF!+"$Cm=!%#["</f>
        <v>#REF!</v>
      </c>
      <c r="HV62" t="e">
        <f>#REF!+"$Cm=!%#\"</f>
        <v>#REF!</v>
      </c>
      <c r="HW62" t="e">
        <f>#REF!+"$Cm=!%#]"</f>
        <v>#REF!</v>
      </c>
      <c r="HX62" t="e">
        <f>#REF!+"$Cm=!%#^"</f>
        <v>#REF!</v>
      </c>
      <c r="HY62" t="e">
        <f>#REF!+"$Cm=!%#_"</f>
        <v>#REF!</v>
      </c>
      <c r="HZ62" t="e">
        <f>#REF!+"$Cm=!%#`"</f>
        <v>#REF!</v>
      </c>
      <c r="IA62" t="e">
        <f>#REF!+"$Cm=!%#a"</f>
        <v>#REF!</v>
      </c>
      <c r="IB62" t="e">
        <f>#REF!+"$Cm=!%#b"</f>
        <v>#REF!</v>
      </c>
      <c r="IC62" t="e">
        <f>#REF!+"$Cm=!%#c"</f>
        <v>#REF!</v>
      </c>
      <c r="ID62" t="e">
        <f>#REF!+"$Cm=!%#d"</f>
        <v>#REF!</v>
      </c>
      <c r="IE62" t="e">
        <f>#REF!+"$Cm=!%#e"</f>
        <v>#REF!</v>
      </c>
      <c r="IF62" t="e">
        <f>#REF!+"$Cm=!%#f"</f>
        <v>#REF!</v>
      </c>
      <c r="IG62" t="e">
        <f>#REF!+"$Cm=!%#g"</f>
        <v>#REF!</v>
      </c>
      <c r="IH62" t="e">
        <f>#REF!+"$Cm=!%#h"</f>
        <v>#REF!</v>
      </c>
      <c r="II62" t="e">
        <f>#REF!+"$Cm=!%#i"</f>
        <v>#REF!</v>
      </c>
      <c r="IJ62" t="e">
        <f>#REF!+"$Cm=!%#j"</f>
        <v>#REF!</v>
      </c>
      <c r="IK62" t="e">
        <f>#REF!+"$Cm=!%#k"</f>
        <v>#REF!</v>
      </c>
      <c r="IL62" t="e">
        <f>#REF!+"$Cm=!%#l"</f>
        <v>#REF!</v>
      </c>
      <c r="IM62" t="e">
        <f>#REF!+"$Cm=!%#m"</f>
        <v>#REF!</v>
      </c>
      <c r="IN62" t="e">
        <f>#REF!+"$Cm=!%#n"</f>
        <v>#REF!</v>
      </c>
      <c r="IO62" t="e">
        <f>#REF!+"$Cm=!%#o"</f>
        <v>#REF!</v>
      </c>
      <c r="IP62" t="e">
        <f>#REF!+"$Cm=!%#p"</f>
        <v>#REF!</v>
      </c>
      <c r="IQ62" t="e">
        <f>#REF!+"$Cm=!%#q"</f>
        <v>#REF!</v>
      </c>
      <c r="IR62" t="e">
        <f>#REF!+"$Cm=!%#r"</f>
        <v>#REF!</v>
      </c>
      <c r="IS62" t="e">
        <f>#REF!+"$Cm=!%#s"</f>
        <v>#REF!</v>
      </c>
      <c r="IT62" t="e">
        <f>#REF!+"$Cm=!%#t"</f>
        <v>#REF!</v>
      </c>
      <c r="IU62" t="e">
        <f>#REF!+"$Cm=!%#u"</f>
        <v>#REF!</v>
      </c>
      <c r="IV62" t="e">
        <f>#REF!+"$Cm=!%#v"</f>
        <v>#REF!</v>
      </c>
    </row>
    <row r="63" spans="6:256">
      <c r="F63" t="e">
        <f>#REF!+"$Cm=!%#w"</f>
        <v>#REF!</v>
      </c>
      <c r="G63" t="e">
        <f>#REF!+"$Cm=!%#x"</f>
        <v>#REF!</v>
      </c>
      <c r="H63" t="e">
        <f>#REF!+"$Cm=!%#y"</f>
        <v>#REF!</v>
      </c>
      <c r="I63" t="e">
        <f>#REF!+"$Cm=!%#z"</f>
        <v>#REF!</v>
      </c>
      <c r="J63" t="e">
        <f>#REF!+"$Cm=!%#{"</f>
        <v>#REF!</v>
      </c>
      <c r="K63" t="e">
        <f>#REF!+"$Cm=!%#|"</f>
        <v>#REF!</v>
      </c>
      <c r="L63" t="e">
        <f>#REF!+"$Cm=!%#}"</f>
        <v>#REF!</v>
      </c>
      <c r="M63" t="e">
        <f>#REF!+"$Cm=!%#~"</f>
        <v>#REF!</v>
      </c>
      <c r="N63" t="e">
        <f>#REF!+"$Cm=!%$#"</f>
        <v>#REF!</v>
      </c>
      <c r="O63" t="e">
        <f>#REF!+"$Cm=!%$$"</f>
        <v>#REF!</v>
      </c>
      <c r="P63" t="e">
        <f>#REF!+"$Cm=!%$%"</f>
        <v>#REF!</v>
      </c>
      <c r="Q63" t="e">
        <f>#REF!+"$Cm=!%$&amp;"</f>
        <v>#REF!</v>
      </c>
      <c r="R63" t="e">
        <f>#REF!+"$Cm=!%$'"</f>
        <v>#REF!</v>
      </c>
      <c r="S63" t="e">
        <f>#REF!+"$Cm=!%$("</f>
        <v>#REF!</v>
      </c>
      <c r="T63" t="e">
        <f>#REF!+"$Cm=!%$)"</f>
        <v>#REF!</v>
      </c>
      <c r="U63" t="e">
        <f>#REF!+"$Cm=!%$."</f>
        <v>#REF!</v>
      </c>
      <c r="V63" t="e">
        <f>#REF!+"$Cm=!%$/"</f>
        <v>#REF!</v>
      </c>
      <c r="W63" t="e">
        <f>#REF!+"$Cm=!%$0"</f>
        <v>#REF!</v>
      </c>
      <c r="X63" t="e">
        <f>#REF!+"$Cm=!%$1"</f>
        <v>#REF!</v>
      </c>
      <c r="Y63" t="e">
        <f>#REF!+"$Cm=!%$2"</f>
        <v>#REF!</v>
      </c>
      <c r="Z63" t="e">
        <f>#REF!+"$Cm=!%$3"</f>
        <v>#REF!</v>
      </c>
      <c r="AA63" t="e">
        <f>#REF!+"$Cm=!%$4"</f>
        <v>#REF!</v>
      </c>
      <c r="AB63" t="e">
        <f>#REF!+"$Cm=!%$5"</f>
        <v>#REF!</v>
      </c>
      <c r="AC63" t="e">
        <f>#REF!+"$Cm=!%$6"</f>
        <v>#REF!</v>
      </c>
      <c r="AD63" t="e">
        <f>#REF!+"$Cm=!%$7"</f>
        <v>#REF!</v>
      </c>
      <c r="AE63" t="e">
        <f>#REF!+"$Cm=!%$8"</f>
        <v>#REF!</v>
      </c>
      <c r="AF63" t="e">
        <f>#REF!+"$Cm=!%$9"</f>
        <v>#REF!</v>
      </c>
      <c r="AG63" t="e">
        <f>#REF!+"$Cm=!%$:"</f>
        <v>#REF!</v>
      </c>
      <c r="AH63" t="e">
        <f>#REF!+"$Cm=!%$;"</f>
        <v>#REF!</v>
      </c>
      <c r="AI63" t="e">
        <f>#REF!+"$Cm=!%$&lt;"</f>
        <v>#REF!</v>
      </c>
      <c r="AJ63" t="e">
        <f>#REF!+"$Cm=!%$="</f>
        <v>#REF!</v>
      </c>
      <c r="AK63" t="e">
        <f>#REF!+"$Cm=!%$&gt;"</f>
        <v>#REF!</v>
      </c>
      <c r="AL63" t="e">
        <f>#REF!+"$Cm=!%$?"</f>
        <v>#REF!</v>
      </c>
      <c r="AM63" t="e">
        <f>#REF!+"$Cm=!%$@"</f>
        <v>#REF!</v>
      </c>
      <c r="AN63" t="e">
        <f>#REF!+"$Cm=!%$A"</f>
        <v>#REF!</v>
      </c>
      <c r="AO63" t="e">
        <f>#REF!+"$Cm=!%$B"</f>
        <v>#REF!</v>
      </c>
      <c r="AP63" t="e">
        <f>#REF!+"$Cm=!%$C"</f>
        <v>#REF!</v>
      </c>
      <c r="AQ63" t="e">
        <f>#REF!+"$Cm=!%$D"</f>
        <v>#REF!</v>
      </c>
      <c r="AR63" t="e">
        <f>#REF!+"$Cm=!%$E"</f>
        <v>#REF!</v>
      </c>
      <c r="AS63" t="e">
        <f>#REF!+"$Cm=!%$F"</f>
        <v>#REF!</v>
      </c>
      <c r="AT63" t="e">
        <f>#REF!+"$Cm=!%$G"</f>
        <v>#REF!</v>
      </c>
      <c r="AU63" t="e">
        <f>#REF!+"$Cm=!%$H"</f>
        <v>#REF!</v>
      </c>
      <c r="AV63" t="e">
        <f>#REF!+"$Cm=!%$I"</f>
        <v>#REF!</v>
      </c>
      <c r="AW63" t="e">
        <f>#REF!+"$Cm=!%$J"</f>
        <v>#REF!</v>
      </c>
      <c r="AX63" t="e">
        <f>#REF!+"$Cm=!%$K"</f>
        <v>#REF!</v>
      </c>
      <c r="AY63" t="e">
        <f>#REF!+"$Cm=!%$L"</f>
        <v>#REF!</v>
      </c>
      <c r="AZ63" t="e">
        <f>#REF!+"$Cm=!%$M"</f>
        <v>#REF!</v>
      </c>
      <c r="BA63" t="e">
        <f>#REF!+"$Cm=!%$N"</f>
        <v>#REF!</v>
      </c>
      <c r="BB63" t="e">
        <f>#REF!+"$Cm=!%$O"</f>
        <v>#REF!</v>
      </c>
      <c r="BC63" t="e">
        <f>#REF!+"$Cm=!%$P"</f>
        <v>#REF!</v>
      </c>
      <c r="BD63" t="e">
        <f>#REF!+"$Cm=!%$Q"</f>
        <v>#REF!</v>
      </c>
      <c r="BE63" t="e">
        <f>#REF!+"$Cm=!%$R"</f>
        <v>#REF!</v>
      </c>
      <c r="BF63" t="e">
        <f>#REF!+"$Cm=!%$S"</f>
        <v>#REF!</v>
      </c>
      <c r="BG63" t="e">
        <f>#REF!+"$Cm=!%$T"</f>
        <v>#REF!</v>
      </c>
      <c r="BH63" t="e">
        <f>#REF!+"$Cm=!%$U"</f>
        <v>#REF!</v>
      </c>
      <c r="BI63" t="e">
        <f>#REF!+"$Cm=!%$V"</f>
        <v>#REF!</v>
      </c>
      <c r="BJ63" t="e">
        <f>#REF!+"$Cm=!%$W"</f>
        <v>#REF!</v>
      </c>
      <c r="BK63" t="e">
        <f>#REF!+"$Cm=!%$X"</f>
        <v>#REF!</v>
      </c>
      <c r="BL63" t="e">
        <f>#REF!+"$Cm=!%$Y"</f>
        <v>#REF!</v>
      </c>
      <c r="BM63" t="e">
        <f>#REF!+"$Cm=!%$Z"</f>
        <v>#REF!</v>
      </c>
      <c r="BN63" t="e">
        <f>#REF!+"$Cm=!%$["</f>
        <v>#REF!</v>
      </c>
      <c r="BO63" t="e">
        <f>#REF!+"$Cm=!%$\"</f>
        <v>#REF!</v>
      </c>
      <c r="BP63" t="e">
        <f>#REF!+"$Cm=!%$]"</f>
        <v>#REF!</v>
      </c>
      <c r="BQ63" t="e">
        <f>#REF!+"$Cm=!%$^"</f>
        <v>#REF!</v>
      </c>
      <c r="BR63" t="e">
        <f>#REF!+"$Cm=!%$_"</f>
        <v>#REF!</v>
      </c>
      <c r="BS63" t="e">
        <f>#REF!+"$Cm=!%$`"</f>
        <v>#REF!</v>
      </c>
      <c r="BT63" t="e">
        <f>#REF!+"$Cm=!%$a"</f>
        <v>#REF!</v>
      </c>
      <c r="BU63" t="e">
        <f>#REF!+"$Cm=!%$b"</f>
        <v>#REF!</v>
      </c>
      <c r="BV63" t="e">
        <f>#REF!+"$Cm=!%$c"</f>
        <v>#REF!</v>
      </c>
      <c r="BW63" t="e">
        <f>#REF!+"$Cm=!%$d"</f>
        <v>#REF!</v>
      </c>
      <c r="BX63" t="e">
        <f>#REF!+"$Cm=!%$e"</f>
        <v>#REF!</v>
      </c>
      <c r="BY63" t="e">
        <f>#REF!+"$Cm=!%$f"</f>
        <v>#REF!</v>
      </c>
      <c r="BZ63" t="e">
        <f>#REF!+"$Cm=!%$g"</f>
        <v>#REF!</v>
      </c>
      <c r="CA63" t="e">
        <f>#REF!+"$Cm=!%$h"</f>
        <v>#REF!</v>
      </c>
      <c r="CB63" t="e">
        <f>#REF!+"$Cm=!%$i"</f>
        <v>#REF!</v>
      </c>
      <c r="CC63" t="e">
        <f>#REF!+"$Cm=!%$j"</f>
        <v>#REF!</v>
      </c>
      <c r="CD63" t="e">
        <f>#REF!+"$Cm=!%$k"</f>
        <v>#REF!</v>
      </c>
      <c r="CE63" t="e">
        <f>#REF!+"$Cm=!%$l"</f>
        <v>#REF!</v>
      </c>
      <c r="CF63" t="e">
        <f>#REF!+"$Cm=!%$m"</f>
        <v>#REF!</v>
      </c>
      <c r="CG63" t="e">
        <f>#REF!+"$Cm=!%$n"</f>
        <v>#REF!</v>
      </c>
      <c r="CH63" t="e">
        <f>#REF!+"$Cm=!%$o"</f>
        <v>#REF!</v>
      </c>
      <c r="CI63" t="e">
        <f>#REF!+"$Cm=!%$p"</f>
        <v>#REF!</v>
      </c>
      <c r="CJ63" t="e">
        <f>#REF!+"$Cm=!%$q"</f>
        <v>#REF!</v>
      </c>
      <c r="CK63" t="e">
        <f>#REF!+"$Cm=!%$r"</f>
        <v>#REF!</v>
      </c>
      <c r="CL63" t="e">
        <f>#REF!+"$Cm=!%$s"</f>
        <v>#REF!</v>
      </c>
      <c r="CM63" t="e">
        <f>#REF!+"$Cm=!%$t"</f>
        <v>#REF!</v>
      </c>
      <c r="CN63" t="e">
        <f>#REF!+"$Cm=!%$u"</f>
        <v>#REF!</v>
      </c>
      <c r="CO63" t="e">
        <f>#REF!+"$Cm=!%$v"</f>
        <v>#REF!</v>
      </c>
      <c r="CP63" t="e">
        <f>#REF!+"$Cm=!%$w"</f>
        <v>#REF!</v>
      </c>
      <c r="CQ63" t="e">
        <f>#REF!+"$Cm=!%$x"</f>
        <v>#REF!</v>
      </c>
      <c r="CR63" t="e">
        <f>#REF!+"$Cm=!%$y"</f>
        <v>#REF!</v>
      </c>
      <c r="CS63" t="e">
        <f>#REF!+"$Cm=!%$z"</f>
        <v>#REF!</v>
      </c>
      <c r="CT63" t="e">
        <f>#REF!+"$Cm=!%${"</f>
        <v>#REF!</v>
      </c>
      <c r="CU63" t="e">
        <f>#REF!+"$Cm=!%$|"</f>
        <v>#REF!</v>
      </c>
      <c r="CV63" t="e">
        <f>#REF!+"$Cm=!%$}"</f>
        <v>#REF!</v>
      </c>
      <c r="CW63" t="e">
        <f>#REF!+"$Cm=!%$~"</f>
        <v>#REF!</v>
      </c>
      <c r="CX63" t="e">
        <f>#REF!+"$Cm=!%%#"</f>
        <v>#REF!</v>
      </c>
      <c r="CY63" t="e">
        <f>#REF!+"$Cm=!%%$"</f>
        <v>#REF!</v>
      </c>
      <c r="CZ63" t="e">
        <f>#REF!+"$Cm=!%%%"</f>
        <v>#REF!</v>
      </c>
      <c r="DA63" t="e">
        <f>#REF!+"$Cm=!%%&amp;"</f>
        <v>#REF!</v>
      </c>
      <c r="DB63" t="e">
        <f>#REF!+"$Cm=!%%'"</f>
        <v>#REF!</v>
      </c>
      <c r="DC63" t="e">
        <f>#REF!+"$Cm=!%%("</f>
        <v>#REF!</v>
      </c>
      <c r="DD63" t="e">
        <f>#REF!+"$Cm=!%%)"</f>
        <v>#REF!</v>
      </c>
      <c r="DE63" t="e">
        <f>#REF!+"$Cm=!%%."</f>
        <v>#REF!</v>
      </c>
      <c r="DF63" t="e">
        <f>#REF!+"$Cm=!%%/"</f>
        <v>#REF!</v>
      </c>
      <c r="DG63" t="e">
        <f>#REF!+"$Cm=!%%0"</f>
        <v>#REF!</v>
      </c>
      <c r="DH63" t="e">
        <f>#REF!+"$Cm=!%%1"</f>
        <v>#REF!</v>
      </c>
      <c r="DI63" t="e">
        <f>#REF!+"$Cm=!%%2"</f>
        <v>#REF!</v>
      </c>
      <c r="DJ63" t="e">
        <f>#REF!+"$Cm=!%%3"</f>
        <v>#REF!</v>
      </c>
      <c r="DK63" t="e">
        <f>#REF!+"$Cm=!%%4"</f>
        <v>#REF!</v>
      </c>
      <c r="DL63" t="e">
        <f>#REF!+"$Cm=!%%5"</f>
        <v>#REF!</v>
      </c>
      <c r="DM63" t="e">
        <f>#REF!+"$Cm=!%%6"</f>
        <v>#REF!</v>
      </c>
      <c r="DN63" t="e">
        <f>#REF!+"$Cm=!%%7"</f>
        <v>#REF!</v>
      </c>
      <c r="DO63" t="e">
        <f>#REF!+"$Cm=!%%8"</f>
        <v>#REF!</v>
      </c>
      <c r="DP63" t="e">
        <f>#REF!+"$Cm=!%%9"</f>
        <v>#REF!</v>
      </c>
      <c r="DQ63" t="e">
        <f>#REF!+"$Cm=!%%:"</f>
        <v>#REF!</v>
      </c>
      <c r="DR63" t="e">
        <f>#REF!+"$Cm=!%%;"</f>
        <v>#REF!</v>
      </c>
      <c r="DS63" t="e">
        <f>#REF!+"$Cm=!%%&lt;"</f>
        <v>#REF!</v>
      </c>
      <c r="DT63" t="e">
        <f>#REF!+"$Cm=!%%="</f>
        <v>#REF!</v>
      </c>
      <c r="DU63" t="e">
        <f>#REF!+"$Cm=!%%&gt;"</f>
        <v>#REF!</v>
      </c>
      <c r="DV63" t="e">
        <f>#REF!+"$Cm=!%%?"</f>
        <v>#REF!</v>
      </c>
      <c r="DW63" t="e">
        <f>#REF!+"$Cm=!%%@"</f>
        <v>#REF!</v>
      </c>
      <c r="DX63" t="e">
        <f>#REF!+"$Cm=!%%A"</f>
        <v>#REF!</v>
      </c>
      <c r="DY63" t="e">
        <f>#REF!+"$Cm=!%%B"</f>
        <v>#REF!</v>
      </c>
      <c r="DZ63" t="e">
        <f>#REF!+"$Cm=!%%C"</f>
        <v>#REF!</v>
      </c>
      <c r="EA63" t="e">
        <f>#REF!+"$Cm=!%%D"</f>
        <v>#REF!</v>
      </c>
      <c r="EB63" t="e">
        <f>#REF!+"$Cm=!%%E"</f>
        <v>#REF!</v>
      </c>
      <c r="EC63" t="e">
        <f>#REF!+"$Cm=!%%F"</f>
        <v>#REF!</v>
      </c>
      <c r="ED63" t="e">
        <f>#REF!+"$Cm=!%%G"</f>
        <v>#REF!</v>
      </c>
      <c r="EE63" t="e">
        <f>#REF!+"$Cm=!%%H"</f>
        <v>#REF!</v>
      </c>
      <c r="EF63" t="e">
        <f>#REF!+"$Cm=!%%I"</f>
        <v>#REF!</v>
      </c>
      <c r="EG63" t="e">
        <f>#REF!+"$Cm=!%%J"</f>
        <v>#REF!</v>
      </c>
      <c r="EH63" t="e">
        <f>#REF!+"$Cm=!%%K"</f>
        <v>#REF!</v>
      </c>
      <c r="EI63" t="e">
        <f>#REF!+"$Cm=!%%L"</f>
        <v>#REF!</v>
      </c>
      <c r="EJ63" t="e">
        <f>#REF!+"$Cm=!%%M"</f>
        <v>#REF!</v>
      </c>
      <c r="EK63" t="e">
        <f>#REF!+"$Cm=!%%N"</f>
        <v>#REF!</v>
      </c>
      <c r="EL63" t="e">
        <f>#REF!+"$Cm=!%%O"</f>
        <v>#REF!</v>
      </c>
      <c r="EM63" t="e">
        <f>#REF!+"$Cm=!%%P"</f>
        <v>#REF!</v>
      </c>
      <c r="EN63" t="e">
        <f>#REF!+"$Cm=!%%Q"</f>
        <v>#REF!</v>
      </c>
      <c r="EO63" t="e">
        <f>#REF!+"$Cm=!%%R"</f>
        <v>#REF!</v>
      </c>
      <c r="EP63" t="e">
        <f>#REF!+"$Cm=!%%S"</f>
        <v>#REF!</v>
      </c>
      <c r="EQ63" t="e">
        <f>#REF!+"$Cm=!%%T"</f>
        <v>#REF!</v>
      </c>
      <c r="ER63" t="e">
        <f>#REF!+"$Cm=!%%U"</f>
        <v>#REF!</v>
      </c>
      <c r="ES63" t="e">
        <f>#REF!+"$Cm=!%%V"</f>
        <v>#REF!</v>
      </c>
      <c r="ET63" t="e">
        <f>#REF!+"$Cm=!%%W"</f>
        <v>#REF!</v>
      </c>
      <c r="EU63" t="e">
        <f>#REF!+"$Cm=!%%X"</f>
        <v>#REF!</v>
      </c>
      <c r="EV63" t="e">
        <f>#REF!+"$Cm=!%%Y"</f>
        <v>#REF!</v>
      </c>
      <c r="EW63" t="e">
        <f>#REF!+"$Cm=!%%Z"</f>
        <v>#REF!</v>
      </c>
      <c r="EX63" t="e">
        <f>#REF!+"$Cm=!%%["</f>
        <v>#REF!</v>
      </c>
      <c r="EY63" t="e">
        <f>#REF!+"$Cm=!%%\"</f>
        <v>#REF!</v>
      </c>
      <c r="EZ63" t="e">
        <f>#REF!+"$Cm=!%%]"</f>
        <v>#REF!</v>
      </c>
      <c r="FA63" t="e">
        <f>#REF!+"$Cm=!%%^"</f>
        <v>#REF!</v>
      </c>
      <c r="FB63" t="e">
        <f>#REF!+"$Cm=!%%_"</f>
        <v>#REF!</v>
      </c>
      <c r="FC63" t="e">
        <f>#REF!+"$Cm=!%%`"</f>
        <v>#REF!</v>
      </c>
      <c r="FD63" t="e">
        <f>#REF!+"$Cm=!%%a"</f>
        <v>#REF!</v>
      </c>
      <c r="FE63" t="e">
        <f>#REF!+"$Cm=!%%b"</f>
        <v>#REF!</v>
      </c>
      <c r="FF63" t="e">
        <f>#REF!+"$Cm=!%%c"</f>
        <v>#REF!</v>
      </c>
      <c r="FG63" t="e">
        <f>#REF!+"$Cm=!%%d"</f>
        <v>#REF!</v>
      </c>
      <c r="FH63" t="e">
        <f>#REF!+"$Cm=!%%e"</f>
        <v>#REF!</v>
      </c>
      <c r="FI63" t="e">
        <f>#REF!+"$Cm=!%%f"</f>
        <v>#REF!</v>
      </c>
      <c r="FJ63" t="e">
        <f>#REF!+"$Cm=!%%g"</f>
        <v>#REF!</v>
      </c>
      <c r="FK63" t="e">
        <f>#REF!+"$Cm=!%%h"</f>
        <v>#REF!</v>
      </c>
      <c r="FL63" t="e">
        <f>#REF!+"$Cm=!%%i"</f>
        <v>#REF!</v>
      </c>
      <c r="FM63" t="e">
        <f>#REF!+"$Cm=!%%j"</f>
        <v>#REF!</v>
      </c>
      <c r="FN63" t="e">
        <f>#REF!+"$Cm=!%%k"</f>
        <v>#REF!</v>
      </c>
      <c r="FO63" t="e">
        <f>#REF!+"$Cm=!%%l"</f>
        <v>#REF!</v>
      </c>
      <c r="FP63" t="e">
        <f>#REF!+"$Cm=!%%m"</f>
        <v>#REF!</v>
      </c>
      <c r="FQ63" t="e">
        <f>#REF!+"$Cm=!%%n"</f>
        <v>#REF!</v>
      </c>
      <c r="FR63" t="e">
        <f>#REF!+"$Cm=!%%o"</f>
        <v>#REF!</v>
      </c>
      <c r="FS63" t="e">
        <f>#REF!+"$Cm=!%%p"</f>
        <v>#REF!</v>
      </c>
      <c r="FT63" t="e">
        <f>#REF!+"$Cm=!%%q"</f>
        <v>#REF!</v>
      </c>
      <c r="FU63" t="e">
        <f>#REF!+"$Cm=!%%r"</f>
        <v>#REF!</v>
      </c>
      <c r="FV63" t="e">
        <f>#REF!+"$Cm=!%%s"</f>
        <v>#REF!</v>
      </c>
      <c r="FW63" t="e">
        <f>#REF!+"$Cm=!%%t"</f>
        <v>#REF!</v>
      </c>
      <c r="FX63" t="e">
        <f>#REF!+"$Cm=!%%u"</f>
        <v>#REF!</v>
      </c>
      <c r="FY63" t="e">
        <f>#REF!+"$Cm=!%%v"</f>
        <v>#REF!</v>
      </c>
      <c r="FZ63" t="e">
        <f>#REF!+"$Cm=!%%w"</f>
        <v>#REF!</v>
      </c>
      <c r="GA63" t="e">
        <f>#REF!+"$Cm=!%%x"</f>
        <v>#REF!</v>
      </c>
      <c r="GB63" t="e">
        <f>#REF!+"$Cm=!%%y"</f>
        <v>#REF!</v>
      </c>
      <c r="GC63" t="e">
        <f>#REF!+"$Cm=!%%z"</f>
        <v>#REF!</v>
      </c>
      <c r="GD63" t="e">
        <f>#REF!+"$Cm=!%%{"</f>
        <v>#REF!</v>
      </c>
      <c r="GE63" t="e">
        <f>#REF!+"$Cm=!%%|"</f>
        <v>#REF!</v>
      </c>
      <c r="GF63" t="e">
        <f>#REF!+"$Cm=!%%}"</f>
        <v>#REF!</v>
      </c>
      <c r="GG63" t="e">
        <f>#REF!+"$Cm=!%%~"</f>
        <v>#REF!</v>
      </c>
      <c r="GH63" t="e">
        <f>#REF!+"$Cm=!%&amp;#"</f>
        <v>#REF!</v>
      </c>
      <c r="GI63" t="e">
        <f>#REF!+"$Cm=!%&amp;$"</f>
        <v>#REF!</v>
      </c>
      <c r="GJ63" t="e">
        <f>#REF!+"$Cm=!%&amp;%"</f>
        <v>#REF!</v>
      </c>
      <c r="GK63" t="e">
        <f>#REF!+"$Cm=!%&amp;&amp;"</f>
        <v>#REF!</v>
      </c>
      <c r="GL63" t="e">
        <f>#REF!+"$Cm=!%&amp;'"</f>
        <v>#REF!</v>
      </c>
      <c r="GM63" t="e">
        <f>#REF!+"$Cm=!%&amp;("</f>
        <v>#REF!</v>
      </c>
      <c r="GN63" t="e">
        <f>#REF!+"$Cm=!%&amp;)"</f>
        <v>#REF!</v>
      </c>
      <c r="GO63" t="e">
        <f>#REF!+"$Cm=!%&amp;."</f>
        <v>#REF!</v>
      </c>
      <c r="GP63" t="e">
        <f>#REF!+"$Cm=!%&amp;/"</f>
        <v>#REF!</v>
      </c>
      <c r="GQ63" t="e">
        <f>#REF!+"$Cm=!%&amp;0"</f>
        <v>#REF!</v>
      </c>
      <c r="GR63" t="e">
        <f>#REF!+"$Cm=!%&amp;1"</f>
        <v>#REF!</v>
      </c>
      <c r="GS63" t="e">
        <f>#REF!+"$Cm=!%&amp;2"</f>
        <v>#REF!</v>
      </c>
      <c r="GT63" t="e">
        <f>#REF!+"$Cm=!%&amp;3"</f>
        <v>#REF!</v>
      </c>
      <c r="GU63" t="e">
        <f>#REF!+"$Cm=!%&amp;4"</f>
        <v>#REF!</v>
      </c>
      <c r="GV63" t="e">
        <f>#REF!+"$Cm=!%&amp;5"</f>
        <v>#REF!</v>
      </c>
      <c r="GW63" t="e">
        <f>#REF!+"$Cm=!%&amp;6"</f>
        <v>#REF!</v>
      </c>
      <c r="GX63" t="e">
        <f>#REF!+"$Cm=!%&amp;7"</f>
        <v>#REF!</v>
      </c>
      <c r="GY63" t="e">
        <f>#REF!+"$Cm=!%&amp;8"</f>
        <v>#REF!</v>
      </c>
      <c r="GZ63" t="e">
        <f>#REF!+"$Cm=!%&amp;9"</f>
        <v>#REF!</v>
      </c>
      <c r="HA63" t="e">
        <f>#REF!+"$Cm=!%&amp;:"</f>
        <v>#REF!</v>
      </c>
      <c r="HB63" t="e">
        <f>#REF!+"$Cm=!%&amp;;"</f>
        <v>#REF!</v>
      </c>
      <c r="HC63" t="e">
        <f>#REF!+"$Cm=!%&amp;&lt;"</f>
        <v>#REF!</v>
      </c>
      <c r="HD63" t="e">
        <f>#REF!+"$Cm=!%&amp;="</f>
        <v>#REF!</v>
      </c>
      <c r="HE63" t="e">
        <f>#REF!+"$Cm=!%&amp;&gt;"</f>
        <v>#REF!</v>
      </c>
      <c r="HF63" t="e">
        <f>#REF!+"$Cm=!%&amp;?"</f>
        <v>#REF!</v>
      </c>
      <c r="HG63" t="e">
        <f>#REF!+"$Cm=!%&amp;@"</f>
        <v>#REF!</v>
      </c>
      <c r="HH63" t="e">
        <f>#REF!+"$Cm=!%&amp;A"</f>
        <v>#REF!</v>
      </c>
      <c r="HI63" t="e">
        <f>#REF!+"$Cm=!%&amp;B"</f>
        <v>#REF!</v>
      </c>
      <c r="HJ63" t="e">
        <f>#REF!+"$Cm=!%&amp;C"</f>
        <v>#REF!</v>
      </c>
      <c r="HK63" t="e">
        <f>#REF!+"$Cm=!%&amp;D"</f>
        <v>#REF!</v>
      </c>
      <c r="HL63" t="e">
        <f>#REF!+"$Cm=!%&amp;E"</f>
        <v>#REF!</v>
      </c>
      <c r="HM63" t="e">
        <f>#REF!+"$Cm=!%&amp;F"</f>
        <v>#REF!</v>
      </c>
      <c r="HN63" t="e">
        <f>#REF!+"$Cm=!%&amp;G"</f>
        <v>#REF!</v>
      </c>
      <c r="HO63" t="e">
        <f>#REF!+"$Cm=!%&amp;H"</f>
        <v>#REF!</v>
      </c>
      <c r="HP63" t="e">
        <f>#REF!+"$Cm=!%&amp;I"</f>
        <v>#REF!</v>
      </c>
      <c r="HQ63" t="e">
        <f>#REF!+"$Cm=!%&amp;J"</f>
        <v>#REF!</v>
      </c>
      <c r="HR63" t="e">
        <f>#REF!+"$Cm=!%&amp;K"</f>
        <v>#REF!</v>
      </c>
      <c r="HS63" t="e">
        <f>#REF!+"$Cm=!%&amp;L"</f>
        <v>#REF!</v>
      </c>
      <c r="HT63" t="e">
        <f>#REF!+"$Cm=!%&amp;M"</f>
        <v>#REF!</v>
      </c>
      <c r="HU63" t="e">
        <f>#REF!+"$Cm=!%&amp;N"</f>
        <v>#REF!</v>
      </c>
      <c r="HV63" t="e">
        <f>#REF!+"$Cm=!%&amp;O"</f>
        <v>#REF!</v>
      </c>
      <c r="HW63" t="e">
        <f>#REF!+"$Cm=!%&amp;P"</f>
        <v>#REF!</v>
      </c>
      <c r="HX63" t="e">
        <f>#REF!+"$Cm=!%&amp;Q"</f>
        <v>#REF!</v>
      </c>
      <c r="HY63" t="e">
        <f>#REF!+"$Cm=!%&amp;R"</f>
        <v>#REF!</v>
      </c>
      <c r="HZ63" t="e">
        <f>#REF!+"$Cm=!%&amp;S"</f>
        <v>#REF!</v>
      </c>
      <c r="IA63" t="e">
        <f>#REF!+"$Cm=!%&amp;T"</f>
        <v>#REF!</v>
      </c>
      <c r="IB63" t="e">
        <f>#REF!+"$Cm=!%&amp;U"</f>
        <v>#REF!</v>
      </c>
      <c r="IC63" t="e">
        <f>#REF!+"$Cm=!%&amp;V"</f>
        <v>#REF!</v>
      </c>
      <c r="ID63" t="e">
        <f>#REF!+"$Cm=!%&amp;W"</f>
        <v>#REF!</v>
      </c>
      <c r="IE63" t="e">
        <f>#REF!+"$Cm=!%&amp;X"</f>
        <v>#REF!</v>
      </c>
      <c r="IF63" t="e">
        <f>#REF!+"$Cm=!%&amp;Y"</f>
        <v>#REF!</v>
      </c>
      <c r="IG63" t="e">
        <f>#REF!+"$Cm=!%&amp;Z"</f>
        <v>#REF!</v>
      </c>
      <c r="IH63" t="e">
        <f>#REF!+"$Cm=!%&amp;["</f>
        <v>#REF!</v>
      </c>
      <c r="II63" t="e">
        <f>#REF!+"$Cm=!%&amp;\"</f>
        <v>#REF!</v>
      </c>
      <c r="IJ63" t="e">
        <f>#REF!+"$Cm=!%&amp;]"</f>
        <v>#REF!</v>
      </c>
      <c r="IK63" t="e">
        <f>#REF!+"$Cm=!%&amp;^"</f>
        <v>#REF!</v>
      </c>
      <c r="IL63" t="e">
        <f>#REF!+"$Cm=!%&amp;_"</f>
        <v>#REF!</v>
      </c>
      <c r="IM63" t="e">
        <f>#REF!+"$Cm=!%&amp;`"</f>
        <v>#REF!</v>
      </c>
      <c r="IN63" t="e">
        <f>#REF!+"$Cm=!%&amp;a"</f>
        <v>#REF!</v>
      </c>
      <c r="IO63" t="e">
        <f>#REF!+"$Cm=!%&amp;b"</f>
        <v>#REF!</v>
      </c>
      <c r="IP63" t="e">
        <f>#REF!+"$Cm=!%&amp;c"</f>
        <v>#REF!</v>
      </c>
      <c r="IQ63" t="e">
        <f>#REF!+"$Cm=!%&amp;d"</f>
        <v>#REF!</v>
      </c>
      <c r="IR63" t="e">
        <f>#REF!+"$Cm=!%&amp;e"</f>
        <v>#REF!</v>
      </c>
      <c r="IS63" t="e">
        <f>#REF!+"$Cm=!%&amp;f"</f>
        <v>#REF!</v>
      </c>
      <c r="IT63" t="e">
        <f>#REF!+"$Cm=!%&amp;g"</f>
        <v>#REF!</v>
      </c>
      <c r="IU63" t="e">
        <f>#REF!+"$Cm=!%&amp;h"</f>
        <v>#REF!</v>
      </c>
      <c r="IV63" t="e">
        <f>#REF!+"$Cm=!%&amp;i"</f>
        <v>#REF!</v>
      </c>
    </row>
    <row r="64" spans="6:256">
      <c r="F64" t="e">
        <f>#REF!+"$Cm=!%&amp;j"</f>
        <v>#REF!</v>
      </c>
      <c r="G64" t="e">
        <f>#REF!+"$Cm=!%&amp;k"</f>
        <v>#REF!</v>
      </c>
      <c r="H64" t="e">
        <f>#REF!+"$Cm=!%&amp;l"</f>
        <v>#REF!</v>
      </c>
      <c r="I64" t="e">
        <f>#REF!+"$Cm=!%&amp;m"</f>
        <v>#REF!</v>
      </c>
      <c r="J64" t="e">
        <f>#REF!+"$Cm=!%&amp;n"</f>
        <v>#REF!</v>
      </c>
      <c r="K64" t="e">
        <f>#REF!+"$Cm=!%&amp;o"</f>
        <v>#REF!</v>
      </c>
      <c r="L64" t="e">
        <f>#REF!+"$Cm=!%&amp;p"</f>
        <v>#REF!</v>
      </c>
      <c r="M64" t="e">
        <f>#REF!+"$Cm=!%&amp;q"</f>
        <v>#REF!</v>
      </c>
      <c r="N64" t="e">
        <f>#REF!+"$Cm=!%&amp;r"</f>
        <v>#REF!</v>
      </c>
      <c r="O64" t="e">
        <f>#REF!+"$Cm=!%&amp;s"</f>
        <v>#REF!</v>
      </c>
      <c r="P64" t="e">
        <f>#REF!+"$Cm=!%&amp;t"</f>
        <v>#REF!</v>
      </c>
      <c r="Q64" t="e">
        <f>#REF!+"$Cm=!%&amp;u"</f>
        <v>#REF!</v>
      </c>
      <c r="R64" t="e">
        <f>#REF!+"$Cm=!%&amp;v"</f>
        <v>#REF!</v>
      </c>
      <c r="S64" t="e">
        <f>#REF!+"$Cm=!%&amp;w"</f>
        <v>#REF!</v>
      </c>
      <c r="T64" t="e">
        <f>#REF!+"$Cm=!%&amp;x"</f>
        <v>#REF!</v>
      </c>
      <c r="U64" t="e">
        <f>#REF!+"$Cm=!%&amp;y"</f>
        <v>#REF!</v>
      </c>
      <c r="V64" t="e">
        <f>#REF!+"$Cm=!%&amp;z"</f>
        <v>#REF!</v>
      </c>
      <c r="W64" t="e">
        <f>#REF!+"$Cm=!%&amp;{"</f>
        <v>#REF!</v>
      </c>
      <c r="X64" t="e">
        <f>#REF!+"$Cm=!%&amp;|"</f>
        <v>#REF!</v>
      </c>
      <c r="Y64" t="e">
        <f>#REF!+"$Cm=!%&amp;}"</f>
        <v>#REF!</v>
      </c>
      <c r="Z64" t="e">
        <f>#REF!+"$Cm=!%&amp;~"</f>
        <v>#REF!</v>
      </c>
      <c r="AA64" t="e">
        <f>#REF!+"$Cm=!%'#"</f>
        <v>#REF!</v>
      </c>
      <c r="AB64" t="e">
        <f>#REF!+"$Cm=!%'$"</f>
        <v>#REF!</v>
      </c>
      <c r="AC64" t="e">
        <f>#REF!+"$Cm=!%'%"</f>
        <v>#REF!</v>
      </c>
      <c r="AD64" t="e">
        <f>#REF!+"$Cm=!%'&amp;"</f>
        <v>#REF!</v>
      </c>
      <c r="AE64" t="e">
        <f>#REF!+"$Cm=!%''"</f>
        <v>#REF!</v>
      </c>
      <c r="AF64" t="e">
        <f>#REF!+"$Cm=!%'("</f>
        <v>#REF!</v>
      </c>
      <c r="AG64" t="e">
        <f>#REF!+"$Cm=!%')"</f>
        <v>#REF!</v>
      </c>
      <c r="AH64" t="e">
        <f>#REF!+"$Cm=!%'."</f>
        <v>#REF!</v>
      </c>
      <c r="AI64" t="e">
        <f>#REF!+"$Cm=!%'/"</f>
        <v>#REF!</v>
      </c>
      <c r="AJ64" t="e">
        <f>#REF!+"$Cm=!%'0"</f>
        <v>#REF!</v>
      </c>
      <c r="AK64" t="e">
        <f>#REF!+"$Cm=!%'1"</f>
        <v>#REF!</v>
      </c>
      <c r="AL64" t="e">
        <f>#REF!+"$Cm=!%'2"</f>
        <v>#REF!</v>
      </c>
      <c r="AM64" t="e">
        <f>#REF!+"$Cm=!%'3"</f>
        <v>#REF!</v>
      </c>
      <c r="AN64" t="e">
        <f>#REF!+"$Cm=!%'4"</f>
        <v>#REF!</v>
      </c>
      <c r="AO64" t="e">
        <f>#REF!+"$Cm=!%'5"</f>
        <v>#REF!</v>
      </c>
      <c r="AP64" t="e">
        <f>#REF!+"$Cm=!%'6"</f>
        <v>#REF!</v>
      </c>
      <c r="AQ64" t="e">
        <f>#REF!+"$Cm=!%'7"</f>
        <v>#REF!</v>
      </c>
      <c r="AR64" t="e">
        <f>#REF!+"$Cm=!%'8"</f>
        <v>#REF!</v>
      </c>
      <c r="AS64" t="e">
        <f>#REF!+"$Cm=!%'9"</f>
        <v>#REF!</v>
      </c>
      <c r="AT64" t="e">
        <f>#REF!+"$Cm=!%':"</f>
        <v>#REF!</v>
      </c>
      <c r="AU64" t="e">
        <f>#REF!+"$Cm=!%';"</f>
        <v>#REF!</v>
      </c>
      <c r="AV64" t="e">
        <f>#REF!+"$Cm=!%'&lt;"</f>
        <v>#REF!</v>
      </c>
      <c r="AW64" t="e">
        <f>#REF!+"$Cm=!%'="</f>
        <v>#REF!</v>
      </c>
      <c r="AX64" t="e">
        <f>#REF!+"$Cm=!%'&gt;"</f>
        <v>#REF!</v>
      </c>
      <c r="AY64" t="e">
        <f>#REF!+"$Cm=!%'?"</f>
        <v>#REF!</v>
      </c>
      <c r="AZ64" t="e">
        <f>#REF!+"$Cm=!%'@"</f>
        <v>#REF!</v>
      </c>
      <c r="BA64" t="e">
        <f>#REF!+"$Cm=!%'A"</f>
        <v>#REF!</v>
      </c>
      <c r="BB64" t="e">
        <f>#REF!+"$Cm=!%'B"</f>
        <v>#REF!</v>
      </c>
      <c r="BC64" t="e">
        <f>#REF!+"$Cm=!%'C"</f>
        <v>#REF!</v>
      </c>
      <c r="BD64" t="e">
        <f>#REF!+"$Cm=!%'D"</f>
        <v>#REF!</v>
      </c>
      <c r="BE64" t="e">
        <f>#REF!+"$Cm=!%'E"</f>
        <v>#REF!</v>
      </c>
      <c r="BF64" t="e">
        <f>#REF!+"$Cm=!%'F"</f>
        <v>#REF!</v>
      </c>
      <c r="BG64" t="e">
        <f>#REF!+"$Cm=!%'G"</f>
        <v>#REF!</v>
      </c>
      <c r="BH64" t="e">
        <f>#REF!+"$Cm=!%'H"</f>
        <v>#REF!</v>
      </c>
      <c r="BI64" t="e">
        <f>#REF!+"$Cm=!%'I"</f>
        <v>#REF!</v>
      </c>
      <c r="BJ64" t="e">
        <f>#REF!+"$Cm=!%'J"</f>
        <v>#REF!</v>
      </c>
      <c r="BK64" t="e">
        <f>#REF!+"$Cm=!%'K"</f>
        <v>#REF!</v>
      </c>
      <c r="BL64" t="e">
        <f>#REF!+"$Cm=!%'L"</f>
        <v>#REF!</v>
      </c>
      <c r="BM64" t="e">
        <f>#REF!+"$Cm=!%'M"</f>
        <v>#REF!</v>
      </c>
      <c r="BN64" t="e">
        <f>#REF!+"$Cm=!%'N"</f>
        <v>#REF!</v>
      </c>
      <c r="BO64" t="e">
        <f>#REF!+"$Cm=!%'O"</f>
        <v>#REF!</v>
      </c>
      <c r="BP64" t="e">
        <f>#REF!+"$Cm=!%'P"</f>
        <v>#REF!</v>
      </c>
      <c r="BQ64" t="e">
        <f>#REF!+"$Cm=!%'Q"</f>
        <v>#REF!</v>
      </c>
      <c r="BR64" t="e">
        <f>#REF!+"$Cm=!%'R"</f>
        <v>#REF!</v>
      </c>
      <c r="BS64" t="e">
        <f>#REF!+"$Cm=!%'S"</f>
        <v>#REF!</v>
      </c>
      <c r="BT64" t="e">
        <f>#REF!+"$Cm=!%'T"</f>
        <v>#REF!</v>
      </c>
      <c r="BU64" t="e">
        <f>#REF!+"$Cm=!%'U"</f>
        <v>#REF!</v>
      </c>
      <c r="BV64" t="e">
        <f>#REF!+"$Cm=!%'V"</f>
        <v>#REF!</v>
      </c>
      <c r="BW64" t="e">
        <f>#REF!+"$Cm=!%'W"</f>
        <v>#REF!</v>
      </c>
      <c r="BX64" t="e">
        <f>#REF!+"$Cm=!%'X"</f>
        <v>#REF!</v>
      </c>
      <c r="BY64" t="e">
        <f>#REF!+"$Cm=!%'Y"</f>
        <v>#REF!</v>
      </c>
      <c r="BZ64" t="e">
        <f>#REF!+"$Cm=!%'Z"</f>
        <v>#REF!</v>
      </c>
      <c r="CA64" t="e">
        <f>#REF!+"$Cm=!%'["</f>
        <v>#REF!</v>
      </c>
      <c r="CB64" t="e">
        <f>#REF!+"$Cm=!%'\"</f>
        <v>#REF!</v>
      </c>
      <c r="CC64" t="e">
        <f>#REF!+"$Cm=!%']"</f>
        <v>#REF!</v>
      </c>
      <c r="CD64" t="e">
        <f>#REF!+"$Cm=!%'^"</f>
        <v>#REF!</v>
      </c>
      <c r="CE64" t="e">
        <f>#REF!+"$Cm=!%'_"</f>
        <v>#REF!</v>
      </c>
      <c r="CF64" t="e">
        <f>#REF!+"$Cm=!%'`"</f>
        <v>#REF!</v>
      </c>
      <c r="CG64" t="e">
        <f>#REF!+"$Cm=!%'a"</f>
        <v>#REF!</v>
      </c>
      <c r="CH64" t="e">
        <f>#REF!+"$Cm=!%'b"</f>
        <v>#REF!</v>
      </c>
      <c r="CI64" t="e">
        <f>#REF!+"$Cm=!%'c"</f>
        <v>#REF!</v>
      </c>
      <c r="CJ64" t="e">
        <f>#REF!+"$Cm=!%'d"</f>
        <v>#REF!</v>
      </c>
      <c r="CK64" t="e">
        <f>#REF!+"$Cm=!%'e"</f>
        <v>#REF!</v>
      </c>
      <c r="CL64" t="e">
        <f>#REF!+"$Cm=!%'f"</f>
        <v>#REF!</v>
      </c>
      <c r="CM64" t="e">
        <f>#REF!+"$Cm=!%'g"</f>
        <v>#REF!</v>
      </c>
      <c r="CN64" t="e">
        <f>#REF!+"$Cm=!%'h"</f>
        <v>#REF!</v>
      </c>
      <c r="CO64" t="e">
        <f>#REF!+"$Cm=!%'i"</f>
        <v>#REF!</v>
      </c>
      <c r="CP64" t="e">
        <f>#REF!+"$Cm=!%'j"</f>
        <v>#REF!</v>
      </c>
      <c r="CQ64" t="e">
        <f>#REF!+"$Cm=!%'k"</f>
        <v>#REF!</v>
      </c>
      <c r="CR64" t="e">
        <f>#REF!+"$Cm=!%'l"</f>
        <v>#REF!</v>
      </c>
      <c r="CS64" t="e">
        <f>#REF!+"$Cm=!%'m"</f>
        <v>#REF!</v>
      </c>
      <c r="CT64" t="e">
        <f>#REF!+"$Cm=!%'n"</f>
        <v>#REF!</v>
      </c>
      <c r="CU64" t="e">
        <f>#REF!+"$Cm=!%'o"</f>
        <v>#REF!</v>
      </c>
      <c r="CV64" t="e">
        <f>#REF!+"$Cm=!%'p"</f>
        <v>#REF!</v>
      </c>
      <c r="CW64" t="e">
        <f>#REF!+"$Cm=!%'q"</f>
        <v>#REF!</v>
      </c>
      <c r="CX64" t="e">
        <f>#REF!+"$Cm=!%'r"</f>
        <v>#REF!</v>
      </c>
      <c r="CY64" t="e">
        <f>#REF!+"$Cm=!%'s"</f>
        <v>#REF!</v>
      </c>
      <c r="CZ64" t="e">
        <f>#REF!+"$Cm=!%'t"</f>
        <v>#REF!</v>
      </c>
      <c r="DA64" t="e">
        <f>#REF!+"$Cm=!%'u"</f>
        <v>#REF!</v>
      </c>
      <c r="DB64" t="e">
        <f>#REF!+"$Cm=!%'v"</f>
        <v>#REF!</v>
      </c>
      <c r="DC64" t="e">
        <f>#REF!+"$Cm=!%'w"</f>
        <v>#REF!</v>
      </c>
      <c r="DD64" t="e">
        <f>#REF!+"$Cm=!%'x"</f>
        <v>#REF!</v>
      </c>
      <c r="DE64" t="e">
        <f>#REF!+"$Cm=!%'y"</f>
        <v>#REF!</v>
      </c>
      <c r="DF64" t="e">
        <f>#REF!+"$Cm=!%'z"</f>
        <v>#REF!</v>
      </c>
      <c r="DG64" t="e">
        <f>#REF!+"$Cm=!%'{"</f>
        <v>#REF!</v>
      </c>
      <c r="DH64" t="e">
        <f>#REF!+"$Cm=!%'|"</f>
        <v>#REF!</v>
      </c>
      <c r="DI64" t="e">
        <f>#REF!+"$Cm=!%'}"</f>
        <v>#REF!</v>
      </c>
      <c r="DJ64" t="e">
        <f>#REF!+"$Cm=!%'~"</f>
        <v>#REF!</v>
      </c>
      <c r="DK64" t="e">
        <f>#REF!+"$Cm=!%(#"</f>
        <v>#REF!</v>
      </c>
      <c r="DL64" t="e">
        <f>#REF!+"$Cm=!%($"</f>
        <v>#REF!</v>
      </c>
      <c r="DM64" t="e">
        <f>#REF!+"$Cm=!%(%"</f>
        <v>#REF!</v>
      </c>
      <c r="DN64" t="e">
        <f>#REF!+"$Cm=!%(&amp;"</f>
        <v>#REF!</v>
      </c>
      <c r="DO64" t="e">
        <f>#REF!+"$Cm=!%('"</f>
        <v>#REF!</v>
      </c>
      <c r="DP64" t="e">
        <f>#REF!+"$Cm=!%(("</f>
        <v>#REF!</v>
      </c>
      <c r="DQ64" t="e">
        <f>#REF!+"$Cm=!%()"</f>
        <v>#REF!</v>
      </c>
      <c r="DR64" t="e">
        <f>#REF!+"$Cm=!%(."</f>
        <v>#REF!</v>
      </c>
      <c r="DS64" t="e">
        <f>#REF!+"$Cm=!%(/"</f>
        <v>#REF!</v>
      </c>
      <c r="DT64" t="e">
        <f>#REF!+"$Cm=!%(0"</f>
        <v>#REF!</v>
      </c>
      <c r="DU64" t="e">
        <f>#REF!+"$Cm=!%(1"</f>
        <v>#REF!</v>
      </c>
      <c r="DV64" t="e">
        <f>#REF!+"$Cm=!%(2"</f>
        <v>#REF!</v>
      </c>
      <c r="DW64" t="e">
        <f>#REF!+"$Cm=!%(3"</f>
        <v>#REF!</v>
      </c>
      <c r="DX64" t="e">
        <f>#REF!+"$Cm=!%(4"</f>
        <v>#REF!</v>
      </c>
      <c r="DY64" t="e">
        <f>#REF!+"$Cm=!%(5"</f>
        <v>#REF!</v>
      </c>
      <c r="DZ64" t="e">
        <f>#REF!+"$Cm=!%(6"</f>
        <v>#REF!</v>
      </c>
      <c r="EA64" t="e">
        <f>#REF!+"$Cm=!%(7"</f>
        <v>#REF!</v>
      </c>
      <c r="EB64" t="e">
        <f>#REF!+"$Cm=!%(8"</f>
        <v>#REF!</v>
      </c>
      <c r="EC64" t="e">
        <f>#REF!+"$Cm=!%(9"</f>
        <v>#REF!</v>
      </c>
      <c r="ED64" t="e">
        <f>#REF!+"$Cm=!%(:"</f>
        <v>#REF!</v>
      </c>
      <c r="EE64" t="e">
        <f>#REF!+"$Cm=!%(;"</f>
        <v>#REF!</v>
      </c>
      <c r="EF64" t="e">
        <f>#REF!+"$Cm=!%(&lt;"</f>
        <v>#REF!</v>
      </c>
      <c r="EG64" t="e">
        <f>#REF!+"$Cm=!%(="</f>
        <v>#REF!</v>
      </c>
      <c r="EH64" t="e">
        <f>#REF!+"$Cm=!%(&gt;"</f>
        <v>#REF!</v>
      </c>
      <c r="EI64" t="e">
        <f>#REF!+"$Cm=!%(?"</f>
        <v>#REF!</v>
      </c>
      <c r="EJ64" t="e">
        <f>#REF!+"$Cm=!%(@"</f>
        <v>#REF!</v>
      </c>
      <c r="EK64" t="e">
        <f>#REF!+"$Cm=!%(A"</f>
        <v>#REF!</v>
      </c>
      <c r="EL64" t="e">
        <f>#REF!+"$Cm=!%(B"</f>
        <v>#REF!</v>
      </c>
      <c r="EM64" t="e">
        <f>#REF!+"$Cm=!%(C"</f>
        <v>#REF!</v>
      </c>
      <c r="EN64" t="e">
        <f>#REF!+"$Cm=!%(D"</f>
        <v>#REF!</v>
      </c>
      <c r="EO64" t="e">
        <f>#REF!+"$Cm=!%(E"</f>
        <v>#REF!</v>
      </c>
      <c r="EP64" t="e">
        <f>#REF!+"$Cm=!%(F"</f>
        <v>#REF!</v>
      </c>
      <c r="EQ64" t="e">
        <f>#REF!+"$Cm=!%(G"</f>
        <v>#REF!</v>
      </c>
      <c r="ER64" t="e">
        <f>#REF!+"$Cm=!%(H"</f>
        <v>#REF!</v>
      </c>
      <c r="ES64" t="e">
        <f>#REF!+"$Cm=!%(I"</f>
        <v>#REF!</v>
      </c>
      <c r="ET64" t="e">
        <f>#REF!+"$Cm=!%(J"</f>
        <v>#REF!</v>
      </c>
      <c r="EU64" t="e">
        <f>#REF!+"$Cm=!%(K"</f>
        <v>#REF!</v>
      </c>
      <c r="EV64" t="e">
        <f>#REF!+"$Cm=!%(L"</f>
        <v>#REF!</v>
      </c>
      <c r="EW64" t="e">
        <f>#REF!+"$Cm=!%(M"</f>
        <v>#REF!</v>
      </c>
      <c r="EX64" t="e">
        <f>#REF!+"$Cm=!%(N"</f>
        <v>#REF!</v>
      </c>
      <c r="EY64" t="e">
        <f>#REF!+"$Cm=!%(O"</f>
        <v>#REF!</v>
      </c>
      <c r="EZ64" t="e">
        <f>#REF!+"$Cm=!%(P"</f>
        <v>#REF!</v>
      </c>
      <c r="FA64" t="e">
        <f>#REF!+"$Cm=!%(Q"</f>
        <v>#REF!</v>
      </c>
      <c r="FB64" t="e">
        <f>#REF!+"$Cm=!%(R"</f>
        <v>#REF!</v>
      </c>
      <c r="FC64" t="e">
        <f>#REF!+"$Cm=!%(S"</f>
        <v>#REF!</v>
      </c>
      <c r="FD64" t="e">
        <f>#REF!+"$Cm=!%(T"</f>
        <v>#REF!</v>
      </c>
      <c r="FE64" t="e">
        <f>#REF!+"$Cm=!%(U"</f>
        <v>#REF!</v>
      </c>
      <c r="FF64" t="e">
        <f>#REF!+"$Cm=!%(V"</f>
        <v>#REF!</v>
      </c>
      <c r="FG64" t="e">
        <f>#REF!+"$Cm=!%(W"</f>
        <v>#REF!</v>
      </c>
      <c r="FH64" t="e">
        <f>#REF!+"$Cm=!%(X"</f>
        <v>#REF!</v>
      </c>
      <c r="FI64" t="e">
        <f>#REF!+"$Cm=!%(Y"</f>
        <v>#REF!</v>
      </c>
      <c r="FJ64" t="e">
        <f>#REF!+"$Cm=!%(Z"</f>
        <v>#REF!</v>
      </c>
      <c r="FK64" t="e">
        <f>#REF!+"$Cm=!%(["</f>
        <v>#REF!</v>
      </c>
      <c r="FL64" t="e">
        <f>#REF!+"$Cm=!%(\"</f>
        <v>#REF!</v>
      </c>
      <c r="FM64" t="e">
        <f>#REF!+"$Cm=!%(]"</f>
        <v>#REF!</v>
      </c>
      <c r="FN64" t="e">
        <f>#REF!+"$Cm=!%(^"</f>
        <v>#REF!</v>
      </c>
      <c r="FO64" t="e">
        <f>#REF!+"$Cm=!%(_"</f>
        <v>#REF!</v>
      </c>
      <c r="FP64" t="e">
        <f>#REF!+"$Cm=!%(`"</f>
        <v>#REF!</v>
      </c>
      <c r="FQ64" t="e">
        <f>#REF!+"$Cm=!%(a"</f>
        <v>#REF!</v>
      </c>
      <c r="FR64" t="e">
        <f>#REF!+"$Cm=!%(b"</f>
        <v>#REF!</v>
      </c>
      <c r="FS64" t="e">
        <f>#REF!+"$Cm=!%(c"</f>
        <v>#REF!</v>
      </c>
      <c r="FT64" t="e">
        <f>#REF!+"$Cm=!%(d"</f>
        <v>#REF!</v>
      </c>
      <c r="FU64" t="e">
        <f>#REF!+"$Cm=!%(e"</f>
        <v>#REF!</v>
      </c>
      <c r="FV64" t="e">
        <f>#REF!+"$Cm=!%(f"</f>
        <v>#REF!</v>
      </c>
      <c r="FW64" t="e">
        <f>#REF!+"$Cm=!%(g"</f>
        <v>#REF!</v>
      </c>
      <c r="FX64" t="e">
        <f>#REF!+"$Cm=!%(h"</f>
        <v>#REF!</v>
      </c>
      <c r="FY64" t="e">
        <f>#REF!+"$Cm=!%(i"</f>
        <v>#REF!</v>
      </c>
      <c r="FZ64" t="e">
        <f>#REF!+"$Cm=!%(j"</f>
        <v>#REF!</v>
      </c>
      <c r="GA64" t="e">
        <f>#REF!+"$Cm=!%(k"</f>
        <v>#REF!</v>
      </c>
      <c r="GB64" t="e">
        <f>#REF!+"$Cm=!%(l"</f>
        <v>#REF!</v>
      </c>
      <c r="GC64" t="e">
        <f>#REF!+"$Cm=!%(m"</f>
        <v>#REF!</v>
      </c>
      <c r="GD64" t="e">
        <f>#REF!+"$Cm=!%(n"</f>
        <v>#REF!</v>
      </c>
      <c r="GE64" t="e">
        <f>#REF!+"$Cm=!%(o"</f>
        <v>#REF!</v>
      </c>
      <c r="GF64" t="e">
        <f>#REF!+"$Cm=!%(p"</f>
        <v>#REF!</v>
      </c>
      <c r="GG64" t="e">
        <f>#REF!+"$Cm=!%(q"</f>
        <v>#REF!</v>
      </c>
      <c r="GH64" t="e">
        <f>#REF!+"$Cm=!%(r"</f>
        <v>#REF!</v>
      </c>
      <c r="GI64" t="e">
        <f>#REF!+"$Cm=!%(s"</f>
        <v>#REF!</v>
      </c>
      <c r="GJ64" t="e">
        <f>#REF!+"$Cm=!%(t"</f>
        <v>#REF!</v>
      </c>
      <c r="GK64" t="e">
        <f>#REF!+"$Cm=!%(u"</f>
        <v>#REF!</v>
      </c>
      <c r="GL64" t="e">
        <f>#REF!+"$Cm=!%(v"</f>
        <v>#REF!</v>
      </c>
      <c r="GM64" t="e">
        <f>#REF!+"$Cm=!%(w"</f>
        <v>#REF!</v>
      </c>
      <c r="GN64" t="e">
        <f>#REF!+"$Cm=!%(x"</f>
        <v>#REF!</v>
      </c>
      <c r="GO64" t="e">
        <f>#REF!+"$Cm=!%(y"</f>
        <v>#REF!</v>
      </c>
      <c r="GP64" t="e">
        <f>#REF!+"$Cm=!%(z"</f>
        <v>#REF!</v>
      </c>
      <c r="GQ64" t="e">
        <f>#REF!+"$Cm=!%({"</f>
        <v>#REF!</v>
      </c>
      <c r="GR64" t="e">
        <f>#REF!+"$Cm=!%(|"</f>
        <v>#REF!</v>
      </c>
      <c r="GS64" t="e">
        <f>#REF!+"$Cm=!%(}"</f>
        <v>#REF!</v>
      </c>
      <c r="GT64" t="e">
        <f>#REF!+"$Cm=!%(~"</f>
        <v>#REF!</v>
      </c>
      <c r="GU64" t="e">
        <f>#REF!+"$Cm=!%)#"</f>
        <v>#REF!</v>
      </c>
      <c r="GV64" t="e">
        <f>#REF!+"$Cm=!%)$"</f>
        <v>#REF!</v>
      </c>
      <c r="GW64" t="e">
        <f>#REF!+"$Cm=!%)%"</f>
        <v>#REF!</v>
      </c>
      <c r="GX64" t="e">
        <f>#REF!+"$Cm=!%)&amp;"</f>
        <v>#REF!</v>
      </c>
      <c r="GY64" t="e">
        <f>#REF!+"$Cm=!%)'"</f>
        <v>#REF!</v>
      </c>
      <c r="GZ64" t="e">
        <f>#REF!+"$Cm=!%)("</f>
        <v>#REF!</v>
      </c>
      <c r="HA64" t="e">
        <f>#REF!+"$Cm=!%))"</f>
        <v>#REF!</v>
      </c>
      <c r="HB64" t="e">
        <f>#REF!+"$Cm=!%)."</f>
        <v>#REF!</v>
      </c>
      <c r="HC64" t="e">
        <f>#REF!+"$Cm=!%)/"</f>
        <v>#REF!</v>
      </c>
      <c r="HD64" t="e">
        <f>#REF!+"$Cm=!%)0"</f>
        <v>#REF!</v>
      </c>
      <c r="HE64" t="e">
        <f>#REF!+"$Cm=!%)1"</f>
        <v>#REF!</v>
      </c>
      <c r="HF64" t="e">
        <f>#REF!+"$Cm=!%)2"</f>
        <v>#REF!</v>
      </c>
      <c r="HG64" t="e">
        <f>#REF!+"$Cm=!%)3"</f>
        <v>#REF!</v>
      </c>
      <c r="HH64" t="e">
        <f>#REF!+"$Cm=!%)4"</f>
        <v>#REF!</v>
      </c>
      <c r="HI64" t="e">
        <f>#REF!+"$Cm=!%)5"</f>
        <v>#REF!</v>
      </c>
      <c r="HJ64" t="e">
        <f>#REF!+"$Cm=!%)6"</f>
        <v>#REF!</v>
      </c>
      <c r="HK64" t="e">
        <f>#REF!+"$Cm=!%)7"</f>
        <v>#REF!</v>
      </c>
      <c r="HL64" t="e">
        <f>#REF!+"$Cm=!%)8"</f>
        <v>#REF!</v>
      </c>
      <c r="HM64" t="e">
        <f>#REF!+"$Cm=!%)9"</f>
        <v>#REF!</v>
      </c>
      <c r="HN64" t="e">
        <f>#REF!+"$Cm=!%):"</f>
        <v>#REF!</v>
      </c>
      <c r="HO64" t="e">
        <f>#REF!+"$Cm=!%);"</f>
        <v>#REF!</v>
      </c>
      <c r="HP64" t="e">
        <f>#REF!+"$Cm=!%)&lt;"</f>
        <v>#REF!</v>
      </c>
      <c r="HQ64" t="e">
        <f>#REF!+"$Cm=!%)="</f>
        <v>#REF!</v>
      </c>
      <c r="HR64" t="e">
        <f>#REF!+"$Cm=!%)&gt;"</f>
        <v>#REF!</v>
      </c>
      <c r="HS64" t="e">
        <f>#REF!+"$Cm=!%)?"</f>
        <v>#REF!</v>
      </c>
      <c r="HT64" t="e">
        <f>#REF!+"$Cm=!%)@"</f>
        <v>#REF!</v>
      </c>
      <c r="HU64" t="e">
        <f>#REF!+"$Cm=!%)A"</f>
        <v>#REF!</v>
      </c>
      <c r="HV64" t="e">
        <f>#REF!+"$Cm=!%)B"</f>
        <v>#REF!</v>
      </c>
      <c r="HW64" t="e">
        <f>#REF!+"$Cm=!%)C"</f>
        <v>#REF!</v>
      </c>
      <c r="HX64" t="e">
        <f>#REF!+"$Cm=!%)D"</f>
        <v>#REF!</v>
      </c>
      <c r="HY64" t="e">
        <f>#REF!+"$Cm=!%)E"</f>
        <v>#REF!</v>
      </c>
      <c r="HZ64" t="e">
        <f>#REF!+"$Cm=!%)F"</f>
        <v>#REF!</v>
      </c>
      <c r="IA64" t="e">
        <f>#REF!+"$Cm=!%)G"</f>
        <v>#REF!</v>
      </c>
      <c r="IB64" t="e">
        <f>#REF!+"$Cm=!%)H"</f>
        <v>#REF!</v>
      </c>
      <c r="IC64" t="e">
        <f>#REF!+"$Cm=!%)I"</f>
        <v>#REF!</v>
      </c>
      <c r="ID64" t="e">
        <f>#REF!+"$Cm=!%)J"</f>
        <v>#REF!</v>
      </c>
      <c r="IE64" t="e">
        <f>#REF!+"$Cm=!%)K"</f>
        <v>#REF!</v>
      </c>
      <c r="IF64" t="e">
        <f>#REF!+"$Cm=!%)L"</f>
        <v>#REF!</v>
      </c>
      <c r="IG64" t="e">
        <f>#REF!+"$Cm=!%)M"</f>
        <v>#REF!</v>
      </c>
      <c r="IH64" t="e">
        <f>#REF!+"$Cm=!%)N"</f>
        <v>#REF!</v>
      </c>
      <c r="II64" t="e">
        <f>#REF!+"$Cm=!%)O"</f>
        <v>#REF!</v>
      </c>
      <c r="IJ64" t="e">
        <f>#REF!+"$Cm=!%)P"</f>
        <v>#REF!</v>
      </c>
      <c r="IK64" t="e">
        <f>#REF!+"$Cm=!%)Q"</f>
        <v>#REF!</v>
      </c>
      <c r="IL64" t="e">
        <f>#REF!+"$Cm=!%)R"</f>
        <v>#REF!</v>
      </c>
      <c r="IM64" t="e">
        <f>#REF!+"$Cm=!%)S"</f>
        <v>#REF!</v>
      </c>
      <c r="IN64" t="e">
        <f>#REF!+"$Cm=!%)T"</f>
        <v>#REF!</v>
      </c>
      <c r="IO64" t="e">
        <f>#REF!+"$Cm=!%)U"</f>
        <v>#REF!</v>
      </c>
      <c r="IP64" t="e">
        <f>#REF!+"$Cm=!%)V"</f>
        <v>#REF!</v>
      </c>
      <c r="IQ64" t="e">
        <f>#REF!+"$Cm=!%)W"</f>
        <v>#REF!</v>
      </c>
      <c r="IR64" t="e">
        <f>#REF!+"$Cm=!%)X"</f>
        <v>#REF!</v>
      </c>
      <c r="IS64" t="e">
        <f>#REF!+"$Cm=!%)Y"</f>
        <v>#REF!</v>
      </c>
      <c r="IT64" t="e">
        <f>#REF!+"$Cm=!%)Z"</f>
        <v>#REF!</v>
      </c>
      <c r="IU64" t="e">
        <f>#REF!+"$Cm=!%)["</f>
        <v>#REF!</v>
      </c>
      <c r="IV64" t="e">
        <f>#REF!+"$Cm=!%)\"</f>
        <v>#REF!</v>
      </c>
    </row>
    <row r="65" spans="6:256">
      <c r="F65" t="e">
        <f>#REF!+"$Cm=!%)]"</f>
        <v>#REF!</v>
      </c>
      <c r="G65" t="e">
        <f>#REF!+"$Cm=!%)^"</f>
        <v>#REF!</v>
      </c>
      <c r="H65" t="e">
        <f>#REF!+"$Cm=!%)_"</f>
        <v>#REF!</v>
      </c>
      <c r="I65" t="e">
        <f>#REF!+"$Cm=!%)`"</f>
        <v>#REF!</v>
      </c>
      <c r="J65" t="e">
        <f>#REF!+"$Cm=!%)a"</f>
        <v>#REF!</v>
      </c>
      <c r="K65" t="e">
        <f>#REF!+"$Cm=!%)b"</f>
        <v>#REF!</v>
      </c>
      <c r="L65" t="e">
        <f>#REF!+"$Cm=!%)c"</f>
        <v>#REF!</v>
      </c>
      <c r="M65" t="e">
        <f>#REF!+"$Cm=!%)d"</f>
        <v>#REF!</v>
      </c>
      <c r="N65" t="e">
        <f>#REF!+"$Cm=!%)e"</f>
        <v>#REF!</v>
      </c>
      <c r="O65" t="e">
        <f>#REF!+"$Cm=!%)f"</f>
        <v>#REF!</v>
      </c>
      <c r="P65" t="e">
        <f>#REF!+"$Cm=!%)g"</f>
        <v>#REF!</v>
      </c>
      <c r="Q65" t="e">
        <f>#REF!+"$Cm=!%)h"</f>
        <v>#REF!</v>
      </c>
      <c r="R65" t="e">
        <f>#REF!+"$Cm=!%)i"</f>
        <v>#REF!</v>
      </c>
      <c r="S65" t="e">
        <f>#REF!+"$Cm=!%)j"</f>
        <v>#REF!</v>
      </c>
      <c r="T65" t="e">
        <f>#REF!+"$Cm=!%)k"</f>
        <v>#REF!</v>
      </c>
      <c r="U65" t="e">
        <f>#REF!+"$Cm=!%)l"</f>
        <v>#REF!</v>
      </c>
      <c r="V65" t="e">
        <f>#REF!+"$Cm=!%)m"</f>
        <v>#REF!</v>
      </c>
      <c r="W65" t="e">
        <f>#REF!+"$Cm=!%)n"</f>
        <v>#REF!</v>
      </c>
      <c r="X65" t="e">
        <f>#REF!+"$Cm=!%)o"</f>
        <v>#REF!</v>
      </c>
      <c r="Y65" t="e">
        <f>#REF!+"$Cm=!%)p"</f>
        <v>#REF!</v>
      </c>
      <c r="Z65" t="e">
        <f>#REF!+"$Cm=!%)q"</f>
        <v>#REF!</v>
      </c>
      <c r="AA65" t="e">
        <f>#REF!+"$Cm=!%)r"</f>
        <v>#REF!</v>
      </c>
      <c r="AB65" t="e">
        <f>#REF!+"$Cm=!%)s"</f>
        <v>#REF!</v>
      </c>
      <c r="AC65" t="e">
        <f>#REF!+"$Cm=!%)t"</f>
        <v>#REF!</v>
      </c>
      <c r="AD65" t="e">
        <f>#REF!+"$Cm=!%)u"</f>
        <v>#REF!</v>
      </c>
      <c r="AE65" t="e">
        <f>#REF!+"$Cm=!%)v"</f>
        <v>#REF!</v>
      </c>
      <c r="AF65" t="e">
        <f>#REF!+"$Cm=!%)w"</f>
        <v>#REF!</v>
      </c>
      <c r="AG65" t="e">
        <f>#REF!+"$Cm=!%)x"</f>
        <v>#REF!</v>
      </c>
      <c r="AH65" t="e">
        <f>#REF!+"$Cm=!%)y"</f>
        <v>#REF!</v>
      </c>
      <c r="AI65" t="e">
        <f>#REF!+"$Cm=!%)z"</f>
        <v>#REF!</v>
      </c>
      <c r="AJ65" t="e">
        <f>#REF!+"$Cm=!%){"</f>
        <v>#REF!</v>
      </c>
      <c r="AK65" t="e">
        <f>#REF!+"$Cm=!%)|"</f>
        <v>#REF!</v>
      </c>
      <c r="AL65" t="e">
        <f>#REF!+"$Cm=!%)}"</f>
        <v>#REF!</v>
      </c>
      <c r="AM65" t="e">
        <f>#REF!+"$Cm=!%)~"</f>
        <v>#REF!</v>
      </c>
      <c r="AN65" t="e">
        <f>#REF!+"$Cm=!%.#"</f>
        <v>#REF!</v>
      </c>
      <c r="AO65" t="e">
        <f>#REF!+"$Cm=!%.$"</f>
        <v>#REF!</v>
      </c>
      <c r="AP65" t="e">
        <f>#REF!+"$Cm=!%.%"</f>
        <v>#REF!</v>
      </c>
      <c r="AQ65" t="e">
        <f>#REF!+"$Cm=!%.&amp;"</f>
        <v>#REF!</v>
      </c>
      <c r="AR65" t="e">
        <f>#REF!+"$Cm=!%.'"</f>
        <v>#REF!</v>
      </c>
      <c r="AS65" t="e">
        <f>#REF!+"$Cm=!%.("</f>
        <v>#REF!</v>
      </c>
      <c r="AT65" t="e">
        <f>#REF!+"$Cm=!%.)"</f>
        <v>#REF!</v>
      </c>
      <c r="AU65" t="e">
        <f>#REF!+"$Cm=!%.."</f>
        <v>#REF!</v>
      </c>
      <c r="AV65" t="e">
        <f>#REF!+"$Cm=!%./"</f>
        <v>#REF!</v>
      </c>
      <c r="AW65" t="e">
        <f>#REF!+"$Cm=!%.0"</f>
        <v>#REF!</v>
      </c>
      <c r="AX65" t="e">
        <f>#REF!+"$Cm=!%.1"</f>
        <v>#REF!</v>
      </c>
      <c r="AY65" t="e">
        <f>#REF!+"$Cm=!%.2"</f>
        <v>#REF!</v>
      </c>
      <c r="AZ65" t="e">
        <f>#REF!+"$Cm=!%.3"</f>
        <v>#REF!</v>
      </c>
      <c r="BA65" t="e">
        <f>#REF!+"$Cm=!%.4"</f>
        <v>#REF!</v>
      </c>
      <c r="BB65" t="e">
        <f>#REF!+"$Cm=!%.5"</f>
        <v>#REF!</v>
      </c>
      <c r="BC65" t="e">
        <f>#REF!+"$Cm=!%.6"</f>
        <v>#REF!</v>
      </c>
      <c r="BD65" t="e">
        <f>#REF!+"$Cm=!%.7"</f>
        <v>#REF!</v>
      </c>
      <c r="BE65" t="e">
        <f>#REF!+"$Cm=!%.8"</f>
        <v>#REF!</v>
      </c>
      <c r="BF65" t="e">
        <f>#REF!+"$Cm=!%.9"</f>
        <v>#REF!</v>
      </c>
      <c r="BG65" t="e">
        <f>#REF!+"$Cm=!%.:"</f>
        <v>#REF!</v>
      </c>
      <c r="BH65" t="e">
        <f>#REF!+"$Cm=!%.;"</f>
        <v>#REF!</v>
      </c>
      <c r="BI65" t="e">
        <f>#REF!+"$Cm=!%.&lt;"</f>
        <v>#REF!</v>
      </c>
      <c r="BJ65" t="e">
        <f>#REF!+"$Cm=!%.="</f>
        <v>#REF!</v>
      </c>
      <c r="BK65" t="e">
        <f>#REF!+"$Cm=!%.&gt;"</f>
        <v>#REF!</v>
      </c>
      <c r="BL65" t="e">
        <f>#REF!+"$Cm=!%.?"</f>
        <v>#REF!</v>
      </c>
      <c r="BM65" t="e">
        <f>#REF!+"$Cm=!%.@"</f>
        <v>#REF!</v>
      </c>
      <c r="BN65" t="e">
        <f>#REF!+"$Cm=!%.A"</f>
        <v>#REF!</v>
      </c>
      <c r="BO65" t="e">
        <f>#REF!+"$Cm=!%.B"</f>
        <v>#REF!</v>
      </c>
      <c r="BP65" t="e">
        <f>#REF!+"$Cm=!%.C"</f>
        <v>#REF!</v>
      </c>
      <c r="BQ65" t="e">
        <f>#REF!+"$Cm=!%.D"</f>
        <v>#REF!</v>
      </c>
      <c r="BR65" t="e">
        <f>#REF!+"$Cm=!%.E"</f>
        <v>#REF!</v>
      </c>
      <c r="BS65" t="e">
        <f>#REF!+"$Cm=!%.F"</f>
        <v>#REF!</v>
      </c>
      <c r="BT65" t="e">
        <f>#REF!+"$Cm=!%.G"</f>
        <v>#REF!</v>
      </c>
      <c r="BU65" t="e">
        <f>#REF!+"$Cm=!%.H"</f>
        <v>#REF!</v>
      </c>
      <c r="BV65" t="e">
        <f>#REF!+"$Cm=!%.I"</f>
        <v>#REF!</v>
      </c>
      <c r="BW65" t="e">
        <f>#REF!+"$Cm=!%.J"</f>
        <v>#REF!</v>
      </c>
      <c r="BX65" t="e">
        <f>#REF!+"$Cm=!%.K"</f>
        <v>#REF!</v>
      </c>
      <c r="BY65" t="e">
        <f>#REF!+"$Cm=!%.L"</f>
        <v>#REF!</v>
      </c>
      <c r="BZ65" t="e">
        <f>#REF!+"$Cm=!%.M"</f>
        <v>#REF!</v>
      </c>
      <c r="CA65" t="e">
        <f>#REF!+"$Cm=!%.N"</f>
        <v>#REF!</v>
      </c>
      <c r="CB65" t="e">
        <f>#REF!+"$Cm=!%.O"</f>
        <v>#REF!</v>
      </c>
      <c r="CC65" t="e">
        <f>#REF!+"$Cm=!%.P"</f>
        <v>#REF!</v>
      </c>
      <c r="CD65" t="e">
        <f>#REF!+"$Cm=!%.Q"</f>
        <v>#REF!</v>
      </c>
      <c r="CE65" t="e">
        <f>#REF!+"$Cm=!%.R"</f>
        <v>#REF!</v>
      </c>
      <c r="CF65" t="e">
        <f>#REF!+"$Cm=!%.S"</f>
        <v>#REF!</v>
      </c>
      <c r="CG65" t="e">
        <f>#REF!+"$Cm=!%.T"</f>
        <v>#REF!</v>
      </c>
      <c r="CH65" t="e">
        <f>#REF!+"$Cm=!%.U"</f>
        <v>#REF!</v>
      </c>
      <c r="CI65" t="e">
        <f>#REF!+"$Cm=!%.V"</f>
        <v>#REF!</v>
      </c>
      <c r="CJ65" t="e">
        <f>#REF!+"$Cm=!%.W"</f>
        <v>#REF!</v>
      </c>
      <c r="CK65" t="e">
        <f>#REF!+"$Cm=!%.X"</f>
        <v>#REF!</v>
      </c>
      <c r="CL65" t="e">
        <f>#REF!+"$Cm=!%.Y"</f>
        <v>#REF!</v>
      </c>
      <c r="CM65" t="e">
        <f>#REF!+"$Cm=!%.Z"</f>
        <v>#REF!</v>
      </c>
      <c r="CN65" t="e">
        <f>#REF!+"$Cm=!%.["</f>
        <v>#REF!</v>
      </c>
      <c r="CO65" t="e">
        <f>#REF!+"$Cm=!%.\"</f>
        <v>#REF!</v>
      </c>
      <c r="CP65" t="e">
        <f>#REF!+"$Cm=!%.]"</f>
        <v>#REF!</v>
      </c>
      <c r="CQ65" t="e">
        <f>#REF!+"$Cm=!%.^"</f>
        <v>#REF!</v>
      </c>
      <c r="CR65" t="e">
        <f>#REF!+"$Cm=!%._"</f>
        <v>#REF!</v>
      </c>
      <c r="CS65" t="e">
        <f>#REF!+"$Cm=!%.`"</f>
        <v>#REF!</v>
      </c>
      <c r="CT65" t="e">
        <f>#REF!+"$Cm=!%.a"</f>
        <v>#REF!</v>
      </c>
      <c r="CU65" t="e">
        <f>#REF!+"$Cm=!%.b"</f>
        <v>#REF!</v>
      </c>
      <c r="CV65" t="e">
        <f>#REF!+"$Cm=!%.c"</f>
        <v>#REF!</v>
      </c>
      <c r="CW65" t="e">
        <f>#REF!+"$Cm=!%.d"</f>
        <v>#REF!</v>
      </c>
      <c r="CX65" t="e">
        <f>#REF!+"$Cm=!%.e"</f>
        <v>#REF!</v>
      </c>
      <c r="CY65" t="e">
        <f>#REF!+"$Cm=!%.f"</f>
        <v>#REF!</v>
      </c>
      <c r="CZ65" t="e">
        <f>#REF!+"$Cm=!%.g"</f>
        <v>#REF!</v>
      </c>
      <c r="DA65" t="e">
        <f>#REF!+"$Cm=!%.h"</f>
        <v>#REF!</v>
      </c>
      <c r="DB65" t="e">
        <f>#REF!+"$Cm=!%.i"</f>
        <v>#REF!</v>
      </c>
      <c r="DC65" t="e">
        <f>#REF!+"$Cm=!%.j"</f>
        <v>#REF!</v>
      </c>
      <c r="DD65" t="e">
        <f>#REF!+"$Cm=!%.k"</f>
        <v>#REF!</v>
      </c>
      <c r="DE65" t="e">
        <f>#REF!+"$Cm=!%.l"</f>
        <v>#REF!</v>
      </c>
      <c r="DF65" t="e">
        <f>#REF!+"$Cm=!%.m"</f>
        <v>#REF!</v>
      </c>
      <c r="DG65" t="e">
        <f>#REF!+"$Cm=!%.n"</f>
        <v>#REF!</v>
      </c>
      <c r="DH65" t="e">
        <f>#REF!+"$Cm=!%.o"</f>
        <v>#REF!</v>
      </c>
      <c r="DI65" t="e">
        <f>#REF!+"$Cm=!%.p"</f>
        <v>#REF!</v>
      </c>
      <c r="DJ65" t="e">
        <f>#REF!+"$Cm=!%.q"</f>
        <v>#REF!</v>
      </c>
      <c r="DK65" t="e">
        <f>#REF!+"$Cm=!%.r"</f>
        <v>#REF!</v>
      </c>
      <c r="DL65" t="e">
        <f>#REF!+"$Cm=!%.s"</f>
        <v>#REF!</v>
      </c>
      <c r="DM65" t="e">
        <f>#REF!+"$Cm=!%.t"</f>
        <v>#REF!</v>
      </c>
      <c r="DN65" t="e">
        <f>#REF!+"$Cm=!%.u"</f>
        <v>#REF!</v>
      </c>
      <c r="DO65" t="e">
        <f>#REF!+"$Cm=!%.v"</f>
        <v>#REF!</v>
      </c>
      <c r="DP65" t="e">
        <f>#REF!+"$Cm=!%.w"</f>
        <v>#REF!</v>
      </c>
      <c r="DQ65" t="e">
        <f>#REF!+"$Cm=!%.x"</f>
        <v>#REF!</v>
      </c>
      <c r="DR65" t="e">
        <f>#REF!+"$Cm=!%.y"</f>
        <v>#REF!</v>
      </c>
      <c r="DS65" t="e">
        <f>#REF!+"$Cm=!%.z"</f>
        <v>#REF!</v>
      </c>
      <c r="DT65" t="e">
        <f>#REF!+"$Cm=!%.{"</f>
        <v>#REF!</v>
      </c>
      <c r="DU65" t="e">
        <f>#REF!+"$Cm=!%.|"</f>
        <v>#REF!</v>
      </c>
      <c r="DV65" t="e">
        <f>#REF!+"$Cm=!%.}"</f>
        <v>#REF!</v>
      </c>
      <c r="DW65" t="e">
        <f>#REF!+"$Cm=!%.~"</f>
        <v>#REF!</v>
      </c>
      <c r="DX65" t="e">
        <f>#REF!+"$Cm=!%/#"</f>
        <v>#REF!</v>
      </c>
      <c r="DY65" t="e">
        <f>#REF!+"$Cm=!%/$"</f>
        <v>#REF!</v>
      </c>
      <c r="DZ65" t="e">
        <f>#REF!+"$Cm=!%/%"</f>
        <v>#REF!</v>
      </c>
      <c r="EA65" t="e">
        <f>#REF!+"$Cm=!%/&amp;"</f>
        <v>#REF!</v>
      </c>
      <c r="EB65" t="e">
        <f>#REF!+"$Cm=!%/'"</f>
        <v>#REF!</v>
      </c>
      <c r="EC65" t="e">
        <f>#REF!+"$Cm=!%/("</f>
        <v>#REF!</v>
      </c>
      <c r="ED65" t="e">
        <f>#REF!+"$Cm=!%/)"</f>
        <v>#REF!</v>
      </c>
      <c r="EE65" t="e">
        <f>#REF!+"$Cm=!%/."</f>
        <v>#REF!</v>
      </c>
      <c r="EF65" t="e">
        <f>#REF!+"$Cm=!%//"</f>
        <v>#REF!</v>
      </c>
      <c r="EG65" t="e">
        <f>#REF!+"$Cm=!%/0"</f>
        <v>#REF!</v>
      </c>
      <c r="EH65" t="e">
        <f>#REF!+"$Cm=!%/1"</f>
        <v>#REF!</v>
      </c>
      <c r="EI65" t="e">
        <f>#REF!+"$Cm=!%/2"</f>
        <v>#REF!</v>
      </c>
      <c r="EJ65" t="e">
        <f>#REF!+"$Cm=!%/3"</f>
        <v>#REF!</v>
      </c>
      <c r="EK65" t="e">
        <f>#REF!+"$Cm=!%/4"</f>
        <v>#REF!</v>
      </c>
      <c r="EL65" t="e">
        <f>#REF!+"$Cm=!%/5"</f>
        <v>#REF!</v>
      </c>
      <c r="EM65" t="e">
        <f>#REF!+"$Cm=!%/6"</f>
        <v>#REF!</v>
      </c>
      <c r="EN65" t="e">
        <f>#REF!+"$Cm=!%/7"</f>
        <v>#REF!</v>
      </c>
      <c r="EO65" t="e">
        <f>#REF!+"$Cm=!%/8"</f>
        <v>#REF!</v>
      </c>
      <c r="EP65" t="e">
        <f>#REF!+"$Cm=!%/9"</f>
        <v>#REF!</v>
      </c>
      <c r="EQ65" t="e">
        <f>#REF!+"$Cm=!%/:"</f>
        <v>#REF!</v>
      </c>
      <c r="ER65" t="e">
        <f>#REF!+"$Cm=!%/;"</f>
        <v>#REF!</v>
      </c>
      <c r="ES65" t="e">
        <f>#REF!+"$Cm=!%/&lt;"</f>
        <v>#REF!</v>
      </c>
      <c r="ET65" t="e">
        <f>#REF!+"$Cm=!%/="</f>
        <v>#REF!</v>
      </c>
      <c r="EU65" t="e">
        <f>#REF!+"$Cm=!%/&gt;"</f>
        <v>#REF!</v>
      </c>
      <c r="EV65" t="e">
        <f>#REF!+"$Cm=!%/?"</f>
        <v>#REF!</v>
      </c>
      <c r="EW65" t="e">
        <f>#REF!+"$Cm=!%/@"</f>
        <v>#REF!</v>
      </c>
      <c r="EX65" t="e">
        <f>#REF!+"$Cm=!%/A"</f>
        <v>#REF!</v>
      </c>
      <c r="EY65" t="e">
        <f>#REF!+"$Cm=!%/B"</f>
        <v>#REF!</v>
      </c>
      <c r="EZ65" t="e">
        <f>#REF!+"$Cm=!%/C"</f>
        <v>#REF!</v>
      </c>
      <c r="FA65" t="e">
        <f>#REF!+"$Cm=!%/D"</f>
        <v>#REF!</v>
      </c>
      <c r="FB65" t="e">
        <f>#REF!+"$Cm=!%/E"</f>
        <v>#REF!</v>
      </c>
      <c r="FC65" t="e">
        <f>#REF!+"$Cm=!%/F"</f>
        <v>#REF!</v>
      </c>
      <c r="FD65" t="e">
        <f>#REF!+"$Cm=!%/G"</f>
        <v>#REF!</v>
      </c>
      <c r="FE65" t="e">
        <f>#REF!+"$Cm=!%/H"</f>
        <v>#REF!</v>
      </c>
      <c r="FF65" t="e">
        <f>#REF!+"$Cm=!%/I"</f>
        <v>#REF!</v>
      </c>
      <c r="FG65" t="e">
        <f>#REF!+"$Cm=!%/J"</f>
        <v>#REF!</v>
      </c>
      <c r="FH65" t="e">
        <f>#REF!+"$Cm=!%/K"</f>
        <v>#REF!</v>
      </c>
      <c r="FI65" t="e">
        <f>#REF!+"$Cm=!%/L"</f>
        <v>#REF!</v>
      </c>
      <c r="FJ65" t="e">
        <f>#REF!+"$Cm=!%/M"</f>
        <v>#REF!</v>
      </c>
      <c r="FK65" t="e">
        <f>#REF!+"$Cm=!%/N"</f>
        <v>#REF!</v>
      </c>
      <c r="FL65" t="e">
        <f>#REF!+"$Cm=!%/O"</f>
        <v>#REF!</v>
      </c>
      <c r="FM65" t="e">
        <f>#REF!+"$Cm=!%/P"</f>
        <v>#REF!</v>
      </c>
      <c r="FN65" t="e">
        <f>#REF!+"$Cm=!%/Q"</f>
        <v>#REF!</v>
      </c>
      <c r="FO65" t="e">
        <f>#REF!+"$Cm=!%/R"</f>
        <v>#REF!</v>
      </c>
      <c r="FP65" t="e">
        <f>#REF!+"$Cm=!%/S"</f>
        <v>#REF!</v>
      </c>
      <c r="FQ65" t="e">
        <f>#REF!+"$Cm=!%/T"</f>
        <v>#REF!</v>
      </c>
      <c r="FR65" t="e">
        <f>#REF!+"$Cm=!%/U"</f>
        <v>#REF!</v>
      </c>
      <c r="FS65" t="e">
        <f>#REF!+"$Cm=!%/V"</f>
        <v>#REF!</v>
      </c>
      <c r="FT65" t="e">
        <f>#REF!+"$Cm=!%/W"</f>
        <v>#REF!</v>
      </c>
      <c r="FU65" t="e">
        <f>#REF!+"$Cm=!%/X"</f>
        <v>#REF!</v>
      </c>
      <c r="FV65" t="e">
        <f>#REF!+"$Cm=!%/Y"</f>
        <v>#REF!</v>
      </c>
      <c r="FW65" t="e">
        <f>#REF!+"$Cm=!%/Z"</f>
        <v>#REF!</v>
      </c>
      <c r="FX65" t="e">
        <f>#REF!+"$Cm=!%/["</f>
        <v>#REF!</v>
      </c>
      <c r="FY65" t="e">
        <f>#REF!+"$Cm=!%/\"</f>
        <v>#REF!</v>
      </c>
      <c r="FZ65" t="e">
        <f>#REF!+"$Cm=!%/]"</f>
        <v>#REF!</v>
      </c>
      <c r="GA65" t="e">
        <f>#REF!+"$Cm=!%/^"</f>
        <v>#REF!</v>
      </c>
      <c r="GB65" t="e">
        <f>#REF!+"$Cm=!%/_"</f>
        <v>#REF!</v>
      </c>
      <c r="GC65" t="e">
        <f>#REF!+"$Cm=!%/`"</f>
        <v>#REF!</v>
      </c>
      <c r="GD65" t="e">
        <f>#REF!+"$Cm=!%/a"</f>
        <v>#REF!</v>
      </c>
      <c r="GE65" t="e">
        <f>#REF!+"$Cm=!%/b"</f>
        <v>#REF!</v>
      </c>
      <c r="GF65" t="e">
        <f>#REF!+"$Cm=!%/c"</f>
        <v>#REF!</v>
      </c>
      <c r="GG65" t="e">
        <f>#REF!+"$Cm=!%/d"</f>
        <v>#REF!</v>
      </c>
      <c r="GH65" t="e">
        <f>#REF!+"$Cm=!%/e"</f>
        <v>#REF!</v>
      </c>
      <c r="GI65" t="e">
        <f>#REF!+"$Cm=!%/f"</f>
        <v>#REF!</v>
      </c>
      <c r="GJ65" t="e">
        <f>#REF!+"$Cm=!%/g"</f>
        <v>#REF!</v>
      </c>
      <c r="GK65" t="e">
        <f>#REF!+"$Cm=!%/h"</f>
        <v>#REF!</v>
      </c>
      <c r="GL65" t="e">
        <f>#REF!+"$Cm=!%/i"</f>
        <v>#REF!</v>
      </c>
      <c r="GM65" t="e">
        <f>#REF!+"$Cm=!%/j"</f>
        <v>#REF!</v>
      </c>
      <c r="GN65" t="e">
        <f>#REF!+"$Cm=!%/k"</f>
        <v>#REF!</v>
      </c>
      <c r="GO65" t="e">
        <f>#REF!+"$Cm=!%/l"</f>
        <v>#REF!</v>
      </c>
      <c r="GP65" t="e">
        <f>#REF!+"$Cm=!%/m"</f>
        <v>#REF!</v>
      </c>
      <c r="GQ65" t="e">
        <f>#REF!+"$Cm=!%/n"</f>
        <v>#REF!</v>
      </c>
      <c r="GR65" t="e">
        <f>#REF!+"$Cm=!%/o"</f>
        <v>#REF!</v>
      </c>
      <c r="GS65" t="e">
        <f>#REF!+"$Cm=!%/p"</f>
        <v>#REF!</v>
      </c>
      <c r="GT65" t="e">
        <f>#REF!+"$Cm=!%/q"</f>
        <v>#REF!</v>
      </c>
      <c r="GU65" t="e">
        <f>#REF!+"$Cm=!%/r"</f>
        <v>#REF!</v>
      </c>
      <c r="GV65" t="e">
        <f>#REF!+"$Cm=!%/s"</f>
        <v>#REF!</v>
      </c>
      <c r="GW65" t="e">
        <f>#REF!+"$Cm=!%/t"</f>
        <v>#REF!</v>
      </c>
      <c r="GX65" t="e">
        <f>#REF!+"$Cm=!%/u"</f>
        <v>#REF!</v>
      </c>
      <c r="GY65" t="e">
        <f>#REF!+"$Cm=!%/v"</f>
        <v>#REF!</v>
      </c>
      <c r="GZ65" t="e">
        <f>#REF!+"$Cm=!%/w"</f>
        <v>#REF!</v>
      </c>
      <c r="HA65" t="e">
        <f>#REF!+"$Cm=!%/x"</f>
        <v>#REF!</v>
      </c>
      <c r="HB65" t="e">
        <f>#REF!+"$Cm=!%/y"</f>
        <v>#REF!</v>
      </c>
      <c r="HC65" t="e">
        <f>#REF!+"$Cm=!%/z"</f>
        <v>#REF!</v>
      </c>
      <c r="HD65" t="e">
        <f>#REF!+"$Cm=!%/{"</f>
        <v>#REF!</v>
      </c>
      <c r="HE65" t="e">
        <f>#REF!+"$Cm=!%/|"</f>
        <v>#REF!</v>
      </c>
      <c r="HF65" t="e">
        <f>#REF!+"$Cm=!%/}"</f>
        <v>#REF!</v>
      </c>
      <c r="HG65" t="e">
        <f>#REF!+"$Cm=!%/~"</f>
        <v>#REF!</v>
      </c>
      <c r="HH65" t="e">
        <f>#REF!+"$Cm=!%0#"</f>
        <v>#REF!</v>
      </c>
      <c r="HI65" t="e">
        <f>#REF!+"$Cm=!%0$"</f>
        <v>#REF!</v>
      </c>
      <c r="HJ65" t="e">
        <f>#REF!+"$Cm=!%0%"</f>
        <v>#REF!</v>
      </c>
      <c r="HK65" t="e">
        <f>#REF!+"$Cm=!%0&amp;"</f>
        <v>#REF!</v>
      </c>
      <c r="HL65" t="e">
        <f>#REF!+"$Cm=!%0'"</f>
        <v>#REF!</v>
      </c>
      <c r="HM65" t="e">
        <f>#REF!+"$Cm=!%0("</f>
        <v>#REF!</v>
      </c>
      <c r="HN65" t="e">
        <f>#REF!+"$Cm=!%0)"</f>
        <v>#REF!</v>
      </c>
      <c r="HO65" t="e">
        <f>#REF!+"$Cm=!%0."</f>
        <v>#REF!</v>
      </c>
      <c r="HP65" t="e">
        <f>#REF!+"$Cm=!%0/"</f>
        <v>#REF!</v>
      </c>
      <c r="HQ65" t="e">
        <f>#REF!+"$Cm=!%00"</f>
        <v>#REF!</v>
      </c>
      <c r="HR65" t="e">
        <f>#REF!+"$Cm=!%01"</f>
        <v>#REF!</v>
      </c>
      <c r="HS65" t="e">
        <f>#REF!+"$Cm=!%02"</f>
        <v>#REF!</v>
      </c>
      <c r="HT65" t="e">
        <f>#REF!+"$Cm=!%03"</f>
        <v>#REF!</v>
      </c>
      <c r="HU65" t="e">
        <f>#REF!+"$Cm=!%04"</f>
        <v>#REF!</v>
      </c>
      <c r="HV65" t="e">
        <f>#REF!+"$Cm=!%05"</f>
        <v>#REF!</v>
      </c>
      <c r="HW65" t="e">
        <f>#REF!+"$Cm=!%06"</f>
        <v>#REF!</v>
      </c>
      <c r="HX65" t="e">
        <f>#REF!+"$Cm=!%07"</f>
        <v>#REF!</v>
      </c>
      <c r="HY65" t="e">
        <f>#REF!+"$Cm=!%08"</f>
        <v>#REF!</v>
      </c>
      <c r="HZ65" t="e">
        <f>#REF!+"$Cm=!%09"</f>
        <v>#REF!</v>
      </c>
      <c r="IA65" t="e">
        <f>#REF!+"$Cm=!%0:"</f>
        <v>#REF!</v>
      </c>
      <c r="IB65" t="e">
        <f>#REF!+"$Cm=!%0;"</f>
        <v>#REF!</v>
      </c>
      <c r="IC65" t="e">
        <f>#REF!+"$Cm=!%0&lt;"</f>
        <v>#REF!</v>
      </c>
      <c r="ID65" t="e">
        <f>#REF!+"$Cm=!%0="</f>
        <v>#REF!</v>
      </c>
      <c r="IE65" t="e">
        <f>#REF!+"$Cm=!%0&gt;"</f>
        <v>#REF!</v>
      </c>
      <c r="IF65" t="e">
        <f>#REF!+"$Cm=!%0?"</f>
        <v>#REF!</v>
      </c>
      <c r="IG65" t="e">
        <f>#REF!+"$Cm=!%0@"</f>
        <v>#REF!</v>
      </c>
      <c r="IH65" t="e">
        <f>#REF!+"$Cm=!%0A"</f>
        <v>#REF!</v>
      </c>
      <c r="II65" t="e">
        <f>#REF!+"$Cm=!%0B"</f>
        <v>#REF!</v>
      </c>
      <c r="IJ65" t="e">
        <f>#REF!+"$Cm=!%0C"</f>
        <v>#REF!</v>
      </c>
      <c r="IK65" t="e">
        <f>#REF!+"$Cm=!%0D"</f>
        <v>#REF!</v>
      </c>
      <c r="IL65" t="e">
        <f>#REF!+"$Cm=!%0E"</f>
        <v>#REF!</v>
      </c>
      <c r="IM65" t="e">
        <f>#REF!+"$Cm=!%0F"</f>
        <v>#REF!</v>
      </c>
      <c r="IN65" t="e">
        <f>#REF!+"$Cm=!%0G"</f>
        <v>#REF!</v>
      </c>
      <c r="IO65" t="e">
        <f>#REF!+"$Cm=!%0H"</f>
        <v>#REF!</v>
      </c>
      <c r="IP65" t="e">
        <f>#REF!+"$Cm=!%0I"</f>
        <v>#REF!</v>
      </c>
      <c r="IQ65" t="e">
        <f>#REF!+"$Cm=!%0J"</f>
        <v>#REF!</v>
      </c>
      <c r="IR65" t="e">
        <f>#REF!+"$Cm=!%0K"</f>
        <v>#REF!</v>
      </c>
      <c r="IS65" t="e">
        <f>#REF!+"$Cm=!%0L"</f>
        <v>#REF!</v>
      </c>
      <c r="IT65" t="e">
        <f>#REF!+"$Cm=!%0M"</f>
        <v>#REF!</v>
      </c>
      <c r="IU65" t="e">
        <f>#REF!+"$Cm=!%0N"</f>
        <v>#REF!</v>
      </c>
      <c r="IV65" t="e">
        <f>#REF!+"$Cm=!%0O"</f>
        <v>#REF!</v>
      </c>
    </row>
    <row r="66" spans="6:256">
      <c r="F66" t="e">
        <f>#REF!+"$Cm=!%0P"</f>
        <v>#REF!</v>
      </c>
      <c r="G66" t="e">
        <f>#REF!+"$Cm=!%0Q"</f>
        <v>#REF!</v>
      </c>
      <c r="H66" t="e">
        <f>#REF!+"$Cm=!%0R"</f>
        <v>#REF!</v>
      </c>
      <c r="I66" t="e">
        <f>#REF!+"$Cm=!%0S"</f>
        <v>#REF!</v>
      </c>
      <c r="J66" t="e">
        <f>#REF!+"$Cm=!%0T"</f>
        <v>#REF!</v>
      </c>
      <c r="K66" t="e">
        <f>#REF!+"$Cm=!%0U"</f>
        <v>#REF!</v>
      </c>
      <c r="L66" t="e">
        <f>#REF!+"$Cm=!%0V"</f>
        <v>#REF!</v>
      </c>
      <c r="M66" t="e">
        <f>#REF!+"$Cm=!%0W"</f>
        <v>#REF!</v>
      </c>
      <c r="N66" t="e">
        <f>#REF!+"$Cm=!%0X"</f>
        <v>#REF!</v>
      </c>
      <c r="O66" t="e">
        <f>#REF!+"$Cm=!%0Y"</f>
        <v>#REF!</v>
      </c>
      <c r="P66" t="e">
        <f>#REF!+"$Cm=!%0Z"</f>
        <v>#REF!</v>
      </c>
      <c r="Q66" t="e">
        <f>#REF!+"$Cm=!%0["</f>
        <v>#REF!</v>
      </c>
      <c r="R66" t="e">
        <f>#REF!+"$Cm=!%0\"</f>
        <v>#REF!</v>
      </c>
      <c r="S66" t="e">
        <f>#REF!+"$Cm=!%0]"</f>
        <v>#REF!</v>
      </c>
      <c r="T66" t="e">
        <f>#REF!+"$Cm=!%0^"</f>
        <v>#REF!</v>
      </c>
      <c r="U66" t="e">
        <f>#REF!+"$Cm=!%0_"</f>
        <v>#REF!</v>
      </c>
      <c r="V66" t="e">
        <f>#REF!+"$Cm=!%0`"</f>
        <v>#REF!</v>
      </c>
      <c r="W66" t="e">
        <f>#REF!+"$Cm=!%0a"</f>
        <v>#REF!</v>
      </c>
      <c r="X66" t="e">
        <f>#REF!+"$Cm=!%0b"</f>
        <v>#REF!</v>
      </c>
      <c r="Y66" t="e">
        <f>#REF!+"$Cm=!%0c"</f>
        <v>#REF!</v>
      </c>
      <c r="Z66" t="e">
        <f>#REF!+"$Cm=!%0d"</f>
        <v>#REF!</v>
      </c>
      <c r="AA66" t="e">
        <f>#REF!+"$Cm=!%0e"</f>
        <v>#REF!</v>
      </c>
      <c r="AB66" t="e">
        <f>#REF!+"$Cm=!%0f"</f>
        <v>#REF!</v>
      </c>
      <c r="AC66" t="e">
        <f>#REF!+"$Cm=!%0g"</f>
        <v>#REF!</v>
      </c>
      <c r="AD66" t="e">
        <f>#REF!+"$Cm=!%0h"</f>
        <v>#REF!</v>
      </c>
      <c r="AE66" t="e">
        <f>#REF!+"$Cm=!%0i"</f>
        <v>#REF!</v>
      </c>
      <c r="AF66" t="e">
        <f>#REF!+"$Cm=!%0j"</f>
        <v>#REF!</v>
      </c>
      <c r="AG66" t="e">
        <f>#REF!+"$Cm=!%0k"</f>
        <v>#REF!</v>
      </c>
      <c r="AH66" t="e">
        <f>#REF!+"$Cm=!%0l"</f>
        <v>#REF!</v>
      </c>
      <c r="AI66" t="e">
        <f>#REF!+"$Cm=!%0m"</f>
        <v>#REF!</v>
      </c>
      <c r="AJ66" t="e">
        <f>#REF!+"$Cm=!%0n"</f>
        <v>#REF!</v>
      </c>
      <c r="AK66" t="e">
        <f>#REF!+"$Cm=!%0o"</f>
        <v>#REF!</v>
      </c>
      <c r="AL66" t="e">
        <f>#REF!+"$Cm=!%0p"</f>
        <v>#REF!</v>
      </c>
      <c r="AM66" t="e">
        <f>#REF!+"$Cm=!%0q"</f>
        <v>#REF!</v>
      </c>
      <c r="AN66" t="e">
        <f>#REF!+"$Cm=!%0r"</f>
        <v>#REF!</v>
      </c>
      <c r="AO66" t="e">
        <f>#REF!+"$Cm=!%0s"</f>
        <v>#REF!</v>
      </c>
      <c r="AP66" t="e">
        <f>#REF!+"$Cm=!%0t"</f>
        <v>#REF!</v>
      </c>
      <c r="AQ66" t="e">
        <f>#REF!+"$Cm=!%0u"</f>
        <v>#REF!</v>
      </c>
      <c r="AR66" t="e">
        <f>#REF!+"$Cm=!%0v"</f>
        <v>#REF!</v>
      </c>
      <c r="AS66" t="e">
        <f>#REF!+"$Cm=!%0w"</f>
        <v>#REF!</v>
      </c>
      <c r="AT66" t="e">
        <f>#REF!+"$Cm=!%0x"</f>
        <v>#REF!</v>
      </c>
      <c r="AU66" t="e">
        <f>#REF!+"$Cm=!%0y"</f>
        <v>#REF!</v>
      </c>
      <c r="AV66" t="e">
        <f>#REF!+"$Cm=!%0z"</f>
        <v>#REF!</v>
      </c>
      <c r="AW66" t="e">
        <f>#REF!+"$Cm=!%0{"</f>
        <v>#REF!</v>
      </c>
      <c r="AX66" t="e">
        <f>#REF!+"$Cm=!%0|"</f>
        <v>#REF!</v>
      </c>
      <c r="AY66" t="e">
        <f>#REF!+"$Cm=!%0}"</f>
        <v>#REF!</v>
      </c>
      <c r="AZ66" t="e">
        <f>#REF!+"$Cm=!%0~"</f>
        <v>#REF!</v>
      </c>
      <c r="BA66" t="e">
        <f>#REF!+"$Cm=!%1#"</f>
        <v>#REF!</v>
      </c>
      <c r="BB66" t="e">
        <f>#REF!+"$Cm=!%1$"</f>
        <v>#REF!</v>
      </c>
      <c r="BC66" t="e">
        <f>#REF!+"$Cm=!%1%"</f>
        <v>#REF!</v>
      </c>
      <c r="BD66" t="e">
        <f>#REF!+"$Cm=!%1&amp;"</f>
        <v>#REF!</v>
      </c>
      <c r="BE66" t="e">
        <f>#REF!+"$Cm=!%1'"</f>
        <v>#REF!</v>
      </c>
      <c r="BF66" t="e">
        <f>#REF!+"$Cm=!%1("</f>
        <v>#REF!</v>
      </c>
      <c r="BG66" t="e">
        <f>#REF!+"$Cm=!%1)"</f>
        <v>#REF!</v>
      </c>
      <c r="BH66" t="e">
        <f>#REF!+"$Cm=!%1."</f>
        <v>#REF!</v>
      </c>
      <c r="BI66" t="e">
        <f>#REF!+"$Cm=!%1/"</f>
        <v>#REF!</v>
      </c>
      <c r="BJ66" t="e">
        <f>#REF!+"$Cm=!%10"</f>
        <v>#REF!</v>
      </c>
      <c r="BK66" t="e">
        <f>#REF!+"$Cm=!%11"</f>
        <v>#REF!</v>
      </c>
      <c r="BL66" t="e">
        <f>#REF!+"$Cm=!%12"</f>
        <v>#REF!</v>
      </c>
      <c r="BM66" t="e">
        <f>#REF!+"$Cm=!%13"</f>
        <v>#REF!</v>
      </c>
      <c r="BN66" t="e">
        <f>#REF!+"$Cm=!%14"</f>
        <v>#REF!</v>
      </c>
      <c r="BO66" t="e">
        <f>#REF!+"$Cm=!%15"</f>
        <v>#REF!</v>
      </c>
      <c r="BP66" t="e">
        <f>#REF!+"$Cm=!%16"</f>
        <v>#REF!</v>
      </c>
      <c r="BQ66" t="e">
        <f>#REF!+"$Cm=!%17"</f>
        <v>#REF!</v>
      </c>
      <c r="BR66" t="e">
        <f>#REF!+"$Cm=!%18"</f>
        <v>#REF!</v>
      </c>
      <c r="BS66" t="e">
        <f>#REF!+"$Cm=!%19"</f>
        <v>#REF!</v>
      </c>
      <c r="BT66" t="e">
        <f>#REF!+"$Cm=!%1:"</f>
        <v>#REF!</v>
      </c>
      <c r="BU66" t="e">
        <f>#REF!+"$Cm=!%1;"</f>
        <v>#REF!</v>
      </c>
      <c r="BV66" t="e">
        <f>#REF!+"$Cm=!%1&lt;"</f>
        <v>#REF!</v>
      </c>
      <c r="BW66" t="e">
        <f>#REF!+"$Cm=!%1="</f>
        <v>#REF!</v>
      </c>
      <c r="BX66" t="e">
        <f>#REF!+"$Cm=!%1&gt;"</f>
        <v>#REF!</v>
      </c>
      <c r="BY66" t="e">
        <f>#REF!+"$Cm=!%1?"</f>
        <v>#REF!</v>
      </c>
      <c r="BZ66" t="e">
        <f>#REF!+"$Cm=!%1@"</f>
        <v>#REF!</v>
      </c>
      <c r="CA66" t="e">
        <f>#REF!+"$Cm=!%1A"</f>
        <v>#REF!</v>
      </c>
      <c r="CB66" t="e">
        <f>#REF!+"$Cm=!%1B"</f>
        <v>#REF!</v>
      </c>
      <c r="CC66" t="e">
        <f>#REF!+"$Cm=!%1C"</f>
        <v>#REF!</v>
      </c>
      <c r="CD66" t="e">
        <f>#REF!+"$Cm=!%1D"</f>
        <v>#REF!</v>
      </c>
      <c r="CE66" t="e">
        <f>#REF!+"$Cm=!%1E"</f>
        <v>#REF!</v>
      </c>
      <c r="CF66" t="e">
        <f>#REF!+"$Cm=!%1F"</f>
        <v>#REF!</v>
      </c>
      <c r="CG66" t="e">
        <f>#REF!+"$Cm=!%1G"</f>
        <v>#REF!</v>
      </c>
      <c r="CH66" t="e">
        <f>#REF!+"$Cm=!%1H"</f>
        <v>#REF!</v>
      </c>
      <c r="CI66" t="e">
        <f>#REF!+"$Cm=!%1I"</f>
        <v>#REF!</v>
      </c>
      <c r="CJ66" t="e">
        <f>#REF!+"$Cm=!%1J"</f>
        <v>#REF!</v>
      </c>
      <c r="CK66" t="e">
        <f>#REF!+"$Cm=!%1K"</f>
        <v>#REF!</v>
      </c>
      <c r="CL66" t="e">
        <f>#REF!+"$Cm=!%1L"</f>
        <v>#REF!</v>
      </c>
      <c r="CM66" t="e">
        <f>#REF!+"$Cm=!%1M"</f>
        <v>#REF!</v>
      </c>
      <c r="CN66" t="e">
        <f>#REF!+"$Cm=!%1N"</f>
        <v>#REF!</v>
      </c>
      <c r="CO66" t="e">
        <f>#REF!+"$Cm=!%1O"</f>
        <v>#REF!</v>
      </c>
      <c r="CP66" t="e">
        <f>#REF!+"$Cm=!%1P"</f>
        <v>#REF!</v>
      </c>
      <c r="CQ66" t="e">
        <f>#REF!+"$Cm=!%1Q"</f>
        <v>#REF!</v>
      </c>
      <c r="CR66" t="e">
        <f>#REF!+"$Cm=!%1R"</f>
        <v>#REF!</v>
      </c>
      <c r="CS66" t="e">
        <f>#REF!+"$Cm=!%1S"</f>
        <v>#REF!</v>
      </c>
      <c r="CT66" t="e">
        <f>#REF!+"$Cm=!%1T"</f>
        <v>#REF!</v>
      </c>
      <c r="CU66" t="e">
        <f>#REF!+"$Cm=!%1U"</f>
        <v>#REF!</v>
      </c>
      <c r="CV66" t="e">
        <f>#REF!+"$Cm=!%1V"</f>
        <v>#REF!</v>
      </c>
      <c r="CW66" t="e">
        <f>#REF!+"$Cm=!%1W"</f>
        <v>#REF!</v>
      </c>
      <c r="CX66" t="e">
        <f>#REF!+"$Cm=!%1X"</f>
        <v>#REF!</v>
      </c>
      <c r="CY66" t="e">
        <f>#REF!+"$Cm=!%1Y"</f>
        <v>#REF!</v>
      </c>
      <c r="CZ66" t="e">
        <f>#REF!+"$Cm=!%1Z"</f>
        <v>#REF!</v>
      </c>
      <c r="DA66" t="e">
        <f>#REF!+"$Cm=!%1["</f>
        <v>#REF!</v>
      </c>
      <c r="DB66" t="e">
        <f>#REF!+"$Cm=!%1\"</f>
        <v>#REF!</v>
      </c>
      <c r="DC66" t="e">
        <f>#REF!+"$Cm=!%1]"</f>
        <v>#REF!</v>
      </c>
      <c r="DD66" t="e">
        <f>#REF!+"$Cm=!%1^"</f>
        <v>#REF!</v>
      </c>
      <c r="DE66" t="e">
        <f>#REF!+"$Cm=!%1_"</f>
        <v>#REF!</v>
      </c>
      <c r="DF66" t="e">
        <f>#REF!+"$Cm=!%1`"</f>
        <v>#REF!</v>
      </c>
      <c r="DG66" t="e">
        <f>#REF!+"$Cm=!%1a"</f>
        <v>#REF!</v>
      </c>
      <c r="DH66" t="e">
        <f>#REF!+"$Cm=!%1b"</f>
        <v>#REF!</v>
      </c>
      <c r="DI66" t="e">
        <f>#REF!+"$Cm=!%1c"</f>
        <v>#REF!</v>
      </c>
      <c r="DJ66" t="e">
        <f>#REF!+"$Cm=!%1d"</f>
        <v>#REF!</v>
      </c>
      <c r="DK66" t="e">
        <f>#REF!+"$Cm=!%1e"</f>
        <v>#REF!</v>
      </c>
      <c r="DL66" t="e">
        <f>#REF!+"$Cm=!%1f"</f>
        <v>#REF!</v>
      </c>
      <c r="DM66" t="e">
        <f>#REF!+"$Cm=!%1g"</f>
        <v>#REF!</v>
      </c>
      <c r="DN66" t="e">
        <f>#REF!+"$Cm=!%1h"</f>
        <v>#REF!</v>
      </c>
      <c r="DO66" t="e">
        <f>#REF!+"$Cm=!%1i"</f>
        <v>#REF!</v>
      </c>
      <c r="DP66" t="e">
        <f>#REF!+"$Cm=!%1j"</f>
        <v>#REF!</v>
      </c>
      <c r="DQ66" t="e">
        <f>#REF!+"$Cm=!%1k"</f>
        <v>#REF!</v>
      </c>
      <c r="DR66" t="e">
        <f>#REF!+"$Cm=!%1l"</f>
        <v>#REF!</v>
      </c>
      <c r="DS66" t="e">
        <f>#REF!+"$Cm=!%1m"</f>
        <v>#REF!</v>
      </c>
      <c r="DT66" t="e">
        <f>#REF!+"$Cm=!%1n"</f>
        <v>#REF!</v>
      </c>
      <c r="DU66" t="e">
        <f>#REF!+"$Cm=!%1o"</f>
        <v>#REF!</v>
      </c>
      <c r="DV66" t="e">
        <f>#REF!+"$Cm=!%1p"</f>
        <v>#REF!</v>
      </c>
      <c r="DW66" t="e">
        <f>#REF!+"$Cm=!%1q"</f>
        <v>#REF!</v>
      </c>
      <c r="DX66" t="e">
        <f>#REF!+"$Cm=!%1r"</f>
        <v>#REF!</v>
      </c>
      <c r="DY66" t="e">
        <f>#REF!+"$Cm=!%1s"</f>
        <v>#REF!</v>
      </c>
      <c r="DZ66" t="e">
        <f>#REF!+"$Cm=!%1t"</f>
        <v>#REF!</v>
      </c>
      <c r="EA66" t="e">
        <f>#REF!+"$Cm=!%1u"</f>
        <v>#REF!</v>
      </c>
      <c r="EB66" t="e">
        <f>#REF!+"$Cm=!%1v"</f>
        <v>#REF!</v>
      </c>
      <c r="EC66" t="e">
        <f>#REF!+"$Cm=!%1w"</f>
        <v>#REF!</v>
      </c>
      <c r="ED66" t="e">
        <f>#REF!+"$Cm=!%1x"</f>
        <v>#REF!</v>
      </c>
      <c r="EE66" t="e">
        <f>#REF!+"$Cm=!%1y"</f>
        <v>#REF!</v>
      </c>
      <c r="EF66" t="e">
        <f>#REF!+"$Cm=!%1z"</f>
        <v>#REF!</v>
      </c>
      <c r="EG66" t="e">
        <f>#REF!+"$Cm=!%1{"</f>
        <v>#REF!</v>
      </c>
      <c r="EH66" t="e">
        <f>#REF!+"$Cm=!%1|"</f>
        <v>#REF!</v>
      </c>
      <c r="EI66" t="e">
        <f>#REF!+"$Cm=!%1}"</f>
        <v>#REF!</v>
      </c>
      <c r="EJ66" t="e">
        <f>#REF!+"$Cm=!%1~"</f>
        <v>#REF!</v>
      </c>
      <c r="EK66" t="e">
        <f>#REF!+"$Cm=!%2#"</f>
        <v>#REF!</v>
      </c>
      <c r="EL66" t="e">
        <f>#REF!+"$Cm=!%2$"</f>
        <v>#REF!</v>
      </c>
      <c r="EM66" t="e">
        <f>#REF!+"$Cm=!%2%"</f>
        <v>#REF!</v>
      </c>
      <c r="EN66" t="e">
        <f>#REF!+"$Cm=!%2&amp;"</f>
        <v>#REF!</v>
      </c>
      <c r="EO66" t="e">
        <f>#REF!+"$Cm=!%2'"</f>
        <v>#REF!</v>
      </c>
      <c r="EP66" t="e">
        <f>#REF!+"$Cm=!%2("</f>
        <v>#REF!</v>
      </c>
      <c r="EQ66" t="e">
        <f>#REF!+"$Cm=!%2)"</f>
        <v>#REF!</v>
      </c>
      <c r="ER66" t="e">
        <f>#REF!+"$Cm=!%2."</f>
        <v>#REF!</v>
      </c>
      <c r="ES66" t="e">
        <f>#REF!+"$Cm=!%2/"</f>
        <v>#REF!</v>
      </c>
      <c r="ET66" t="e">
        <f>#REF!+"$Cm=!%20"</f>
        <v>#REF!</v>
      </c>
      <c r="EU66" t="e">
        <f>#REF!+"$Cm=!%21"</f>
        <v>#REF!</v>
      </c>
      <c r="EV66" t="e">
        <f>#REF!+"$Cm=!%22"</f>
        <v>#REF!</v>
      </c>
      <c r="EW66" t="e">
        <f>#REF!+"$Cm=!%23"</f>
        <v>#REF!</v>
      </c>
      <c r="EX66" t="e">
        <f>#REF!+"$Cm=!%24"</f>
        <v>#REF!</v>
      </c>
      <c r="EY66" t="e">
        <f>#REF!+"$Cm=!%25"</f>
        <v>#REF!</v>
      </c>
      <c r="EZ66" t="e">
        <f>#REF!+"$Cm=!%26"</f>
        <v>#REF!</v>
      </c>
      <c r="FA66" t="e">
        <f>#REF!+"$Cm=!%27"</f>
        <v>#REF!</v>
      </c>
      <c r="FB66" t="e">
        <f>#REF!+"$Cm=!%28"</f>
        <v>#REF!</v>
      </c>
      <c r="FC66" t="e">
        <f>#REF!+"$Cm=!%29"</f>
        <v>#REF!</v>
      </c>
      <c r="FD66" t="e">
        <f>#REF!+"$Cm=!%2:"</f>
        <v>#REF!</v>
      </c>
      <c r="FE66" t="e">
        <f>#REF!+"$Cm=!%2;"</f>
        <v>#REF!</v>
      </c>
      <c r="FF66" t="e">
        <f>#REF!+"$Cm=!%2&lt;"</f>
        <v>#REF!</v>
      </c>
      <c r="FG66" t="e">
        <f>#REF!+"$Cm=!%2="</f>
        <v>#REF!</v>
      </c>
      <c r="FH66" t="e">
        <f>#REF!+"$Cm=!%2&gt;"</f>
        <v>#REF!</v>
      </c>
      <c r="FI66" t="e">
        <f>#REF!+"$Cm=!%2?"</f>
        <v>#REF!</v>
      </c>
      <c r="FJ66" t="e">
        <f>#REF!+"$Cm=!%2@"</f>
        <v>#REF!</v>
      </c>
      <c r="FK66" t="e">
        <f>#REF!+"$Cm=!%2A"</f>
        <v>#REF!</v>
      </c>
      <c r="FL66" t="e">
        <f>#REF!+"$Cm=!%2B"</f>
        <v>#REF!</v>
      </c>
      <c r="FM66" t="e">
        <f>#REF!+"$Cm=!%2C"</f>
        <v>#REF!</v>
      </c>
      <c r="FN66" t="e">
        <f>#REF!+"$Cm=!%2D"</f>
        <v>#REF!</v>
      </c>
      <c r="FO66" t="e">
        <f>#REF!+"$Cm=!%2E"</f>
        <v>#REF!</v>
      </c>
      <c r="FP66" t="e">
        <f>#REF!+"$Cm=!%2F"</f>
        <v>#REF!</v>
      </c>
      <c r="FQ66" t="e">
        <f>#REF!+"$Cm=!%2G"</f>
        <v>#REF!</v>
      </c>
      <c r="FR66" t="e">
        <f>#REF!+"$Cm=!%2H"</f>
        <v>#REF!</v>
      </c>
      <c r="FS66" t="e">
        <f>#REF!+"$Cm=!%2I"</f>
        <v>#REF!</v>
      </c>
      <c r="FT66" t="e">
        <f>#REF!+"$Cm=!%2J"</f>
        <v>#REF!</v>
      </c>
      <c r="FU66" t="e">
        <f>#REF!+"$Cm=!%2K"</f>
        <v>#REF!</v>
      </c>
      <c r="FV66" t="e">
        <f>#REF!+"$Cm=!%2L"</f>
        <v>#REF!</v>
      </c>
      <c r="FW66" t="e">
        <f>#REF!+"$Cm=!%2M"</f>
        <v>#REF!</v>
      </c>
      <c r="FX66" t="e">
        <f>#REF!+"$Cm=!%2N"</f>
        <v>#REF!</v>
      </c>
      <c r="FY66" t="e">
        <f>#REF!+"$Cm=!%2O"</f>
        <v>#REF!</v>
      </c>
      <c r="FZ66" t="e">
        <f>#REF!+"$Cm=!%2P"</f>
        <v>#REF!</v>
      </c>
      <c r="GA66" t="e">
        <f>#REF!+"$Cm=!%2Q"</f>
        <v>#REF!</v>
      </c>
      <c r="GB66" t="e">
        <f>#REF!+"$Cm=!%2R"</f>
        <v>#REF!</v>
      </c>
      <c r="GC66" t="e">
        <f>#REF!+"$Cm=!%2S"</f>
        <v>#REF!</v>
      </c>
      <c r="GD66" t="e">
        <f>#REF!+"$Cm=!%2T"</f>
        <v>#REF!</v>
      </c>
      <c r="GE66" t="e">
        <f>#REF!+"$Cm=!%2U"</f>
        <v>#REF!</v>
      </c>
      <c r="GF66" t="e">
        <f>#REF!+"$Cm=!%2V"</f>
        <v>#REF!</v>
      </c>
      <c r="GG66" t="e">
        <f>#REF!+"$Cm=!%2W"</f>
        <v>#REF!</v>
      </c>
      <c r="GH66" t="e">
        <f>#REF!+"$Cm=!%2X"</f>
        <v>#REF!</v>
      </c>
      <c r="GI66" t="e">
        <f>#REF!+"$Cm=!%2Y"</f>
        <v>#REF!</v>
      </c>
      <c r="GJ66" t="e">
        <f>#REF!+"$Cm=!%2Z"</f>
        <v>#REF!</v>
      </c>
      <c r="GK66" t="e">
        <f>#REF!+"$Cm=!%2["</f>
        <v>#REF!</v>
      </c>
      <c r="GL66" t="e">
        <f>#REF!+"$Cm=!%2\"</f>
        <v>#REF!</v>
      </c>
      <c r="GM66" t="e">
        <f>#REF!+"$Cm=!%2]"</f>
        <v>#REF!</v>
      </c>
      <c r="GN66" t="e">
        <f>#REF!+"$Cm=!%2^"</f>
        <v>#REF!</v>
      </c>
      <c r="GO66" t="e">
        <f>#REF!+"$Cm=!%2_"</f>
        <v>#REF!</v>
      </c>
      <c r="GP66" t="e">
        <f>#REF!+"$Cm=!%2`"</f>
        <v>#REF!</v>
      </c>
      <c r="GQ66" t="e">
        <f>#REF!+"$Cm=!%2a"</f>
        <v>#REF!</v>
      </c>
      <c r="GR66" t="e">
        <f>#REF!+"$Cm=!%2b"</f>
        <v>#REF!</v>
      </c>
      <c r="GS66" t="e">
        <f>#REF!+"$Cm=!%2c"</f>
        <v>#REF!</v>
      </c>
      <c r="GT66" t="e">
        <f>#REF!+"$Cm=!%2d"</f>
        <v>#REF!</v>
      </c>
      <c r="GU66" t="e">
        <f>#REF!+"$Cm=!%2e"</f>
        <v>#REF!</v>
      </c>
      <c r="GV66" t="e">
        <f>#REF!+"$Cm=!%2f"</f>
        <v>#REF!</v>
      </c>
      <c r="GW66" t="e">
        <f>#REF!+"$Cm=!%2g"</f>
        <v>#REF!</v>
      </c>
      <c r="GX66" t="e">
        <f>#REF!+"$Cm=!%2h"</f>
        <v>#REF!</v>
      </c>
      <c r="GY66" t="e">
        <f>#REF!+"$Cm=!%2i"</f>
        <v>#REF!</v>
      </c>
      <c r="GZ66" t="e">
        <f>#REF!+"$Cm=!%2j"</f>
        <v>#REF!</v>
      </c>
      <c r="HA66" t="e">
        <f>#REF!+"$Cm=!%2k"</f>
        <v>#REF!</v>
      </c>
      <c r="HB66" t="e">
        <f>#REF!+"$Cm=!%2l"</f>
        <v>#REF!</v>
      </c>
      <c r="HC66" t="e">
        <f>#REF!+"$Cm=!%2m"</f>
        <v>#REF!</v>
      </c>
      <c r="HD66" t="e">
        <f>#REF!+"$Cm=!%2n"</f>
        <v>#REF!</v>
      </c>
      <c r="HE66" t="e">
        <f>#REF!+"$Cm=!%2o"</f>
        <v>#REF!</v>
      </c>
      <c r="HF66" t="e">
        <f>#REF!+"$Cm=!%2p"</f>
        <v>#REF!</v>
      </c>
      <c r="HG66" t="e">
        <f>#REF!+"$Cm=!%2q"</f>
        <v>#REF!</v>
      </c>
      <c r="HH66" t="e">
        <f>#REF!+"$Cm=!%2r"</f>
        <v>#REF!</v>
      </c>
      <c r="HI66" t="e">
        <f>#REF!+"$Cm=!%2s"</f>
        <v>#REF!</v>
      </c>
      <c r="HJ66" t="e">
        <f>#REF!+"$Cm=!%2t"</f>
        <v>#REF!</v>
      </c>
      <c r="HK66" t="e">
        <f>#REF!+"$Cm=!%2u"</f>
        <v>#REF!</v>
      </c>
      <c r="HL66" t="e">
        <f>#REF!+"$Cm=!%2v"</f>
        <v>#REF!</v>
      </c>
      <c r="HM66" t="e">
        <f>#REF!+"$Cm=!%2w"</f>
        <v>#REF!</v>
      </c>
      <c r="HN66" t="e">
        <f>#REF!+"$Cm=!%2x"</f>
        <v>#REF!</v>
      </c>
      <c r="HO66" t="e">
        <f>#REF!+"$Cm=!%2y"</f>
        <v>#REF!</v>
      </c>
      <c r="HP66" t="e">
        <f>#REF!+"$Cm=!%2z"</f>
        <v>#REF!</v>
      </c>
      <c r="HQ66" t="e">
        <f>#REF!+"$Cm=!%2{"</f>
        <v>#REF!</v>
      </c>
      <c r="HR66" t="e">
        <f>#REF!+"$Cm=!%2|"</f>
        <v>#REF!</v>
      </c>
      <c r="HS66" t="e">
        <f>#REF!+"$Cm=!%2}"</f>
        <v>#REF!</v>
      </c>
      <c r="HT66" t="e">
        <f>#REF!+"$Cm=!%2~"</f>
        <v>#REF!</v>
      </c>
      <c r="HU66" t="e">
        <f>#REF!+"$Cm=!%3#"</f>
        <v>#REF!</v>
      </c>
      <c r="HV66" t="e">
        <f>#REF!+"$Cm=!%3$"</f>
        <v>#REF!</v>
      </c>
      <c r="HW66" t="e">
        <f>#REF!+"$Cm=!%3%"</f>
        <v>#REF!</v>
      </c>
      <c r="HX66" t="e">
        <f>#REF!+"$Cm=!%3&amp;"</f>
        <v>#REF!</v>
      </c>
      <c r="HY66" t="e">
        <f>#REF!+"$Cm=!%3'"</f>
        <v>#REF!</v>
      </c>
      <c r="HZ66" t="e">
        <f>#REF!+"$Cm=!%3("</f>
        <v>#REF!</v>
      </c>
      <c r="IA66" t="e">
        <f>#REF!+"$Cm=!%3)"</f>
        <v>#REF!</v>
      </c>
      <c r="IB66" t="e">
        <f>#REF!+"$Cm=!%3."</f>
        <v>#REF!</v>
      </c>
      <c r="IC66" t="e">
        <f>#REF!+"$Cm=!%3/"</f>
        <v>#REF!</v>
      </c>
      <c r="ID66" t="e">
        <f>#REF!+"$Cm=!%30"</f>
        <v>#REF!</v>
      </c>
      <c r="IE66" t="e">
        <f>#REF!+"$Cm=!%31"</f>
        <v>#REF!</v>
      </c>
      <c r="IF66" t="e">
        <f>#REF!+"$Cm=!%32"</f>
        <v>#REF!</v>
      </c>
      <c r="IG66" t="e">
        <f>#REF!+"$Cm=!%33"</f>
        <v>#REF!</v>
      </c>
      <c r="IH66" t="e">
        <f>#REF!+"$Cm=!%34"</f>
        <v>#REF!</v>
      </c>
      <c r="II66" t="e">
        <f>#REF!+"$Cm=!%35"</f>
        <v>#REF!</v>
      </c>
      <c r="IJ66" t="e">
        <f>#REF!+"$Cm=!%36"</f>
        <v>#REF!</v>
      </c>
      <c r="IK66" t="e">
        <f>#REF!+"$Cm=!%37"</f>
        <v>#REF!</v>
      </c>
      <c r="IL66" t="e">
        <f>#REF!+"$Cm=!%38"</f>
        <v>#REF!</v>
      </c>
      <c r="IM66" t="e">
        <f>#REF!+"$Cm=!%39"</f>
        <v>#REF!</v>
      </c>
      <c r="IN66" t="e">
        <f>#REF!+"$Cm=!%3:"</f>
        <v>#REF!</v>
      </c>
      <c r="IO66" t="e">
        <f>#REF!+"$Cm=!%3;"</f>
        <v>#REF!</v>
      </c>
      <c r="IP66" t="e">
        <f>#REF!+"$Cm=!%3&lt;"</f>
        <v>#REF!</v>
      </c>
      <c r="IQ66" t="e">
        <f>#REF!+"$Cm=!%3="</f>
        <v>#REF!</v>
      </c>
      <c r="IR66" t="e">
        <f>#REF!+"$Cm=!%3&gt;"</f>
        <v>#REF!</v>
      </c>
      <c r="IS66" t="e">
        <f>#REF!+"$Cm=!%3?"</f>
        <v>#REF!</v>
      </c>
      <c r="IT66" t="e">
        <f>#REF!+"$Cm=!%3@"</f>
        <v>#REF!</v>
      </c>
      <c r="IU66" t="e">
        <f>#REF!+"$Cm=!%3A"</f>
        <v>#REF!</v>
      </c>
      <c r="IV66" t="e">
        <f>#REF!+"$Cm=!%3B"</f>
        <v>#REF!</v>
      </c>
    </row>
    <row r="67" spans="6:256">
      <c r="F67" t="e">
        <f>#REF!+"$Cm=!%3C"</f>
        <v>#REF!</v>
      </c>
      <c r="G67" t="e">
        <f>#REF!+"$Cm=!%3D"</f>
        <v>#REF!</v>
      </c>
      <c r="H67" t="e">
        <f>#REF!+"$Cm=!%3E"</f>
        <v>#REF!</v>
      </c>
      <c r="I67" t="e">
        <f>#REF!+"$Cm=!%3F"</f>
        <v>#REF!</v>
      </c>
      <c r="J67" t="e">
        <f>#REF!+"$Cm=!%3G"</f>
        <v>#REF!</v>
      </c>
      <c r="K67" t="e">
        <f>#REF!+"$Cm=!%3H"</f>
        <v>#REF!</v>
      </c>
      <c r="L67" t="e">
        <f>#REF!+"$Cm=!%3I"</f>
        <v>#REF!</v>
      </c>
      <c r="M67" t="e">
        <f>#REF!+"$Cm=!%3J"</f>
        <v>#REF!</v>
      </c>
      <c r="N67" t="e">
        <f>#REF!+"$Cm=!%3K"</f>
        <v>#REF!</v>
      </c>
      <c r="O67" t="e">
        <f>#REF!+"$Cm=!%3L"</f>
        <v>#REF!</v>
      </c>
      <c r="P67" t="e">
        <f>#REF!+"$Cm=!%3M"</f>
        <v>#REF!</v>
      </c>
      <c r="Q67" t="e">
        <f>#REF!+"$Cm=!%3N"</f>
        <v>#REF!</v>
      </c>
      <c r="R67" t="e">
        <f>#REF!+"$Cm=!%3O"</f>
        <v>#REF!</v>
      </c>
      <c r="S67" t="e">
        <f>#REF!+"$Cm=!%3P"</f>
        <v>#REF!</v>
      </c>
      <c r="T67" t="e">
        <f>#REF!+"$Cm=!%3Q"</f>
        <v>#REF!</v>
      </c>
      <c r="U67" t="e">
        <f>#REF!+"$Cm=!%3R"</f>
        <v>#REF!</v>
      </c>
      <c r="V67" t="e">
        <f>#REF!+"$Cm=!%3S"</f>
        <v>#REF!</v>
      </c>
      <c r="W67" t="e">
        <f>#REF!+"$Cm=!%3T"</f>
        <v>#REF!</v>
      </c>
      <c r="X67" t="e">
        <f>#REF!+"$Cm=!%3U"</f>
        <v>#REF!</v>
      </c>
      <c r="Y67" t="e">
        <f>#REF!+"$Cm=!%3V"</f>
        <v>#REF!</v>
      </c>
      <c r="Z67" t="e">
        <f>#REF!+"$Cm=!%3W"</f>
        <v>#REF!</v>
      </c>
      <c r="AA67" t="e">
        <f>#REF!+"$Cm=!%3X"</f>
        <v>#REF!</v>
      </c>
      <c r="AB67" t="e">
        <f>#REF!+"$Cm=!%3Y"</f>
        <v>#REF!</v>
      </c>
      <c r="AC67" t="e">
        <f>#REF!+"$Cm=!%3Z"</f>
        <v>#REF!</v>
      </c>
      <c r="AD67" t="e">
        <f>#REF!+"$Cm=!%3["</f>
        <v>#REF!</v>
      </c>
      <c r="AE67" t="e">
        <f>#REF!+"$Cm=!%3\"</f>
        <v>#REF!</v>
      </c>
      <c r="AF67" t="e">
        <f>#REF!+"$Cm=!%3]"</f>
        <v>#REF!</v>
      </c>
      <c r="AG67" t="e">
        <f>#REF!+"$Cm=!%3^"</f>
        <v>#REF!</v>
      </c>
      <c r="AH67" t="e">
        <f>#REF!+"$Cm=!%3_"</f>
        <v>#REF!</v>
      </c>
      <c r="AI67" t="e">
        <f>#REF!+"$Cm=!%3`"</f>
        <v>#REF!</v>
      </c>
      <c r="AJ67" t="e">
        <f>#REF!+"$Cm=!%3a"</f>
        <v>#REF!</v>
      </c>
      <c r="AK67" t="e">
        <f>#REF!+"$Cm=!%3b"</f>
        <v>#REF!</v>
      </c>
      <c r="AL67" t="e">
        <f>#REF!+"$Cm=!%3c"</f>
        <v>#REF!</v>
      </c>
      <c r="AM67" t="e">
        <f>#REF!+"$Cm=!%3d"</f>
        <v>#REF!</v>
      </c>
      <c r="AN67" t="e">
        <f>#REF!+"$Cm=!%3e"</f>
        <v>#REF!</v>
      </c>
      <c r="AO67" t="e">
        <f>#REF!+"$Cm=!%3f"</f>
        <v>#REF!</v>
      </c>
      <c r="AP67" t="e">
        <f>#REF!+"$Cm=!%3g"</f>
        <v>#REF!</v>
      </c>
      <c r="AQ67" t="e">
        <f>#REF!+"$Cm=!%3h"</f>
        <v>#REF!</v>
      </c>
      <c r="AR67" t="e">
        <f>#REF!+"$Cm=!%3i"</f>
        <v>#REF!</v>
      </c>
      <c r="AS67" t="e">
        <f>#REF!+"$Cm=!%3j"</f>
        <v>#REF!</v>
      </c>
      <c r="AT67" t="e">
        <f>#REF!+"$Cm=!%3k"</f>
        <v>#REF!</v>
      </c>
      <c r="AU67" t="e">
        <f>#REF!+"$Cm=!%3l"</f>
        <v>#REF!</v>
      </c>
      <c r="AV67" t="e">
        <f>#REF!+"$Cm=!%3m"</f>
        <v>#REF!</v>
      </c>
      <c r="AW67" t="e">
        <f>#REF!+"$Cm=!%3n"</f>
        <v>#REF!</v>
      </c>
      <c r="AX67" t="e">
        <f>#REF!+"$Cm=!%3o"</f>
        <v>#REF!</v>
      </c>
      <c r="AY67" t="e">
        <f>#REF!+"$Cm=!%3p"</f>
        <v>#REF!</v>
      </c>
      <c r="AZ67" t="e">
        <f>#REF!+"$Cm=!%3q"</f>
        <v>#REF!</v>
      </c>
      <c r="BA67" t="e">
        <f>#REF!+"$Cm=!%3r"</f>
        <v>#REF!</v>
      </c>
      <c r="BB67" t="e">
        <f>#REF!+"$Cm=!%3s"</f>
        <v>#REF!</v>
      </c>
      <c r="BC67" t="e">
        <f>#REF!+"$Cm=!%3t"</f>
        <v>#REF!</v>
      </c>
      <c r="BD67" t="e">
        <f>#REF!+"$Cm=!%3u"</f>
        <v>#REF!</v>
      </c>
      <c r="BE67" t="e">
        <f>#REF!+"$Cm=!%3v"</f>
        <v>#REF!</v>
      </c>
      <c r="BF67" t="e">
        <f>#REF!+"$Cm=!%3w"</f>
        <v>#REF!</v>
      </c>
      <c r="BG67" t="e">
        <f>#REF!+"$Cm=!%3x"</f>
        <v>#REF!</v>
      </c>
      <c r="BH67" t="e">
        <f>#REF!+"$Cm=!%3y"</f>
        <v>#REF!</v>
      </c>
      <c r="BI67" t="e">
        <f>#REF!+"$Cm=!%3z"</f>
        <v>#REF!</v>
      </c>
      <c r="BJ67" t="e">
        <f>#REF!+"$Cm=!%3{"</f>
        <v>#REF!</v>
      </c>
      <c r="BK67" t="e">
        <f>#REF!+"$Cm=!%3|"</f>
        <v>#REF!</v>
      </c>
      <c r="BL67" t="e">
        <f>#REF!+"$Cm=!%3}"</f>
        <v>#REF!</v>
      </c>
      <c r="BM67" t="e">
        <f>#REF!+"$Cm=!%3~"</f>
        <v>#REF!</v>
      </c>
      <c r="BN67" t="e">
        <f>#REF!+"$Cm=!%4#"</f>
        <v>#REF!</v>
      </c>
      <c r="BO67" t="e">
        <f>#REF!+"$Cm=!%4$"</f>
        <v>#REF!</v>
      </c>
      <c r="BP67" t="e">
        <f>#REF!+"$Cm=!%4%"</f>
        <v>#REF!</v>
      </c>
      <c r="BQ67" t="e">
        <f>#REF!+"$Cm=!%4&amp;"</f>
        <v>#REF!</v>
      </c>
      <c r="BR67" t="e">
        <f>#REF!+"$Cm=!%4'"</f>
        <v>#REF!</v>
      </c>
      <c r="BS67" t="e">
        <f>#REF!+"$Cm=!%4("</f>
        <v>#REF!</v>
      </c>
      <c r="BT67" t="e">
        <f>#REF!+"$Cm=!%4)"</f>
        <v>#REF!</v>
      </c>
      <c r="BU67" t="e">
        <f>#REF!+"$Cm=!%4."</f>
        <v>#REF!</v>
      </c>
      <c r="BV67" t="e">
        <f>#REF!+"$Cm=!%4/"</f>
        <v>#REF!</v>
      </c>
      <c r="BW67" t="e">
        <f>#REF!+"$Cm=!%40"</f>
        <v>#REF!</v>
      </c>
      <c r="BX67" t="e">
        <f>#REF!+"$Cm=!%41"</f>
        <v>#REF!</v>
      </c>
      <c r="BY67" t="e">
        <f>#REF!+"$Cm=!%42"</f>
        <v>#REF!</v>
      </c>
      <c r="BZ67" t="e">
        <f>#REF!+"$Cm=!%43"</f>
        <v>#REF!</v>
      </c>
      <c r="CA67" t="e">
        <f>#REF!+"$Cm=!%44"</f>
        <v>#REF!</v>
      </c>
      <c r="CB67" t="e">
        <f>#REF!+"$Cm=!%45"</f>
        <v>#REF!</v>
      </c>
      <c r="CC67" t="e">
        <f>#REF!+"$Cm=!%46"</f>
        <v>#REF!</v>
      </c>
      <c r="CD67" t="e">
        <f>#REF!+"$Cm=!%47"</f>
        <v>#REF!</v>
      </c>
      <c r="CE67" t="e">
        <f>#REF!+"$Cm=!%48"</f>
        <v>#REF!</v>
      </c>
      <c r="CF67" t="e">
        <f>#REF!+"$Cm=!%49"</f>
        <v>#REF!</v>
      </c>
      <c r="CG67" t="e">
        <f>#REF!+"$Cm=!%4:"</f>
        <v>#REF!</v>
      </c>
      <c r="CH67" t="e">
        <f>#REF!+"$Cm=!%4;"</f>
        <v>#REF!</v>
      </c>
      <c r="CI67" t="e">
        <f>#REF!+"$Cm=!%4&lt;"</f>
        <v>#REF!</v>
      </c>
      <c r="CJ67" t="e">
        <f>#REF!+"$Cm=!%4="</f>
        <v>#REF!</v>
      </c>
      <c r="CK67" t="e">
        <f>#REF!+"$Cm=!%4&gt;"</f>
        <v>#REF!</v>
      </c>
      <c r="CL67" t="e">
        <f>#REF!+"$Cm=!%4?"</f>
        <v>#REF!</v>
      </c>
      <c r="CM67" t="e">
        <f>#REF!+"$Cm=!%4@"</f>
        <v>#REF!</v>
      </c>
      <c r="CN67" t="e">
        <f>#REF!+"$Cm=!%4A"</f>
        <v>#REF!</v>
      </c>
      <c r="CO67" t="e">
        <f>#REF!+"$Cm=!%4B"</f>
        <v>#REF!</v>
      </c>
      <c r="CP67" t="e">
        <f>#REF!+"$Cm=!%4C"</f>
        <v>#REF!</v>
      </c>
      <c r="CQ67" t="e">
        <f>#REF!+"$Cm=!%4D"</f>
        <v>#REF!</v>
      </c>
      <c r="CR67" t="e">
        <f>#REF!+"$Cm=!%4E"</f>
        <v>#REF!</v>
      </c>
      <c r="CS67" t="e">
        <f>#REF!+"$Cm=!%4F"</f>
        <v>#REF!</v>
      </c>
      <c r="CT67" t="e">
        <f>#REF!+"$Cm=!%4G"</f>
        <v>#REF!</v>
      </c>
      <c r="CU67" t="e">
        <f>#REF!+"$Cm=!%4H"</f>
        <v>#REF!</v>
      </c>
      <c r="CV67" t="e">
        <f>#REF!+"$Cm=!%4I"</f>
        <v>#REF!</v>
      </c>
      <c r="CW67" t="e">
        <f>#REF!+"$Cm=!%4J"</f>
        <v>#REF!</v>
      </c>
      <c r="CX67" t="e">
        <f>#REF!+"$Cm=!%4K"</f>
        <v>#REF!</v>
      </c>
      <c r="CY67" t="e">
        <f>#REF!+"$Cm=!%4L"</f>
        <v>#REF!</v>
      </c>
      <c r="CZ67" t="e">
        <f>#REF!+"$Cm=!%4M"</f>
        <v>#REF!</v>
      </c>
      <c r="DA67" t="e">
        <f>#REF!+"$Cm=!%4N"</f>
        <v>#REF!</v>
      </c>
      <c r="DB67" t="e">
        <f>#REF!+"$Cm=!%4O"</f>
        <v>#REF!</v>
      </c>
      <c r="DC67" t="e">
        <f>#REF!+"$Cm=!%4P"</f>
        <v>#REF!</v>
      </c>
      <c r="DD67" t="e">
        <f>#REF!+"$Cm=!%4Q"</f>
        <v>#REF!</v>
      </c>
      <c r="DE67" t="e">
        <f>#REF!+"$Cm=!%4R"</f>
        <v>#REF!</v>
      </c>
      <c r="DF67" t="e">
        <f>#REF!+"$Cm=!%4S"</f>
        <v>#REF!</v>
      </c>
      <c r="DG67" t="e">
        <f>#REF!+"$Cm=!%4T"</f>
        <v>#REF!</v>
      </c>
      <c r="DH67" t="e">
        <f>#REF!+"$Cm=!%4U"</f>
        <v>#REF!</v>
      </c>
      <c r="DI67" t="e">
        <f>#REF!+"$Cm=!%4V"</f>
        <v>#REF!</v>
      </c>
      <c r="DJ67" t="e">
        <f>#REF!+"$Cm=!%4W"</f>
        <v>#REF!</v>
      </c>
      <c r="DK67" t="e">
        <f>#REF!+"$Cm=!%4X"</f>
        <v>#REF!</v>
      </c>
      <c r="DL67" t="e">
        <f>#REF!+"$Cm=!%4Y"</f>
        <v>#REF!</v>
      </c>
      <c r="DM67" t="e">
        <f>#REF!+"$Cm=!%4Z"</f>
        <v>#REF!</v>
      </c>
      <c r="DN67" t="e">
        <f>#REF!+"$Cm=!%4["</f>
        <v>#REF!</v>
      </c>
      <c r="DO67" t="e">
        <f>#REF!+"$Cm=!%4\"</f>
        <v>#REF!</v>
      </c>
      <c r="DP67" t="e">
        <f>#REF!+"$Cm=!%4]"</f>
        <v>#REF!</v>
      </c>
      <c r="DQ67" t="e">
        <f>#REF!+"$Cm=!%4^"</f>
        <v>#REF!</v>
      </c>
      <c r="DR67" t="e">
        <f>#REF!+"$Cm=!%4_"</f>
        <v>#REF!</v>
      </c>
      <c r="DS67" t="e">
        <f>#REF!+"$Cm=!%4`"</f>
        <v>#REF!</v>
      </c>
      <c r="DT67" t="e">
        <f>#REF!+"$Cm=!%4a"</f>
        <v>#REF!</v>
      </c>
      <c r="DU67" t="e">
        <f>#REF!+"$Cm=!%4b"</f>
        <v>#REF!</v>
      </c>
      <c r="DV67" t="e">
        <f>#REF!+"$Cm=!%4c"</f>
        <v>#REF!</v>
      </c>
      <c r="DW67" t="e">
        <f>#REF!+"$Cm=!%4d"</f>
        <v>#REF!</v>
      </c>
      <c r="DX67" t="e">
        <f>#REF!+"$Cm=!%4e"</f>
        <v>#REF!</v>
      </c>
      <c r="DY67" t="e">
        <f>#REF!+"$Cm=!%4f"</f>
        <v>#REF!</v>
      </c>
      <c r="DZ67" t="e">
        <f>#REF!+"$Cm=!%4g"</f>
        <v>#REF!</v>
      </c>
      <c r="EA67" t="e">
        <f>#REF!+"$Cm=!%4h"</f>
        <v>#REF!</v>
      </c>
      <c r="EB67" t="e">
        <f>#REF!+"$Cm=!%4i"</f>
        <v>#REF!</v>
      </c>
      <c r="EC67" t="e">
        <f>#REF!+"$Cm=!%4j"</f>
        <v>#REF!</v>
      </c>
      <c r="ED67" t="e">
        <f>#REF!+"$Cm=!%4k"</f>
        <v>#REF!</v>
      </c>
      <c r="EE67" t="e">
        <f>#REF!+"$Cm=!%4l"</f>
        <v>#REF!</v>
      </c>
      <c r="EF67" t="e">
        <f>#REF!+"$Cm=!%4m"</f>
        <v>#REF!</v>
      </c>
      <c r="EG67" t="e">
        <f>#REF!+"$Cm=!%4n"</f>
        <v>#REF!</v>
      </c>
      <c r="EH67" t="e">
        <f>#REF!+"$Cm=!%4o"</f>
        <v>#REF!</v>
      </c>
      <c r="EI67" t="e">
        <f>#REF!+"$Cm=!%4p"</f>
        <v>#REF!</v>
      </c>
      <c r="EJ67" t="e">
        <f>#REF!+"$Cm=!%4q"</f>
        <v>#REF!</v>
      </c>
      <c r="EK67" t="e">
        <f>#REF!+"$Cm=!%4r"</f>
        <v>#REF!</v>
      </c>
      <c r="EL67" t="e">
        <f>#REF!+"$Cm=!%4s"</f>
        <v>#REF!</v>
      </c>
      <c r="EM67" t="e">
        <f>#REF!+"$Cm=!%4t"</f>
        <v>#REF!</v>
      </c>
      <c r="EN67" t="e">
        <f>#REF!+"$Cm=!%4u"</f>
        <v>#REF!</v>
      </c>
      <c r="EO67" t="e">
        <f>#REF!+"$Cm=!%4v"</f>
        <v>#REF!</v>
      </c>
      <c r="EP67" t="e">
        <f>#REF!+"$Cm=!%4w"</f>
        <v>#REF!</v>
      </c>
      <c r="EQ67" t="e">
        <f>#REF!+"$Cm=!%4x"</f>
        <v>#REF!</v>
      </c>
      <c r="ER67" t="e">
        <f>#REF!+"$Cm=!%4y"</f>
        <v>#REF!</v>
      </c>
      <c r="ES67" t="e">
        <f>#REF!+"$Cm=!%4z"</f>
        <v>#REF!</v>
      </c>
      <c r="ET67" t="e">
        <f>#REF!+"$Cm=!%4{"</f>
        <v>#REF!</v>
      </c>
      <c r="EU67" t="e">
        <f>#REF!+"$Cm=!%4|"</f>
        <v>#REF!</v>
      </c>
      <c r="EV67" t="e">
        <f>#REF!+"$Cm=!%4}"</f>
        <v>#REF!</v>
      </c>
      <c r="EW67" t="e">
        <f>#REF!+"$Cm=!%4~"</f>
        <v>#REF!</v>
      </c>
      <c r="EX67" t="e">
        <f>#REF!+"$Cm=!%5#"</f>
        <v>#REF!</v>
      </c>
      <c r="EY67" t="e">
        <f>#REF!+"$Cm=!%5$"</f>
        <v>#REF!</v>
      </c>
      <c r="EZ67" t="e">
        <f>#REF!+"$Cm=!%5%"</f>
        <v>#REF!</v>
      </c>
      <c r="FA67" t="e">
        <f>#REF!+"$Cm=!%5&amp;"</f>
        <v>#REF!</v>
      </c>
      <c r="FB67" t="e">
        <f>#REF!+"$Cm=!%5'"</f>
        <v>#REF!</v>
      </c>
      <c r="FC67" t="e">
        <f>#REF!+"$Cm=!%5("</f>
        <v>#REF!</v>
      </c>
      <c r="FD67" t="e">
        <f>#REF!+"$Cm=!%5)"</f>
        <v>#REF!</v>
      </c>
      <c r="FE67" t="e">
        <f>#REF!+"$Cm=!%5."</f>
        <v>#REF!</v>
      </c>
      <c r="FF67" t="e">
        <f>#REF!+"$Cm=!%5/"</f>
        <v>#REF!</v>
      </c>
      <c r="FG67" t="e">
        <f>#REF!+"$Cm=!%50"</f>
        <v>#REF!</v>
      </c>
      <c r="FH67" t="e">
        <f>#REF!+"$Cm=!%51"</f>
        <v>#REF!</v>
      </c>
      <c r="FI67" t="e">
        <f>#REF!+"$Cm=!%52"</f>
        <v>#REF!</v>
      </c>
      <c r="FJ67" t="e">
        <f>#REF!+"$Cm=!%53"</f>
        <v>#REF!</v>
      </c>
      <c r="FK67" t="e">
        <f>#REF!+"$Cm=!%54"</f>
        <v>#REF!</v>
      </c>
      <c r="FL67" t="e">
        <f>#REF!+"$Cm=!%55"</f>
        <v>#REF!</v>
      </c>
      <c r="FM67" t="e">
        <f>#REF!+"$Cm=!%56"</f>
        <v>#REF!</v>
      </c>
      <c r="FN67" t="e">
        <f>#REF!+"$Cm=!%57"</f>
        <v>#REF!</v>
      </c>
      <c r="FO67" t="e">
        <f>#REF!+"$Cm=!%58"</f>
        <v>#REF!</v>
      </c>
      <c r="FP67" t="e">
        <f>#REF!+"$Cm=!%59"</f>
        <v>#REF!</v>
      </c>
      <c r="FQ67" t="e">
        <f>#REF!+"$Cm=!%5:"</f>
        <v>#REF!</v>
      </c>
      <c r="FR67" t="e">
        <f>#REF!+"$Cm=!%5;"</f>
        <v>#REF!</v>
      </c>
      <c r="FS67" t="e">
        <f>#REF!+"$Cm=!%5&lt;"</f>
        <v>#REF!</v>
      </c>
      <c r="FT67" t="e">
        <f>#REF!+"$Cm=!%5="</f>
        <v>#REF!</v>
      </c>
      <c r="FU67" t="e">
        <f>#REF!+"$Cm=!%5&gt;"</f>
        <v>#REF!</v>
      </c>
      <c r="FV67" t="e">
        <f>#REF!+"$Cm=!%5?"</f>
        <v>#REF!</v>
      </c>
      <c r="FW67" t="e">
        <f>#REF!+"$Cm=!%5@"</f>
        <v>#REF!</v>
      </c>
      <c r="FX67" t="e">
        <f>#REF!+"$Cm=!%5A"</f>
        <v>#REF!</v>
      </c>
      <c r="FY67" t="e">
        <f>#REF!+"$Cm=!%5B"</f>
        <v>#REF!</v>
      </c>
      <c r="FZ67" t="e">
        <f>#REF!+"$Cm=!%5C"</f>
        <v>#REF!</v>
      </c>
      <c r="GA67" t="e">
        <f>#REF!+"$Cm=!%5D"</f>
        <v>#REF!</v>
      </c>
      <c r="GB67" t="e">
        <f>#REF!+"$Cm=!%5E"</f>
        <v>#REF!</v>
      </c>
      <c r="GC67" t="e">
        <f>#REF!+"$Cm=!%5F"</f>
        <v>#REF!</v>
      </c>
      <c r="GD67" t="e">
        <f>#REF!+"$Cm=!%5G"</f>
        <v>#REF!</v>
      </c>
      <c r="GE67" t="e">
        <f>#REF!+"$Cm=!%5H"</f>
        <v>#REF!</v>
      </c>
      <c r="GF67" t="e">
        <f>#REF!+"$Cm=!%5I"</f>
        <v>#REF!</v>
      </c>
      <c r="GG67" t="e">
        <f>#REF!+"$Cm=!%5J"</f>
        <v>#REF!</v>
      </c>
      <c r="GH67" t="e">
        <f>#REF!+"$Cm=!%5K"</f>
        <v>#REF!</v>
      </c>
      <c r="GI67" t="e">
        <f>#REF!+"$Cm=!%5L"</f>
        <v>#REF!</v>
      </c>
      <c r="GJ67" t="e">
        <f>#REF!+"$Cm=!%5M"</f>
        <v>#REF!</v>
      </c>
      <c r="GK67" t="e">
        <f>#REF!+"$Cm=!%5N"</f>
        <v>#REF!</v>
      </c>
      <c r="GL67" t="e">
        <f>#REF!+"$Cm=!%5O"</f>
        <v>#REF!</v>
      </c>
      <c r="GM67" t="e">
        <f>#REF!+"$Cm=!%5P"</f>
        <v>#REF!</v>
      </c>
      <c r="GN67" t="e">
        <f>#REF!+"$Cm=!%5Q"</f>
        <v>#REF!</v>
      </c>
      <c r="GO67" t="e">
        <f>#REF!+"$Cm=!%5R"</f>
        <v>#REF!</v>
      </c>
      <c r="GP67" t="e">
        <f>#REF!+"$Cm=!%5S"</f>
        <v>#REF!</v>
      </c>
      <c r="GQ67" t="e">
        <f>#REF!+"$Cm=!%5T"</f>
        <v>#REF!</v>
      </c>
      <c r="GR67" t="e">
        <f>#REF!+"$Cm=!%5U"</f>
        <v>#REF!</v>
      </c>
      <c r="GS67" t="e">
        <f>#REF!+"$Cm=!%5V"</f>
        <v>#REF!</v>
      </c>
      <c r="GT67" t="e">
        <f>#REF!+"$Cm=!%5W"</f>
        <v>#REF!</v>
      </c>
      <c r="GU67" t="e">
        <f>#REF!+"$Cm=!%5X"</f>
        <v>#REF!</v>
      </c>
      <c r="GV67" t="e">
        <f>#REF!+"$Cm=!%5Y"</f>
        <v>#REF!</v>
      </c>
      <c r="GW67" t="e">
        <f>#REF!+"$Cm=!%5Z"</f>
        <v>#REF!</v>
      </c>
      <c r="GX67" t="e">
        <f>#REF!+"$Cm=!%5["</f>
        <v>#REF!</v>
      </c>
      <c r="GY67" t="e">
        <f>#REF!+"$Cm=!%5\"</f>
        <v>#REF!</v>
      </c>
      <c r="GZ67" t="e">
        <f>#REF!+"$Cm=!%5]"</f>
        <v>#REF!</v>
      </c>
      <c r="HA67" t="e">
        <f>#REF!+"$Cm=!%5^"</f>
        <v>#REF!</v>
      </c>
      <c r="HB67" t="e">
        <f>#REF!+"$Cm=!%5_"</f>
        <v>#REF!</v>
      </c>
      <c r="HC67" t="e">
        <f>#REF!+"$Cm=!%5`"</f>
        <v>#REF!</v>
      </c>
      <c r="HD67" t="e">
        <f>#REF!+"$Cm=!%5a"</f>
        <v>#REF!</v>
      </c>
      <c r="HE67" t="e">
        <f>#REF!+"$Cm=!%5b"</f>
        <v>#REF!</v>
      </c>
      <c r="HF67" t="e">
        <f>#REF!+"$Cm=!%5c"</f>
        <v>#REF!</v>
      </c>
      <c r="HG67" t="e">
        <f>#REF!+"$Cm=!%5d"</f>
        <v>#REF!</v>
      </c>
      <c r="HH67" t="e">
        <f>#REF!+"$Cm=!%5e"</f>
        <v>#REF!</v>
      </c>
      <c r="HI67" t="e">
        <f>#REF!+"$Cm=!%5f"</f>
        <v>#REF!</v>
      </c>
      <c r="HJ67" t="e">
        <f>#REF!+"$Cm=!%5g"</f>
        <v>#REF!</v>
      </c>
      <c r="HK67" t="e">
        <f>#REF!+"$Cm=!%5h"</f>
        <v>#REF!</v>
      </c>
      <c r="HL67" t="e">
        <f>#REF!+"$Cm=!%5i"</f>
        <v>#REF!</v>
      </c>
      <c r="HM67" t="e">
        <f>#REF!+"$Cm=!%5j"</f>
        <v>#REF!</v>
      </c>
      <c r="HN67" t="e">
        <f>#REF!+"$Cm=!%5k"</f>
        <v>#REF!</v>
      </c>
      <c r="HO67" t="e">
        <f>#REF!+"$Cm=!%5l"</f>
        <v>#REF!</v>
      </c>
      <c r="HP67" t="e">
        <f>#REF!+"$Cm=!%5m"</f>
        <v>#REF!</v>
      </c>
      <c r="HQ67" t="e">
        <f>#REF!+"$Cm=!%5n"</f>
        <v>#REF!</v>
      </c>
      <c r="HR67" t="e">
        <f>#REF!+"$Cm=!%5o"</f>
        <v>#REF!</v>
      </c>
      <c r="HS67" t="e">
        <f>#REF!+"$Cm=!%5p"</f>
        <v>#REF!</v>
      </c>
      <c r="HT67" t="e">
        <f>#REF!+"$Cm=!%5q"</f>
        <v>#REF!</v>
      </c>
      <c r="HU67" t="e">
        <f>#REF!+"$Cm=!%5r"</f>
        <v>#REF!</v>
      </c>
      <c r="HV67" t="e">
        <f>#REF!+"$Cm=!%5s"</f>
        <v>#REF!</v>
      </c>
      <c r="HW67" t="e">
        <f>#REF!+"$Cm=!%5t"</f>
        <v>#REF!</v>
      </c>
      <c r="HX67" t="e">
        <f>#REF!+"$Cm=!%5u"</f>
        <v>#REF!</v>
      </c>
      <c r="HY67" t="e">
        <f>#REF!+"$Cm=!%5v"</f>
        <v>#REF!</v>
      </c>
      <c r="HZ67" t="e">
        <f>#REF!+"$Cm=!%5w"</f>
        <v>#REF!</v>
      </c>
      <c r="IA67" t="e">
        <f>#REF!+"$Cm=!%5x"</f>
        <v>#REF!</v>
      </c>
      <c r="IB67" t="e">
        <f>#REF!+"$Cm=!%5y"</f>
        <v>#REF!</v>
      </c>
      <c r="IC67" t="e">
        <f>#REF!+"$Cm=!%5z"</f>
        <v>#REF!</v>
      </c>
      <c r="ID67" t="e">
        <f>#REF!+"$Cm=!%5{"</f>
        <v>#REF!</v>
      </c>
      <c r="IE67" t="e">
        <f>#REF!+"$Cm=!%5|"</f>
        <v>#REF!</v>
      </c>
      <c r="IF67" t="e">
        <f>#REF!+"$Cm=!%5}"</f>
        <v>#REF!</v>
      </c>
      <c r="IG67" t="e">
        <f>#REF!+"$Cm=!%5~"</f>
        <v>#REF!</v>
      </c>
      <c r="IH67" t="e">
        <f>#REF!+"$Cm=!%6#"</f>
        <v>#REF!</v>
      </c>
      <c r="II67" t="e">
        <f>#REF!+"$Cm=!%6$"</f>
        <v>#REF!</v>
      </c>
      <c r="IJ67" t="e">
        <f>#REF!+"$Cm=!%6%"</f>
        <v>#REF!</v>
      </c>
      <c r="IK67" t="e">
        <f>#REF!+"$Cm=!%6&amp;"</f>
        <v>#REF!</v>
      </c>
      <c r="IL67" t="e">
        <f>#REF!+"$Cm=!%6'"</f>
        <v>#REF!</v>
      </c>
      <c r="IM67" t="e">
        <f>#REF!+"$Cm=!%6("</f>
        <v>#REF!</v>
      </c>
      <c r="IN67" t="e">
        <f>#REF!+"$Cm=!%6)"</f>
        <v>#REF!</v>
      </c>
      <c r="IO67" t="e">
        <f>#REF!+"$Cm=!%6."</f>
        <v>#REF!</v>
      </c>
      <c r="IP67" t="e">
        <f>#REF!+"$Cm=!%6/"</f>
        <v>#REF!</v>
      </c>
      <c r="IQ67" t="e">
        <f>#REF!+"$Cm=!%60"</f>
        <v>#REF!</v>
      </c>
      <c r="IR67" t="e">
        <f>#REF!+"$Cm=!%61"</f>
        <v>#REF!</v>
      </c>
      <c r="IS67" t="e">
        <f>#REF!+"$Cm=!%62"</f>
        <v>#REF!</v>
      </c>
      <c r="IT67" t="e">
        <f>#REF!+"$Cm=!%63"</f>
        <v>#REF!</v>
      </c>
      <c r="IU67" t="e">
        <f>#REF!+"$Cm=!%64"</f>
        <v>#REF!</v>
      </c>
      <c r="IV67" t="e">
        <f>#REF!+"$Cm=!%65"</f>
        <v>#REF!</v>
      </c>
    </row>
    <row r="68" spans="6:256">
      <c r="F68" t="e">
        <f>#REF!+"$Cm=!%66"</f>
        <v>#REF!</v>
      </c>
      <c r="G68" t="e">
        <f>#REF!+"$Cm=!%67"</f>
        <v>#REF!</v>
      </c>
      <c r="H68" t="e">
        <f>#REF!+"$Cm=!%68"</f>
        <v>#REF!</v>
      </c>
      <c r="I68" t="e">
        <f>#REF!+"$Cm=!%69"</f>
        <v>#REF!</v>
      </c>
      <c r="J68" t="e">
        <f>#REF!+"$Cm=!%6:"</f>
        <v>#REF!</v>
      </c>
      <c r="K68" t="e">
        <f>#REF!+"$Cm=!%6;"</f>
        <v>#REF!</v>
      </c>
      <c r="L68" t="e">
        <f>#REF!+"$Cm=!%6&lt;"</f>
        <v>#REF!</v>
      </c>
      <c r="M68" t="e">
        <f>#REF!+"$Cm=!%6="</f>
        <v>#REF!</v>
      </c>
      <c r="N68" t="e">
        <f>#REF!+"$Cm=!%6&gt;"</f>
        <v>#REF!</v>
      </c>
      <c r="O68" t="e">
        <f>#REF!+"$Cm=!%6?"</f>
        <v>#REF!</v>
      </c>
      <c r="P68" t="e">
        <f>#REF!+"$Cm=!%6@"</f>
        <v>#REF!</v>
      </c>
      <c r="Q68" t="e">
        <f>#REF!+"$Cm=!%6A"</f>
        <v>#REF!</v>
      </c>
      <c r="R68" t="e">
        <f>#REF!+"$Cm=!%6B"</f>
        <v>#REF!</v>
      </c>
      <c r="S68" t="e">
        <f>#REF!+"$Cm=!%6C"</f>
        <v>#REF!</v>
      </c>
      <c r="T68" t="e">
        <f>#REF!+"$Cm=!%6D"</f>
        <v>#REF!</v>
      </c>
      <c r="U68" t="e">
        <f>#REF!+"$Cm=!%6E"</f>
        <v>#REF!</v>
      </c>
      <c r="V68" t="e">
        <f>#REF!+"$Cm=!%6F"</f>
        <v>#REF!</v>
      </c>
      <c r="W68" t="e">
        <f>#REF!+"$Cm=!%6G"</f>
        <v>#REF!</v>
      </c>
      <c r="X68" t="e">
        <f>#REF!+"$Cm=!%6H"</f>
        <v>#REF!</v>
      </c>
      <c r="Y68" t="e">
        <f>#REF!+"$Cm=!%6I"</f>
        <v>#REF!</v>
      </c>
      <c r="Z68" t="e">
        <f>#REF!+"$Cm=!%6J"</f>
        <v>#REF!</v>
      </c>
      <c r="AA68" t="e">
        <f>#REF!+"$Cm=!%6K"</f>
        <v>#REF!</v>
      </c>
      <c r="AB68" t="e">
        <f>#REF!+"$Cm=!%6L"</f>
        <v>#REF!</v>
      </c>
      <c r="AC68" t="e">
        <f>#REF!+"$Cm=!%6M"</f>
        <v>#REF!</v>
      </c>
      <c r="AD68" t="e">
        <f>#REF!+"$Cm=!%6N"</f>
        <v>#REF!</v>
      </c>
      <c r="AE68" t="e">
        <f>#REF!+"$Cm=!%6O"</f>
        <v>#REF!</v>
      </c>
      <c r="AF68" t="e">
        <f>#REF!+"$Cm=!%6P"</f>
        <v>#REF!</v>
      </c>
      <c r="AG68" t="e">
        <f>#REF!+"$Cm=!%6Q"</f>
        <v>#REF!</v>
      </c>
      <c r="AH68" t="e">
        <f>#REF!+"$Cm=!%6R"</f>
        <v>#REF!</v>
      </c>
      <c r="AI68" t="e">
        <f>#REF!+"$Cm=!%6S"</f>
        <v>#REF!</v>
      </c>
      <c r="AJ68" t="e">
        <f>#REF!+"$Cm=!%6T"</f>
        <v>#REF!</v>
      </c>
      <c r="AK68" t="e">
        <f>#REF!+"$Cm=!%6U"</f>
        <v>#REF!</v>
      </c>
      <c r="AL68" t="e">
        <f>#REF!+"$Cm=!%6V"</f>
        <v>#REF!</v>
      </c>
      <c r="AM68" t="e">
        <f>#REF!+"$Cm=!%6W"</f>
        <v>#REF!</v>
      </c>
      <c r="AN68" t="e">
        <f>#REF!+"$Cm=!%6X"</f>
        <v>#REF!</v>
      </c>
      <c r="AO68" t="e">
        <f>#REF!+"$Cm=!%6Y"</f>
        <v>#REF!</v>
      </c>
      <c r="AP68" t="e">
        <f>#REF!+"$Cm=!%6Z"</f>
        <v>#REF!</v>
      </c>
      <c r="AQ68" t="e">
        <f>#REF!+"$Cm=!%6["</f>
        <v>#REF!</v>
      </c>
      <c r="AR68" t="e">
        <f>#REF!+"$Cm=!%6\"</f>
        <v>#REF!</v>
      </c>
      <c r="AS68" t="e">
        <f>#REF!+"$Cm=!%6]"</f>
        <v>#REF!</v>
      </c>
      <c r="AT68" t="e">
        <f>#REF!+"$Cm=!%6^"</f>
        <v>#REF!</v>
      </c>
      <c r="AU68" t="e">
        <f>#REF!+"$Cm=!%6_"</f>
        <v>#REF!</v>
      </c>
      <c r="AV68" t="e">
        <f>#REF!+"$Cm=!%6`"</f>
        <v>#REF!</v>
      </c>
      <c r="AW68" t="e">
        <f>#REF!+"$Cm=!%6a"</f>
        <v>#REF!</v>
      </c>
      <c r="AX68" t="e">
        <f>#REF!+"$Cm=!%6b"</f>
        <v>#REF!</v>
      </c>
      <c r="AY68" t="e">
        <f>#REF!+"$Cm=!%6c"</f>
        <v>#REF!</v>
      </c>
      <c r="AZ68" t="e">
        <f>#REF!+"$Cm=!%6d"</f>
        <v>#REF!</v>
      </c>
      <c r="BA68" t="e">
        <f>#REF!+"$Cm=!%6e"</f>
        <v>#REF!</v>
      </c>
      <c r="BB68" t="e">
        <f>#REF!+"$Cm=!%6f"</f>
        <v>#REF!</v>
      </c>
      <c r="BC68" t="e">
        <f>#REF!+"$Cm=!%6g"</f>
        <v>#REF!</v>
      </c>
      <c r="BD68" t="e">
        <f>#REF!+"$Cm=!%6h"</f>
        <v>#REF!</v>
      </c>
      <c r="BE68" t="e">
        <f>#REF!+"$Cm=!%6i"</f>
        <v>#REF!</v>
      </c>
      <c r="BF68" t="e">
        <f>#REF!+"$Cm=!%6j"</f>
        <v>#REF!</v>
      </c>
      <c r="BG68" t="e">
        <f>#REF!+"$Cm=!%6k"</f>
        <v>#REF!</v>
      </c>
      <c r="BH68" t="e">
        <f>#REF!+"$Cm=!%6l"</f>
        <v>#REF!</v>
      </c>
      <c r="BI68" t="e">
        <f>#REF!+"$Cm=!%6m"</f>
        <v>#REF!</v>
      </c>
      <c r="BJ68" t="e">
        <f>#REF!+"$Cm=!%6n"</f>
        <v>#REF!</v>
      </c>
      <c r="BK68" t="e">
        <f>#REF!+"$Cm=!%6o"</f>
        <v>#REF!</v>
      </c>
      <c r="BL68" t="e">
        <f>#REF!+"$Cm=!%6p"</f>
        <v>#REF!</v>
      </c>
      <c r="BM68" t="e">
        <f>#REF!+"$Cm=!%6q"</f>
        <v>#REF!</v>
      </c>
      <c r="BN68" t="e">
        <f>#REF!+"$Cm=!%6r"</f>
        <v>#REF!</v>
      </c>
      <c r="BO68" t="e">
        <f>#REF!+"$Cm=!%6s"</f>
        <v>#REF!</v>
      </c>
      <c r="BP68" t="e">
        <f>#REF!+"$Cm=!%6t"</f>
        <v>#REF!</v>
      </c>
      <c r="BQ68" t="e">
        <f>#REF!+"$Cm=!%6u"</f>
        <v>#REF!</v>
      </c>
      <c r="BR68" t="e">
        <f>#REF!+"$Cm=!%6v"</f>
        <v>#REF!</v>
      </c>
      <c r="BS68" t="e">
        <f>#REF!+"$Cm=!%6w"</f>
        <v>#REF!</v>
      </c>
      <c r="BT68" t="e">
        <f>#REF!+"$Cm=!%6x"</f>
        <v>#REF!</v>
      </c>
      <c r="BU68" t="e">
        <f>#REF!+"$Cm=!%6y"</f>
        <v>#REF!</v>
      </c>
      <c r="BV68" t="e">
        <f>#REF!+"$Cm=!%6z"</f>
        <v>#REF!</v>
      </c>
      <c r="BW68" t="e">
        <f>#REF!+"$Cm=!%6{"</f>
        <v>#REF!</v>
      </c>
      <c r="BX68" t="e">
        <f>#REF!+"$Cm=!%6|"</f>
        <v>#REF!</v>
      </c>
      <c r="BY68" t="e">
        <f>#REF!+"$Cm=!%6}"</f>
        <v>#REF!</v>
      </c>
      <c r="BZ68" t="e">
        <f>#REF!+"$Cm=!%6~"</f>
        <v>#REF!</v>
      </c>
      <c r="CA68" t="e">
        <f>#REF!+"$Cm=!%7#"</f>
        <v>#REF!</v>
      </c>
      <c r="CB68" t="e">
        <f>#REF!+"$Cm=!%7$"</f>
        <v>#REF!</v>
      </c>
      <c r="CC68" t="e">
        <f>#REF!+"$Cm=!%7%"</f>
        <v>#REF!</v>
      </c>
      <c r="CD68" t="e">
        <f>#REF!+"$Cm=!%7&amp;"</f>
        <v>#REF!</v>
      </c>
      <c r="CE68" t="e">
        <f>#REF!+"$Cm=!%7'"</f>
        <v>#REF!</v>
      </c>
      <c r="CF68" t="e">
        <f>#REF!+"$Cm=!%7("</f>
        <v>#REF!</v>
      </c>
      <c r="CG68" t="e">
        <f>#REF!+"$Cm=!%7)"</f>
        <v>#REF!</v>
      </c>
      <c r="CH68" t="e">
        <f>#REF!+"$Cm=!%7."</f>
        <v>#REF!</v>
      </c>
      <c r="CI68" t="e">
        <f>#REF!+"$Cm=!%7/"</f>
        <v>#REF!</v>
      </c>
      <c r="CJ68" t="e">
        <f>#REF!+"$Cm=!%70"</f>
        <v>#REF!</v>
      </c>
      <c r="CK68" t="e">
        <f>#REF!+"$Cm=!%71"</f>
        <v>#REF!</v>
      </c>
      <c r="CL68" t="e">
        <f>#REF!+"$Cm=!%72"</f>
        <v>#REF!</v>
      </c>
      <c r="CM68" t="e">
        <f>#REF!+"$Cm=!%73"</f>
        <v>#REF!</v>
      </c>
      <c r="CN68" t="e">
        <f>#REF!+"$Cm=!%74"</f>
        <v>#REF!</v>
      </c>
      <c r="CO68" t="e">
        <f>#REF!+"$Cm=!%75"</f>
        <v>#REF!</v>
      </c>
      <c r="CP68" t="e">
        <f>#REF!+"$Cm=!%76"</f>
        <v>#REF!</v>
      </c>
      <c r="CQ68" t="e">
        <f>#REF!+"$Cm=!%77"</f>
        <v>#REF!</v>
      </c>
      <c r="CR68" t="e">
        <f>#REF!+"$Cm=!%78"</f>
        <v>#REF!</v>
      </c>
      <c r="CS68" t="e">
        <f>#REF!+"$Cm=!%79"</f>
        <v>#REF!</v>
      </c>
      <c r="CT68" t="e">
        <f>#REF!+"$Cm=!%7:"</f>
        <v>#REF!</v>
      </c>
      <c r="CU68" t="e">
        <f>#REF!+"$Cm=!%7;"</f>
        <v>#REF!</v>
      </c>
      <c r="CV68" t="e">
        <f>#REF!+"$Cm=!%7&lt;"</f>
        <v>#REF!</v>
      </c>
      <c r="CW68" t="e">
        <f>#REF!+"$Cm=!%7="</f>
        <v>#REF!</v>
      </c>
      <c r="CX68" t="e">
        <f>#REF!+"$Cm=!%7&gt;"</f>
        <v>#REF!</v>
      </c>
      <c r="CY68" t="e">
        <f>#REF!+"$Cm=!%7?"</f>
        <v>#REF!</v>
      </c>
      <c r="CZ68" t="e">
        <f>#REF!+"$Cm=!%7@"</f>
        <v>#REF!</v>
      </c>
      <c r="DA68" t="e">
        <f>#REF!+"$Cm=!%7A"</f>
        <v>#REF!</v>
      </c>
      <c r="DB68" t="e">
        <f>#REF!+"$Cm=!%7B"</f>
        <v>#REF!</v>
      </c>
      <c r="DC68" t="e">
        <f>#REF!+"$Cm=!%7C"</f>
        <v>#REF!</v>
      </c>
      <c r="DD68" t="e">
        <f>#REF!+"$Cm=!%7D"</f>
        <v>#REF!</v>
      </c>
      <c r="DE68" t="e">
        <f>#REF!+"$Cm=!%7E"</f>
        <v>#REF!</v>
      </c>
      <c r="DF68" t="e">
        <f>#REF!+"$Cm=!%7F"</f>
        <v>#REF!</v>
      </c>
      <c r="DG68" t="e">
        <f>#REF!+"$Cm=!%7G"</f>
        <v>#REF!</v>
      </c>
      <c r="DH68" t="e">
        <f>#REF!+"$Cm=!%7H"</f>
        <v>#REF!</v>
      </c>
      <c r="DI68" t="e">
        <f>#REF!+"$Cm=!%7I"</f>
        <v>#REF!</v>
      </c>
      <c r="DJ68" t="e">
        <f>#REF!+"$Cm=!%7J"</f>
        <v>#REF!</v>
      </c>
      <c r="DK68" t="e">
        <f>#REF!+"$Cm=!%7K"</f>
        <v>#REF!</v>
      </c>
      <c r="DL68" t="e">
        <f>#REF!+"$Cm=!%7L"</f>
        <v>#REF!</v>
      </c>
      <c r="DM68" t="e">
        <f>#REF!+"$Cm=!%7M"</f>
        <v>#REF!</v>
      </c>
      <c r="DN68" t="e">
        <f>#REF!+"$Cm=!%7N"</f>
        <v>#REF!</v>
      </c>
      <c r="DO68" t="e">
        <f>#REF!+"$Cm=!%7O"</f>
        <v>#REF!</v>
      </c>
      <c r="DP68" t="e">
        <f>#REF!+"$Cm=!%7P"</f>
        <v>#REF!</v>
      </c>
      <c r="DQ68" t="e">
        <f>#REF!+"$Cm=!%7Q"</f>
        <v>#REF!</v>
      </c>
      <c r="DR68" t="e">
        <f>#REF!+"$Cm=!%7R"</f>
        <v>#REF!</v>
      </c>
      <c r="DS68" t="e">
        <f>#REF!+"$Cm=!%7S"</f>
        <v>#REF!</v>
      </c>
      <c r="DT68" t="e">
        <f>#REF!+"$Cm=!%7T"</f>
        <v>#REF!</v>
      </c>
      <c r="DU68" t="e">
        <f>#REF!+"$Cm=!%7U"</f>
        <v>#REF!</v>
      </c>
      <c r="DV68" t="e">
        <f>#REF!+"$Cm=!%7V"</f>
        <v>#REF!</v>
      </c>
      <c r="DW68" t="e">
        <f>#REF!+"$Cm=!%7W"</f>
        <v>#REF!</v>
      </c>
      <c r="DX68" t="e">
        <f>#REF!+"$Cm=!%7X"</f>
        <v>#REF!</v>
      </c>
      <c r="DY68" t="e">
        <f>#REF!+"$Cm=!%7Y"</f>
        <v>#REF!</v>
      </c>
      <c r="DZ68" t="e">
        <f>#REF!+"$Cm=!%7Z"</f>
        <v>#REF!</v>
      </c>
      <c r="EA68" t="e">
        <f>#REF!+"$Cm=!%7["</f>
        <v>#REF!</v>
      </c>
      <c r="EB68" t="e">
        <f>#REF!+"$Cm=!%7\"</f>
        <v>#REF!</v>
      </c>
      <c r="EC68" t="e">
        <f>#REF!+"$Cm=!%7]"</f>
        <v>#REF!</v>
      </c>
      <c r="ED68" t="e">
        <f>#REF!+"$Cm=!%7^"</f>
        <v>#REF!</v>
      </c>
      <c r="EE68" t="e">
        <f>#REF!+"$Cm=!%7_"</f>
        <v>#REF!</v>
      </c>
      <c r="EF68" t="e">
        <f>#REF!+"$Cm=!%7`"</f>
        <v>#REF!</v>
      </c>
      <c r="EG68" t="e">
        <f>#REF!+"$Cm=!%7a"</f>
        <v>#REF!</v>
      </c>
      <c r="EH68" t="e">
        <f>#REF!+"$Cm=!%7b"</f>
        <v>#REF!</v>
      </c>
      <c r="EI68" t="e">
        <f>#REF!+"$Cm=!%7c"</f>
        <v>#REF!</v>
      </c>
      <c r="EJ68" t="e">
        <f>#REF!+"$Cm=!%7d"</f>
        <v>#REF!</v>
      </c>
      <c r="EK68" t="e">
        <f>#REF!+"$Cm=!%7e"</f>
        <v>#REF!</v>
      </c>
      <c r="EL68" t="e">
        <f>#REF!+"$Cm=!%7f"</f>
        <v>#REF!</v>
      </c>
      <c r="EM68" t="e">
        <f>#REF!+"$Cm=!%7g"</f>
        <v>#REF!</v>
      </c>
      <c r="EN68" t="e">
        <f>#REF!+"$Cm=!%7h"</f>
        <v>#REF!</v>
      </c>
      <c r="EO68" t="e">
        <f>#REF!+"$Cm=!%7i"</f>
        <v>#REF!</v>
      </c>
      <c r="EP68" t="e">
        <f>#REF!+"$Cm=!%7j"</f>
        <v>#REF!</v>
      </c>
      <c r="EQ68" t="e">
        <f>#REF!+"$Cm=!%7k"</f>
        <v>#REF!</v>
      </c>
      <c r="ER68" t="e">
        <f>#REF!+"$Cm=!%7l"</f>
        <v>#REF!</v>
      </c>
      <c r="ES68" t="e">
        <f>#REF!+"$Cm=!%7m"</f>
        <v>#REF!</v>
      </c>
      <c r="ET68" t="e">
        <f>#REF!+"$Cm=!%7n"</f>
        <v>#REF!</v>
      </c>
      <c r="EU68" t="e">
        <f>#REF!+"$Cm=!%7o"</f>
        <v>#REF!</v>
      </c>
      <c r="EV68" t="e">
        <f>#REF!+"$Cm=!%7p"</f>
        <v>#REF!</v>
      </c>
      <c r="EW68" t="e">
        <f>#REF!+"$Cm=!%7q"</f>
        <v>#REF!</v>
      </c>
      <c r="EX68" t="e">
        <f>#REF!+"$Cm=!%7r"</f>
        <v>#REF!</v>
      </c>
      <c r="EY68" t="e">
        <f>#REF!+"$Cm=!%7s"</f>
        <v>#REF!</v>
      </c>
      <c r="EZ68" t="e">
        <f>#REF!+"$Cm=!%7t"</f>
        <v>#REF!</v>
      </c>
      <c r="FA68" t="e">
        <f>#REF!+"$Cm=!%7u"</f>
        <v>#REF!</v>
      </c>
      <c r="FB68" t="e">
        <f>#REF!+"$Cm=!%7v"</f>
        <v>#REF!</v>
      </c>
      <c r="FC68" t="e">
        <f>#REF!+"$Cm=!%7w"</f>
        <v>#REF!</v>
      </c>
      <c r="FD68" t="e">
        <f>#REF!+"$Cm=!%7x"</f>
        <v>#REF!</v>
      </c>
      <c r="FE68" t="e">
        <f>#REF!+"$Cm=!%7y"</f>
        <v>#REF!</v>
      </c>
      <c r="FF68" t="e">
        <f>#REF!+"$Cm=!%7z"</f>
        <v>#REF!</v>
      </c>
      <c r="FG68" t="e">
        <f>#REF!+"$Cm=!%7{"</f>
        <v>#REF!</v>
      </c>
      <c r="FH68" t="e">
        <f>#REF!+"$Cm=!%7|"</f>
        <v>#REF!</v>
      </c>
      <c r="FI68" t="e">
        <f>#REF!+"$Cm=!%7}"</f>
        <v>#REF!</v>
      </c>
      <c r="FJ68" t="e">
        <f>#REF!+"$Cm=!%7~"</f>
        <v>#REF!</v>
      </c>
      <c r="FK68" t="e">
        <f>#REF!+"$Cm=!%8#"</f>
        <v>#REF!</v>
      </c>
      <c r="FL68" t="e">
        <f>#REF!+"$Cm=!%8$"</f>
        <v>#REF!</v>
      </c>
      <c r="FM68" t="e">
        <f>#REF!+"$Cm=!%8%"</f>
        <v>#REF!</v>
      </c>
      <c r="FN68" t="e">
        <f>#REF!+"$Cm=!%8&amp;"</f>
        <v>#REF!</v>
      </c>
      <c r="FO68" t="e">
        <f>#REF!+"$Cm=!%8'"</f>
        <v>#REF!</v>
      </c>
      <c r="FP68" t="e">
        <f>#REF!+"$Cm=!%8("</f>
        <v>#REF!</v>
      </c>
      <c r="FQ68" t="e">
        <f>#REF!+"$Cm=!%8)"</f>
        <v>#REF!</v>
      </c>
      <c r="FR68" t="e">
        <f>#REF!+"$Cm=!%8."</f>
        <v>#REF!</v>
      </c>
      <c r="FS68" t="e">
        <f>#REF!+"$Cm=!%8/"</f>
        <v>#REF!</v>
      </c>
      <c r="FT68" t="e">
        <f>#REF!+"$Cm=!%80"</f>
        <v>#REF!</v>
      </c>
      <c r="FU68" t="e">
        <f>#REF!+"$Cm=!%81"</f>
        <v>#REF!</v>
      </c>
      <c r="FV68" t="e">
        <f>#REF!+"$Cm=!%82"</f>
        <v>#REF!</v>
      </c>
      <c r="FW68" t="e">
        <f>#REF!+"$Cm=!%83"</f>
        <v>#REF!</v>
      </c>
      <c r="FX68" t="e">
        <f>#REF!+"$Cm=!%84"</f>
        <v>#REF!</v>
      </c>
      <c r="FY68" t="e">
        <f>#REF!+"$Cm=!%85"</f>
        <v>#REF!</v>
      </c>
      <c r="FZ68" t="e">
        <f>#REF!+"$Cm=!%86"</f>
        <v>#REF!</v>
      </c>
      <c r="GA68" t="e">
        <f>#REF!+"$Cm=!%87"</f>
        <v>#REF!</v>
      </c>
      <c r="GB68" t="e">
        <f>#REF!+"$Cm=!%88"</f>
        <v>#REF!</v>
      </c>
      <c r="GC68" t="e">
        <f>#REF!+"$Cm=!%89"</f>
        <v>#REF!</v>
      </c>
      <c r="GD68" t="e">
        <f>#REF!+"$Cm=!%8:"</f>
        <v>#REF!</v>
      </c>
      <c r="GE68" t="e">
        <f>#REF!+"$Cm=!%8;"</f>
        <v>#REF!</v>
      </c>
      <c r="GF68" t="e">
        <f>#REF!+"$Cm=!%8&lt;"</f>
        <v>#REF!</v>
      </c>
      <c r="GG68" t="e">
        <f>#REF!+"$Cm=!%8="</f>
        <v>#REF!</v>
      </c>
      <c r="GH68" t="e">
        <f>#REF!+"$Cm=!%8&gt;"</f>
        <v>#REF!</v>
      </c>
      <c r="GI68" t="e">
        <f>#REF!+"$Cm=!%8?"</f>
        <v>#REF!</v>
      </c>
      <c r="GJ68" t="e">
        <f>#REF!+"$Cm=!%8@"</f>
        <v>#REF!</v>
      </c>
      <c r="GK68" t="e">
        <f>#REF!+"$Cm=!%8A"</f>
        <v>#REF!</v>
      </c>
      <c r="GL68" t="e">
        <f>#REF!+"$Cm=!%8B"</f>
        <v>#REF!</v>
      </c>
      <c r="GM68" t="e">
        <f>#REF!+"$Cm=!%8C"</f>
        <v>#REF!</v>
      </c>
      <c r="GN68" t="e">
        <f>#REF!+"$Cm=!%8D"</f>
        <v>#REF!</v>
      </c>
      <c r="GO68" t="e">
        <f>#REF!+"$Cm=!%8E"</f>
        <v>#REF!</v>
      </c>
      <c r="GP68" t="e">
        <f>#REF!+"$Cm=!%8F"</f>
        <v>#REF!</v>
      </c>
      <c r="GQ68" t="e">
        <f>#REF!+"$Cm=!%8G"</f>
        <v>#REF!</v>
      </c>
      <c r="GR68" t="e">
        <f>#REF!+"$Cm=!%8H"</f>
        <v>#REF!</v>
      </c>
      <c r="GS68" t="e">
        <f>#REF!+"$Cm=!%8I"</f>
        <v>#REF!</v>
      </c>
      <c r="GT68" t="e">
        <f>#REF!+"$Cm=!%8J"</f>
        <v>#REF!</v>
      </c>
      <c r="GU68" t="e">
        <f>#REF!+"$Cm=!%8K"</f>
        <v>#REF!</v>
      </c>
      <c r="GV68" t="e">
        <f>#REF!+"$Cm=!%8L"</f>
        <v>#REF!</v>
      </c>
      <c r="GW68" t="e">
        <f>#REF!+"$Cm=!%8M"</f>
        <v>#REF!</v>
      </c>
      <c r="GX68" t="e">
        <f>#REF!+"$Cm=!%8N"</f>
        <v>#REF!</v>
      </c>
      <c r="GY68" t="e">
        <f>#REF!+"$Cm=!%8O"</f>
        <v>#REF!</v>
      </c>
      <c r="GZ68" t="e">
        <f>#REF!+"$Cm=!%8P"</f>
        <v>#REF!</v>
      </c>
      <c r="HA68" t="e">
        <f>#REF!+"$Cm=!%8Q"</f>
        <v>#REF!</v>
      </c>
      <c r="HB68" t="e">
        <f>#REF!+"$Cm=!%8R"</f>
        <v>#REF!</v>
      </c>
      <c r="HC68" t="e">
        <f>#REF!+"$Cm=!%8S"</f>
        <v>#REF!</v>
      </c>
      <c r="HD68" t="e">
        <f>#REF!+"$Cm=!%8T"</f>
        <v>#REF!</v>
      </c>
      <c r="HE68" t="e">
        <f>#REF!+"$Cm=!%8U"</f>
        <v>#REF!</v>
      </c>
      <c r="HF68" t="e">
        <f>#REF!+"$Cm=!%8V"</f>
        <v>#REF!</v>
      </c>
      <c r="HG68" t="e">
        <f>#REF!+"$Cm=!%8W"</f>
        <v>#REF!</v>
      </c>
      <c r="HH68" t="e">
        <f>#REF!+"$Cm=!%8X"</f>
        <v>#REF!</v>
      </c>
      <c r="HI68" t="e">
        <f>#REF!+"$Cm=!%8Y"</f>
        <v>#REF!</v>
      </c>
      <c r="HJ68" t="e">
        <f>#REF!+"$Cm=!%8Z"</f>
        <v>#REF!</v>
      </c>
      <c r="HK68" t="e">
        <f>#REF!+"$Cm=!%8["</f>
        <v>#REF!</v>
      </c>
      <c r="HL68" t="e">
        <f>#REF!+"$Cm=!%8\"</f>
        <v>#REF!</v>
      </c>
      <c r="HM68" t="e">
        <f>#REF!+"$Cm=!%8]"</f>
        <v>#REF!</v>
      </c>
      <c r="HN68" t="e">
        <f>#REF!+"$Cm=!%8^"</f>
        <v>#REF!</v>
      </c>
      <c r="HO68" t="e">
        <f>#REF!+"$Cm=!%8_"</f>
        <v>#REF!</v>
      </c>
      <c r="HP68" t="e">
        <f>#REF!+"$Cm=!%8`"</f>
        <v>#REF!</v>
      </c>
      <c r="HQ68" t="e">
        <f>#REF!+"$Cm=!%8a"</f>
        <v>#REF!</v>
      </c>
      <c r="HR68" t="e">
        <f>#REF!+"$Cm=!%8b"</f>
        <v>#REF!</v>
      </c>
      <c r="HS68" t="e">
        <f>#REF!+"$Cm=!%8c"</f>
        <v>#REF!</v>
      </c>
      <c r="HT68" t="e">
        <f>#REF!+"$Cm=!%8d"</f>
        <v>#REF!</v>
      </c>
      <c r="HU68" t="e">
        <f>#REF!+"$Cm=!%8e"</f>
        <v>#REF!</v>
      </c>
      <c r="HV68" t="e">
        <f>#REF!+"$Cm=!%8f"</f>
        <v>#REF!</v>
      </c>
      <c r="HW68" t="e">
        <f>#REF!+"$Cm=!%8g"</f>
        <v>#REF!</v>
      </c>
      <c r="HX68" t="e">
        <f>#REF!+"$Cm=!%8h"</f>
        <v>#REF!</v>
      </c>
      <c r="HY68" t="e">
        <f>#REF!+"$Cm=!%8i"</f>
        <v>#REF!</v>
      </c>
      <c r="HZ68" t="e">
        <f>#REF!+"$Cm=!%8j"</f>
        <v>#REF!</v>
      </c>
      <c r="IA68" t="e">
        <f>#REF!+"$Cm=!%8k"</f>
        <v>#REF!</v>
      </c>
      <c r="IB68" t="e">
        <f>#REF!+"$Cm=!%8l"</f>
        <v>#REF!</v>
      </c>
      <c r="IC68" t="e">
        <f>#REF!+"$Cm=!%8m"</f>
        <v>#REF!</v>
      </c>
      <c r="ID68" t="e">
        <f>#REF!+"$Cm=!%8n"</f>
        <v>#REF!</v>
      </c>
      <c r="IE68" t="e">
        <f>#REF!+"$Cm=!%8o"</f>
        <v>#REF!</v>
      </c>
      <c r="IF68" t="e">
        <f>#REF!+"$Cm=!%8p"</f>
        <v>#REF!</v>
      </c>
      <c r="IG68" t="e">
        <f>#REF!+"$Cm=!%8q"</f>
        <v>#REF!</v>
      </c>
      <c r="IH68" t="e">
        <f>#REF!+"$Cm=!%8r"</f>
        <v>#REF!</v>
      </c>
      <c r="II68" t="e">
        <f>#REF!+"$Cm=!%8s"</f>
        <v>#REF!</v>
      </c>
      <c r="IJ68" t="e">
        <f>#REF!+"$Cm=!%8t"</f>
        <v>#REF!</v>
      </c>
      <c r="IK68" t="e">
        <f>#REF!+"$Cm=!%8u"</f>
        <v>#REF!</v>
      </c>
      <c r="IL68" t="e">
        <f>#REF!+"$Cm=!%8v"</f>
        <v>#REF!</v>
      </c>
      <c r="IM68" t="e">
        <f>#REF!+"$Cm=!%8w"</f>
        <v>#REF!</v>
      </c>
      <c r="IN68" t="e">
        <f>#REF!+"$Cm=!%8x"</f>
        <v>#REF!</v>
      </c>
      <c r="IO68" t="e">
        <f>#REF!+"$Cm=!%8y"</f>
        <v>#REF!</v>
      </c>
      <c r="IP68" t="e">
        <f>#REF!+"$Cm=!%8z"</f>
        <v>#REF!</v>
      </c>
      <c r="IQ68" t="e">
        <f>#REF!+"$Cm=!%8{"</f>
        <v>#REF!</v>
      </c>
      <c r="IR68" t="e">
        <f>#REF!+"$Cm=!%8|"</f>
        <v>#REF!</v>
      </c>
      <c r="IS68" t="e">
        <f>#REF!+"$Cm=!%8}"</f>
        <v>#REF!</v>
      </c>
      <c r="IT68" t="e">
        <f>#REF!+"$Cm=!%8~"</f>
        <v>#REF!</v>
      </c>
      <c r="IU68" t="e">
        <f>#REF!+"$Cm=!%9#"</f>
        <v>#REF!</v>
      </c>
      <c r="IV68" t="e">
        <f>#REF!+"$Cm=!%9$"</f>
        <v>#REF!</v>
      </c>
    </row>
    <row r="69" spans="6:256">
      <c r="F69" t="e">
        <f>#REF!+"$Cm=!%9%"</f>
        <v>#REF!</v>
      </c>
      <c r="G69" t="e">
        <f>#REF!+"$Cm=!%9&amp;"</f>
        <v>#REF!</v>
      </c>
      <c r="H69" t="e">
        <f>#REF!+"$Cm=!%9'"</f>
        <v>#REF!</v>
      </c>
      <c r="I69" t="e">
        <f>#REF!+"$Cm=!%9("</f>
        <v>#REF!</v>
      </c>
      <c r="J69" t="e">
        <f>#REF!+"$Cm=!%9)"</f>
        <v>#REF!</v>
      </c>
      <c r="K69" t="e">
        <f>#REF!+"$Cm=!%9."</f>
        <v>#REF!</v>
      </c>
      <c r="L69" t="e">
        <f>#REF!+"$Cm=!%9/"</f>
        <v>#REF!</v>
      </c>
      <c r="M69" t="e">
        <f>#REF!+"$Cm=!%90"</f>
        <v>#REF!</v>
      </c>
      <c r="N69" t="e">
        <f>#REF!+"$Cm=!%91"</f>
        <v>#REF!</v>
      </c>
      <c r="O69" t="e">
        <f>#REF!+"$Cm=!%92"</f>
        <v>#REF!</v>
      </c>
      <c r="P69" t="e">
        <f>#REF!+"$Cm=!%93"</f>
        <v>#REF!</v>
      </c>
      <c r="Q69" t="e">
        <f>#REF!+"$Cm=!%94"</f>
        <v>#REF!</v>
      </c>
      <c r="R69" t="e">
        <f>#REF!+"$Cm=!%95"</f>
        <v>#REF!</v>
      </c>
      <c r="S69" t="e">
        <f>#REF!+"$Cm=!%96"</f>
        <v>#REF!</v>
      </c>
      <c r="T69" t="e">
        <f>#REF!+"$Cm=!%97"</f>
        <v>#REF!</v>
      </c>
      <c r="U69" t="e">
        <f>#REF!+"$Cm=!%98"</f>
        <v>#REF!</v>
      </c>
      <c r="V69" t="e">
        <f>#REF!+"$Cm=!%99"</f>
        <v>#REF!</v>
      </c>
      <c r="W69" t="e">
        <f>#REF!+"$Cm=!%9:"</f>
        <v>#REF!</v>
      </c>
      <c r="X69" t="e">
        <f>#REF!+"$Cm=!%9;"</f>
        <v>#REF!</v>
      </c>
      <c r="Y69" t="e">
        <f>#REF!+"$Cm=!%9&lt;"</f>
        <v>#REF!</v>
      </c>
      <c r="Z69" t="e">
        <f>#REF!+"$Cm=!%9="</f>
        <v>#REF!</v>
      </c>
      <c r="AA69" t="e">
        <f>#REF!+"$Cm=!%9&gt;"</f>
        <v>#REF!</v>
      </c>
      <c r="AB69" t="e">
        <f>#REF!+"$Cm=!%9?"</f>
        <v>#REF!</v>
      </c>
      <c r="AC69" t="e">
        <f>#REF!+"$Cm=!%9@"</f>
        <v>#REF!</v>
      </c>
      <c r="AD69" t="e">
        <f>#REF!+"$Cm=!%9A"</f>
        <v>#REF!</v>
      </c>
      <c r="AE69" t="e">
        <f>#REF!+"$Cm=!%9B"</f>
        <v>#REF!</v>
      </c>
      <c r="AF69" t="e">
        <f>#REF!+"$Cm=!%9C"</f>
        <v>#REF!</v>
      </c>
      <c r="AG69" t="e">
        <f>#REF!+"$Cm=!%9D"</f>
        <v>#REF!</v>
      </c>
      <c r="AH69" t="e">
        <f>#REF!+"$Cm=!%9E"</f>
        <v>#REF!</v>
      </c>
      <c r="AI69" t="e">
        <f>#REF!+"$Cm=!%9F"</f>
        <v>#REF!</v>
      </c>
      <c r="AJ69" t="e">
        <f>#REF!+"$Cm=!%9G"</f>
        <v>#REF!</v>
      </c>
      <c r="AK69" t="e">
        <f>#REF!+"$Cm=!%9H"</f>
        <v>#REF!</v>
      </c>
      <c r="AL69" t="e">
        <f>#REF!+"$Cm=!%9I"</f>
        <v>#REF!</v>
      </c>
      <c r="AM69" t="e">
        <f>#REF!+"$Cm=!%9J"</f>
        <v>#REF!</v>
      </c>
      <c r="AN69" t="e">
        <f>#REF!+"$Cm=!%9K"</f>
        <v>#REF!</v>
      </c>
      <c r="AO69" t="e">
        <f>#REF!+"$Cm=!%9L"</f>
        <v>#REF!</v>
      </c>
      <c r="AP69" t="e">
        <f>#REF!+"$Cm=!%9M"</f>
        <v>#REF!</v>
      </c>
      <c r="AQ69" t="e">
        <f>#REF!+"$Cm=!%9N"</f>
        <v>#REF!</v>
      </c>
      <c r="AR69" t="e">
        <f>#REF!+"$Cm=!%9O"</f>
        <v>#REF!</v>
      </c>
      <c r="AS69" t="e">
        <f>#REF!+"$Cm=!%9P"</f>
        <v>#REF!</v>
      </c>
      <c r="AT69" t="e">
        <f>#REF!+"$Cm=!%9Q"</f>
        <v>#REF!</v>
      </c>
      <c r="AU69" t="e">
        <f>#REF!+"$Cm=!%9R"</f>
        <v>#REF!</v>
      </c>
      <c r="AV69" t="e">
        <f>#REF!+"$Cm=!%9S"</f>
        <v>#REF!</v>
      </c>
      <c r="AW69" t="e">
        <f>#REF!+"$Cm=!%9T"</f>
        <v>#REF!</v>
      </c>
      <c r="AX69" t="e">
        <f>#REF!+"$Cm=!%9U"</f>
        <v>#REF!</v>
      </c>
      <c r="AY69" t="e">
        <f>#REF!+"$Cm=!%9V"</f>
        <v>#REF!</v>
      </c>
      <c r="AZ69" t="e">
        <f>#REF!+"$Cm=!%9W"</f>
        <v>#REF!</v>
      </c>
      <c r="BA69" t="e">
        <f>#REF!+"$Cm=!%9X"</f>
        <v>#REF!</v>
      </c>
      <c r="BB69" t="e">
        <f>#REF!+"$Cm=!%9Y"</f>
        <v>#REF!</v>
      </c>
      <c r="BC69" t="e">
        <f>#REF!+"$Cm=!%9Z"</f>
        <v>#REF!</v>
      </c>
      <c r="BD69" t="e">
        <f>#REF!+"$Cm=!%9["</f>
        <v>#REF!</v>
      </c>
      <c r="BE69" t="e">
        <f>#REF!+"$Cm=!%9\"</f>
        <v>#REF!</v>
      </c>
      <c r="BF69" t="e">
        <f>#REF!+"$Cm=!%9]"</f>
        <v>#REF!</v>
      </c>
      <c r="BG69" t="e">
        <f>#REF!+"$Cm=!%9^"</f>
        <v>#REF!</v>
      </c>
      <c r="BH69" t="e">
        <f>#REF!+"$Cm=!%9_"</f>
        <v>#REF!</v>
      </c>
      <c r="BI69" t="e">
        <f>#REF!+"$Cm=!%9`"</f>
        <v>#REF!</v>
      </c>
      <c r="BJ69" t="e">
        <f>#REF!+"$Cm=!%9a"</f>
        <v>#REF!</v>
      </c>
      <c r="BK69" t="e">
        <f>#REF!+"$Cm=!%9b"</f>
        <v>#REF!</v>
      </c>
      <c r="BL69" t="e">
        <f>#REF!+"$Cm=!%9c"</f>
        <v>#REF!</v>
      </c>
      <c r="BM69" t="e">
        <f>#REF!+"$Cm=!%9d"</f>
        <v>#REF!</v>
      </c>
      <c r="BN69" t="e">
        <f>#REF!+"$Cm=!%9e"</f>
        <v>#REF!</v>
      </c>
      <c r="BO69" t="e">
        <f>#REF!+"$Cm=!%9f"</f>
        <v>#REF!</v>
      </c>
      <c r="BP69" t="e">
        <f>#REF!+"$Cm=!%9g"</f>
        <v>#REF!</v>
      </c>
      <c r="BQ69" t="e">
        <f>#REF!+"$Cm=!%9h"</f>
        <v>#REF!</v>
      </c>
      <c r="BR69" t="e">
        <f>#REF!+"$Cm=!%9i"</f>
        <v>#REF!</v>
      </c>
      <c r="BS69" t="e">
        <f>#REF!+"$Cm=!%9j"</f>
        <v>#REF!</v>
      </c>
      <c r="BT69" t="e">
        <f>#REF!+"$Cm=!%9k"</f>
        <v>#REF!</v>
      </c>
      <c r="BU69" t="e">
        <f>#REF!+"$Cm=!%9l"</f>
        <v>#REF!</v>
      </c>
      <c r="BV69" t="e">
        <f>#REF!+"$Cm=!%9m"</f>
        <v>#REF!</v>
      </c>
      <c r="BW69" t="e">
        <f>#REF!+"$Cm=!%9n"</f>
        <v>#REF!</v>
      </c>
      <c r="BX69" t="e">
        <f>#REF!+"$Cm=!%9o"</f>
        <v>#REF!</v>
      </c>
      <c r="BY69" t="e">
        <f>#REF!+"$Cm=!%9p"</f>
        <v>#REF!</v>
      </c>
      <c r="BZ69" t="e">
        <f>#REF!+"$Cm=!%9q"</f>
        <v>#REF!</v>
      </c>
      <c r="CA69" t="e">
        <f>#REF!+"$Cm=!%9r"</f>
        <v>#REF!</v>
      </c>
      <c r="CB69" t="e">
        <f>#REF!+"$Cm=!%9s"</f>
        <v>#REF!</v>
      </c>
      <c r="CC69" t="e">
        <f>#REF!+"$Cm=!%9t"</f>
        <v>#REF!</v>
      </c>
      <c r="CD69" t="e">
        <f>#REF!+"$Cm=!%9u"</f>
        <v>#REF!</v>
      </c>
      <c r="CE69" t="e">
        <f>#REF!+"$Cm=!%9v"</f>
        <v>#REF!</v>
      </c>
      <c r="CF69" t="e">
        <f>#REF!+"$Cm=!%9w"</f>
        <v>#REF!</v>
      </c>
      <c r="CG69" t="e">
        <f>#REF!+"$Cm=!%9x"</f>
        <v>#REF!</v>
      </c>
      <c r="CH69" t="e">
        <f>#REF!+"$Cm=!%9y"</f>
        <v>#REF!</v>
      </c>
      <c r="CI69" t="e">
        <f>#REF!+"$Cm=!%9z"</f>
        <v>#REF!</v>
      </c>
      <c r="CJ69" t="e">
        <f>#REF!+"$Cm=!%9{"</f>
        <v>#REF!</v>
      </c>
      <c r="CK69" t="e">
        <f>#REF!+"$Cm=!%9|"</f>
        <v>#REF!</v>
      </c>
      <c r="CL69" t="e">
        <f>#REF!+"$Cm=!%9}"</f>
        <v>#REF!</v>
      </c>
      <c r="CM69" t="e">
        <f>#REF!+"$Cm=!%9~"</f>
        <v>#REF!</v>
      </c>
      <c r="CN69" t="e">
        <f>#REF!+"$Cm=!%:#"</f>
        <v>#REF!</v>
      </c>
      <c r="CO69" t="e">
        <f>#REF!+"$Cm=!%:$"</f>
        <v>#REF!</v>
      </c>
      <c r="CP69" t="e">
        <f>#REF!+"$Cm=!%:%"</f>
        <v>#REF!</v>
      </c>
      <c r="CQ69" t="e">
        <f>#REF!+"$Cm=!%:&amp;"</f>
        <v>#REF!</v>
      </c>
      <c r="CR69" t="e">
        <f>#REF!+"$Cm=!%:'"</f>
        <v>#REF!</v>
      </c>
      <c r="CS69" t="e">
        <f>#REF!+"$Cm=!%:("</f>
        <v>#REF!</v>
      </c>
      <c r="CT69" t="e">
        <f>#REF!+"$Cm=!%:)"</f>
        <v>#REF!</v>
      </c>
      <c r="CU69" t="e">
        <f>#REF!+"$Cm=!%:."</f>
        <v>#REF!</v>
      </c>
      <c r="CV69" t="e">
        <f>#REF!+"$Cm=!%:/"</f>
        <v>#REF!</v>
      </c>
      <c r="CW69" t="e">
        <f>#REF!+"$Cm=!%:0"</f>
        <v>#REF!</v>
      </c>
      <c r="CX69" t="e">
        <f>#REF!+"$Cm=!%:1"</f>
        <v>#REF!</v>
      </c>
      <c r="CY69" t="e">
        <f>#REF!+"$Cm=!%:2"</f>
        <v>#REF!</v>
      </c>
      <c r="CZ69" t="e">
        <f>#REF!+"$Cm=!%:3"</f>
        <v>#REF!</v>
      </c>
      <c r="DA69" t="e">
        <f>#REF!+"$Cm=!%:4"</f>
        <v>#REF!</v>
      </c>
      <c r="DB69" t="e">
        <f>#REF!+"$Cm=!%:5"</f>
        <v>#REF!</v>
      </c>
      <c r="DC69" t="e">
        <f>#REF!+"$Cm=!%:6"</f>
        <v>#REF!</v>
      </c>
      <c r="DD69" t="e">
        <f>#REF!+"$Cm=!%:7"</f>
        <v>#REF!</v>
      </c>
      <c r="DE69" t="e">
        <f>#REF!+"$Cm=!%:8"</f>
        <v>#REF!</v>
      </c>
      <c r="DF69" t="e">
        <f>#REF!+"$Cm=!%:9"</f>
        <v>#REF!</v>
      </c>
      <c r="DG69" t="e">
        <f>#REF!+"$Cm=!%::"</f>
        <v>#REF!</v>
      </c>
      <c r="DH69" t="e">
        <f>#REF!+"$Cm=!%:;"</f>
        <v>#REF!</v>
      </c>
      <c r="DI69" t="e">
        <f>#REF!+"$Cm=!%:&lt;"</f>
        <v>#REF!</v>
      </c>
      <c r="DJ69" t="e">
        <f>#REF!+"$Cm=!%:="</f>
        <v>#REF!</v>
      </c>
      <c r="DK69" t="e">
        <f>#REF!+"$Cm=!%:&gt;"</f>
        <v>#REF!</v>
      </c>
      <c r="DL69" t="e">
        <f>#REF!+"$Cm=!%:?"</f>
        <v>#REF!</v>
      </c>
      <c r="DM69" t="e">
        <f>#REF!+"$Cm=!%:@"</f>
        <v>#REF!</v>
      </c>
      <c r="DN69" t="e">
        <f>#REF!+"$Cm=!%:A"</f>
        <v>#REF!</v>
      </c>
      <c r="DO69" t="e">
        <f>#REF!+"$Cm=!%:B"</f>
        <v>#REF!</v>
      </c>
      <c r="DP69" t="e">
        <f>#REF!+"$Cm=!%:C"</f>
        <v>#REF!</v>
      </c>
      <c r="DQ69" t="e">
        <f>#REF!+"$Cm=!%:D"</f>
        <v>#REF!</v>
      </c>
      <c r="DR69" t="e">
        <f>#REF!+"$Cm=!%:E"</f>
        <v>#REF!</v>
      </c>
      <c r="DS69" t="e">
        <f>#REF!+"$Cm=!%:F"</f>
        <v>#REF!</v>
      </c>
      <c r="DT69" t="e">
        <f>#REF!+"$Cm=!%:G"</f>
        <v>#REF!</v>
      </c>
      <c r="DU69" t="e">
        <f>#REF!+"$Cm=!%:H"</f>
        <v>#REF!</v>
      </c>
      <c r="DV69" t="e">
        <f>#REF!+"$Cm=!%:I"</f>
        <v>#REF!</v>
      </c>
      <c r="DW69" t="e">
        <f>#REF!+"$Cm=!%:J"</f>
        <v>#REF!</v>
      </c>
      <c r="DX69" t="e">
        <f>#REF!+"$Cm=!%:K"</f>
        <v>#REF!</v>
      </c>
      <c r="DY69" t="e">
        <f>#REF!+"$Cm=!%:L"</f>
        <v>#REF!</v>
      </c>
      <c r="DZ69" t="e">
        <f>#REF!+"$Cm=!%:M"</f>
        <v>#REF!</v>
      </c>
      <c r="EA69" t="e">
        <f>#REF!+"$Cm=!%:N"</f>
        <v>#REF!</v>
      </c>
      <c r="EB69" t="e">
        <f>#REF!+"$Cm=!%:O"</f>
        <v>#REF!</v>
      </c>
      <c r="EC69" t="e">
        <f>#REF!+"$Cm=!%:P"</f>
        <v>#REF!</v>
      </c>
      <c r="ED69" t="e">
        <f>#REF!+"$Cm=!%:Q"</f>
        <v>#REF!</v>
      </c>
      <c r="EE69" t="e">
        <f>#REF!+"$Cm=!%:R"</f>
        <v>#REF!</v>
      </c>
      <c r="EF69" t="e">
        <f>#REF!+"$Cm=!%:S"</f>
        <v>#REF!</v>
      </c>
      <c r="EG69" t="e">
        <f>#REF!+"$Cm=!%:T"</f>
        <v>#REF!</v>
      </c>
      <c r="EH69" t="e">
        <f>#REF!+"$Cm=!%:U"</f>
        <v>#REF!</v>
      </c>
      <c r="EI69" t="e">
        <f>#REF!+"$Cm=!%:V"</f>
        <v>#REF!</v>
      </c>
      <c r="EJ69" t="e">
        <f>#REF!+"$Cm=!%:W"</f>
        <v>#REF!</v>
      </c>
      <c r="EK69" t="e">
        <f>#REF!+"$Cm=!%:X"</f>
        <v>#REF!</v>
      </c>
      <c r="EL69" t="e">
        <f>#REF!+"$Cm=!%:Y"</f>
        <v>#REF!</v>
      </c>
      <c r="EM69" t="e">
        <f>#REF!+"$Cm=!%:Z"</f>
        <v>#REF!</v>
      </c>
      <c r="EN69" t="e">
        <f>#REF!+"$Cm=!%:["</f>
        <v>#REF!</v>
      </c>
      <c r="EO69" t="e">
        <f>#REF!+"$Cm=!%:\"</f>
        <v>#REF!</v>
      </c>
      <c r="EP69" t="e">
        <f>#REF!+"$Cm=!%:]"</f>
        <v>#REF!</v>
      </c>
      <c r="EQ69" t="e">
        <f>#REF!+"$Cm=!%:^"</f>
        <v>#REF!</v>
      </c>
      <c r="ER69" t="e">
        <f>#REF!+"$Cm=!%:_"</f>
        <v>#REF!</v>
      </c>
      <c r="ES69" t="e">
        <f>#REF!+"$Cm=!%:`"</f>
        <v>#REF!</v>
      </c>
      <c r="ET69" t="e">
        <f>#REF!+"$Cm=!%:a"</f>
        <v>#REF!</v>
      </c>
      <c r="EU69" t="e">
        <f>#REF!+"$Cm=!%:b"</f>
        <v>#REF!</v>
      </c>
      <c r="EV69" t="e">
        <f>#REF!+"$Cm=!%:c"</f>
        <v>#REF!</v>
      </c>
      <c r="EW69" t="e">
        <f>#REF!+"$Cm=!%:d"</f>
        <v>#REF!</v>
      </c>
      <c r="EX69" t="e">
        <f>#REF!+"$Cm=!%:e"</f>
        <v>#REF!</v>
      </c>
      <c r="EY69" t="e">
        <f>#REF!+"$Cm=!%:f"</f>
        <v>#REF!</v>
      </c>
      <c r="EZ69" t="e">
        <f>#REF!+"$Cm=!%:g"</f>
        <v>#REF!</v>
      </c>
      <c r="FA69" t="e">
        <f>#REF!+"$Cm=!%:h"</f>
        <v>#REF!</v>
      </c>
      <c r="FB69" t="e">
        <f>#REF!+"$Cm=!%:i"</f>
        <v>#REF!</v>
      </c>
      <c r="FC69" t="e">
        <f>#REF!+"$Cm=!%:j"</f>
        <v>#REF!</v>
      </c>
      <c r="FD69" t="e">
        <f>#REF!+"$Cm=!%:k"</f>
        <v>#REF!</v>
      </c>
      <c r="FE69" t="e">
        <f>#REF!+"$Cm=!%:l"</f>
        <v>#REF!</v>
      </c>
      <c r="FF69" t="e">
        <f>#REF!+"$Cm=!%:m"</f>
        <v>#REF!</v>
      </c>
      <c r="FG69" t="e">
        <f>#REF!+"$Cm=!%:n"</f>
        <v>#REF!</v>
      </c>
      <c r="FH69" t="e">
        <f>#REF!+"$Cm=!%:o"</f>
        <v>#REF!</v>
      </c>
      <c r="FI69" t="e">
        <f>#REF!+"$Cm=!%:p"</f>
        <v>#REF!</v>
      </c>
      <c r="FJ69" t="e">
        <f>#REF!+"$Cm=!%:q"</f>
        <v>#REF!</v>
      </c>
      <c r="FK69" t="e">
        <f>#REF!+"$Cm=!%:r"</f>
        <v>#REF!</v>
      </c>
      <c r="FL69" t="e">
        <f>#REF!+"$Cm=!%:s"</f>
        <v>#REF!</v>
      </c>
      <c r="FM69" t="e">
        <f>#REF!+"$Cm=!%:t"</f>
        <v>#REF!</v>
      </c>
      <c r="FN69" t="e">
        <f>#REF!+"$Cm=!%:u"</f>
        <v>#REF!</v>
      </c>
      <c r="FO69" t="e">
        <f>#REF!+"$Cm=!%:v"</f>
        <v>#REF!</v>
      </c>
      <c r="FP69" t="e">
        <f>#REF!+"$Cm=!%:w"</f>
        <v>#REF!</v>
      </c>
      <c r="FQ69" t="e">
        <f>#REF!+"$Cm=!%:x"</f>
        <v>#REF!</v>
      </c>
      <c r="FR69" t="e">
        <f>#REF!+"$Cm=!%:y"</f>
        <v>#REF!</v>
      </c>
      <c r="FS69" t="e">
        <f>#REF!+"$Cm=!%:z"</f>
        <v>#REF!</v>
      </c>
      <c r="FT69" t="e">
        <f>#REF!+"$Cm=!%:{"</f>
        <v>#REF!</v>
      </c>
      <c r="FU69" t="e">
        <f>#REF!+"$Cm=!%:|"</f>
        <v>#REF!</v>
      </c>
      <c r="FV69" t="e">
        <f>#REF!+"$Cm=!%:}"</f>
        <v>#REF!</v>
      </c>
      <c r="FW69" t="e">
        <f>#REF!+"$Cm=!%:~"</f>
        <v>#REF!</v>
      </c>
      <c r="FX69" t="e">
        <f>#REF!+"$Cm=!%;#"</f>
        <v>#REF!</v>
      </c>
      <c r="FY69" t="e">
        <f>#REF!+"$Cm=!%;$"</f>
        <v>#REF!</v>
      </c>
      <c r="FZ69" t="e">
        <f>#REF!+"$Cm=!%;%"</f>
        <v>#REF!</v>
      </c>
      <c r="GA69" t="e">
        <f>#REF!+"$Cm=!%;&amp;"</f>
        <v>#REF!</v>
      </c>
      <c r="GB69" t="e">
        <f>#REF!+"$Cm=!%;'"</f>
        <v>#REF!</v>
      </c>
      <c r="GC69" t="e">
        <f>#REF!+"$Cm=!%;("</f>
        <v>#REF!</v>
      </c>
      <c r="GD69" t="e">
        <f>#REF!+"$Cm=!%;)"</f>
        <v>#REF!</v>
      </c>
      <c r="GE69" t="e">
        <f>#REF!+"$Cm=!%;."</f>
        <v>#REF!</v>
      </c>
      <c r="GF69" t="e">
        <f>#REF!+"$Cm=!%;/"</f>
        <v>#REF!</v>
      </c>
      <c r="GG69" t="e">
        <f>#REF!+"$Cm=!%;0"</f>
        <v>#REF!</v>
      </c>
      <c r="GH69" t="e">
        <f>#REF!+"$Cm=!%;1"</f>
        <v>#REF!</v>
      </c>
      <c r="GI69" t="e">
        <f>#REF!+"$Cm=!%;2"</f>
        <v>#REF!</v>
      </c>
      <c r="GJ69" t="e">
        <f>#REF!+"$Cm=!%;3"</f>
        <v>#REF!</v>
      </c>
      <c r="GK69" t="e">
        <f>#REF!+"$Cm=!%;4"</f>
        <v>#REF!</v>
      </c>
      <c r="GL69" t="e">
        <f>#REF!+"$Cm=!%;5"</f>
        <v>#REF!</v>
      </c>
      <c r="GM69" t="e">
        <f>#REF!+"$Cm=!%;6"</f>
        <v>#REF!</v>
      </c>
      <c r="GN69" t="e">
        <f>#REF!+"$Cm=!%;7"</f>
        <v>#REF!</v>
      </c>
      <c r="GO69" t="e">
        <f>#REF!+"$Cm=!%;8"</f>
        <v>#REF!</v>
      </c>
      <c r="GP69" t="e">
        <f>#REF!+"$Cm=!%;9"</f>
        <v>#REF!</v>
      </c>
      <c r="GQ69" t="e">
        <f>#REF!+"$Cm=!%;:"</f>
        <v>#REF!</v>
      </c>
      <c r="GR69" t="e">
        <f>#REF!+"$Cm=!%;;"</f>
        <v>#REF!</v>
      </c>
      <c r="GS69" t="e">
        <f>#REF!+"$Cm=!%;&lt;"</f>
        <v>#REF!</v>
      </c>
      <c r="GT69" t="e">
        <f>#REF!+"$Cm=!%;="</f>
        <v>#REF!</v>
      </c>
      <c r="GU69" t="e">
        <f>#REF!+"$Cm=!%;&gt;"</f>
        <v>#REF!</v>
      </c>
      <c r="GV69" t="e">
        <f>#REF!+"$Cm=!%;?"</f>
        <v>#REF!</v>
      </c>
      <c r="GW69" t="e">
        <f>#REF!+"$Cm=!%;@"</f>
        <v>#REF!</v>
      </c>
      <c r="GX69" t="e">
        <f>#REF!+"$Cm=!%;A"</f>
        <v>#REF!</v>
      </c>
      <c r="GY69" t="e">
        <f>#REF!+"$Cm=!%;B"</f>
        <v>#REF!</v>
      </c>
      <c r="GZ69" t="e">
        <f>#REF!+"$Cm=!%;C"</f>
        <v>#REF!</v>
      </c>
      <c r="HA69" t="e">
        <f>#REF!+"$Cm=!%;D"</f>
        <v>#REF!</v>
      </c>
      <c r="HB69" t="e">
        <f>#REF!+"$Cm=!%;E"</f>
        <v>#REF!</v>
      </c>
      <c r="HC69" t="e">
        <f>#REF!+"$Cm=!%;F"</f>
        <v>#REF!</v>
      </c>
      <c r="HD69" t="e">
        <f>#REF!+"$Cm=!%;G"</f>
        <v>#REF!</v>
      </c>
      <c r="HE69" t="e">
        <f>#REF!+"$Cm=!%;H"</f>
        <v>#REF!</v>
      </c>
      <c r="HF69" t="e">
        <f>#REF!+"$Cm=!%;I"</f>
        <v>#REF!</v>
      </c>
      <c r="HG69" t="e">
        <f>#REF!+"$Cm=!%;J"</f>
        <v>#REF!</v>
      </c>
      <c r="HH69" t="e">
        <f>#REF!+"$Cm=!%;K"</f>
        <v>#REF!</v>
      </c>
      <c r="HI69" t="e">
        <f>#REF!+"$Cm=!%;L"</f>
        <v>#REF!</v>
      </c>
      <c r="HJ69" t="e">
        <f>#REF!+"$Cm=!%;M"</f>
        <v>#REF!</v>
      </c>
      <c r="HK69" t="e">
        <f>#REF!+"$Cm=!%;N"</f>
        <v>#REF!</v>
      </c>
      <c r="HL69" t="e">
        <f>#REF!+"$Cm=!%;O"</f>
        <v>#REF!</v>
      </c>
      <c r="HM69" t="e">
        <f>#REF!+"$Cm=!%;P"</f>
        <v>#REF!</v>
      </c>
      <c r="HN69" t="e">
        <f>#REF!+"$Cm=!%;Q"</f>
        <v>#REF!</v>
      </c>
      <c r="HO69" t="e">
        <f>#REF!+"$Cm=!%;R"</f>
        <v>#REF!</v>
      </c>
      <c r="HP69" t="e">
        <f>#REF!+"$Cm=!%;S"</f>
        <v>#REF!</v>
      </c>
      <c r="HQ69" t="e">
        <f>#REF!+"$Cm=!%;T"</f>
        <v>#REF!</v>
      </c>
      <c r="HR69" t="e">
        <f>#REF!+"$Cm=!%;U"</f>
        <v>#REF!</v>
      </c>
      <c r="HS69" t="e">
        <f>#REF!+"$Cm=!%;V"</f>
        <v>#REF!</v>
      </c>
      <c r="HT69" t="e">
        <f>#REF!+"$Cm=!%;W"</f>
        <v>#REF!</v>
      </c>
      <c r="HU69" t="e">
        <f>#REF!+"$Cm=!%;X"</f>
        <v>#REF!</v>
      </c>
      <c r="HV69" t="e">
        <f>#REF!+"$Cm=!%;Y"</f>
        <v>#REF!</v>
      </c>
      <c r="HW69" t="e">
        <f>#REF!+"$Cm=!%;Z"</f>
        <v>#REF!</v>
      </c>
      <c r="HX69" t="e">
        <f>#REF!+"$Cm=!%;["</f>
        <v>#REF!</v>
      </c>
      <c r="HY69" t="e">
        <f>#REF!+"$Cm=!%;\"</f>
        <v>#REF!</v>
      </c>
      <c r="HZ69" t="e">
        <f>#REF!+"$Cm=!%;]"</f>
        <v>#REF!</v>
      </c>
      <c r="IA69" t="e">
        <f>#REF!+"$Cm=!%;^"</f>
        <v>#REF!</v>
      </c>
      <c r="IB69" t="e">
        <f>#REF!+"$Cm=!%;_"</f>
        <v>#REF!</v>
      </c>
      <c r="IC69" t="e">
        <f>#REF!+"$Cm=!%;`"</f>
        <v>#REF!</v>
      </c>
      <c r="ID69" t="e">
        <f>#REF!+"$Cm=!%;a"</f>
        <v>#REF!</v>
      </c>
      <c r="IE69" t="e">
        <f>#REF!+"$Cm=!%;b"</f>
        <v>#REF!</v>
      </c>
      <c r="IF69" t="e">
        <f>#REF!+"$Cm=!%;c"</f>
        <v>#REF!</v>
      </c>
      <c r="IG69" t="e">
        <f>#REF!+"$Cm=!%;d"</f>
        <v>#REF!</v>
      </c>
      <c r="IH69" t="e">
        <f>#REF!+"$Cm=!%;e"</f>
        <v>#REF!</v>
      </c>
      <c r="II69" t="e">
        <f>#REF!+"$Cm=!%;f"</f>
        <v>#REF!</v>
      </c>
      <c r="IJ69" t="e">
        <f>#REF!+"$Cm=!%;g"</f>
        <v>#REF!</v>
      </c>
      <c r="IK69" t="e">
        <f>#REF!+"$Cm=!%;h"</f>
        <v>#REF!</v>
      </c>
      <c r="IL69" t="e">
        <f>#REF!+"$Cm=!%;i"</f>
        <v>#REF!</v>
      </c>
      <c r="IM69" t="e">
        <f>#REF!+"$Cm=!%;j"</f>
        <v>#REF!</v>
      </c>
      <c r="IN69" t="e">
        <f>#REF!+"$Cm=!%;k"</f>
        <v>#REF!</v>
      </c>
      <c r="IO69" t="e">
        <f>#REF!+"$Cm=!%;l"</f>
        <v>#REF!</v>
      </c>
      <c r="IP69" t="e">
        <f>#REF!+"$Cm=!%;m"</f>
        <v>#REF!</v>
      </c>
      <c r="IQ69" t="e">
        <f>#REF!+"$Cm=!%;n"</f>
        <v>#REF!</v>
      </c>
      <c r="IR69" t="e">
        <f>#REF!+"$Cm=!%;o"</f>
        <v>#REF!</v>
      </c>
      <c r="IS69" t="e">
        <f>#REF!+"$Cm=!%;p"</f>
        <v>#REF!</v>
      </c>
      <c r="IT69" t="e">
        <f>#REF!+"$Cm=!%;q"</f>
        <v>#REF!</v>
      </c>
      <c r="IU69" t="e">
        <f>#REF!+"$Cm=!%;r"</f>
        <v>#REF!</v>
      </c>
      <c r="IV69" t="e">
        <f>#REF!+"$Cm=!%;s"</f>
        <v>#REF!</v>
      </c>
    </row>
    <row r="70" spans="6:256">
      <c r="F70" t="e">
        <f>#REF!+"$Cm=!%;t"</f>
        <v>#REF!</v>
      </c>
      <c r="G70" t="e">
        <f>#REF!+"$Cm=!%;u"</f>
        <v>#REF!</v>
      </c>
      <c r="H70" t="e">
        <f>#REF!+"$Cm=!%;v"</f>
        <v>#REF!</v>
      </c>
      <c r="I70" t="e">
        <f>#REF!+"$Cm=!%;w"</f>
        <v>#REF!</v>
      </c>
      <c r="J70" t="e">
        <f>#REF!+"$Cm=!%;x"</f>
        <v>#REF!</v>
      </c>
      <c r="K70" t="e">
        <f>#REF!+"$Cm=!%;y"</f>
        <v>#REF!</v>
      </c>
      <c r="L70" t="e">
        <f>#REF!+"$Cm=!%;z"</f>
        <v>#REF!</v>
      </c>
      <c r="M70" t="e">
        <f>#REF!+"$Cm=!%;{"</f>
        <v>#REF!</v>
      </c>
      <c r="N70" t="e">
        <f>#REF!+"$Cm=!%;|"</f>
        <v>#REF!</v>
      </c>
      <c r="O70" t="e">
        <f>#REF!+"$Cm=!%;}"</f>
        <v>#REF!</v>
      </c>
      <c r="P70" t="e">
        <f>#REF!+"$Cm=!%;~"</f>
        <v>#REF!</v>
      </c>
      <c r="Q70" t="e">
        <f>#REF!+"$Cm=!%&lt;#"</f>
        <v>#REF!</v>
      </c>
      <c r="R70" t="e">
        <f>#REF!+"$Cm=!%&lt;$"</f>
        <v>#REF!</v>
      </c>
      <c r="S70" t="e">
        <f>#REF!+"$Cm=!%&lt;%"</f>
        <v>#REF!</v>
      </c>
      <c r="T70" t="e">
        <f>#REF!+"$Cm=!%&lt;&amp;"</f>
        <v>#REF!</v>
      </c>
      <c r="U70" t="e">
        <f>#REF!+"$Cm=!%&lt;'"</f>
        <v>#REF!</v>
      </c>
      <c r="V70" t="e">
        <f>#REF!+"$Cm=!%&lt;("</f>
        <v>#REF!</v>
      </c>
      <c r="W70" t="e">
        <f>#REF!+"$Cm=!%&lt;)"</f>
        <v>#REF!</v>
      </c>
      <c r="X70" t="e">
        <f>#REF!+"$Cm=!%&lt;."</f>
        <v>#REF!</v>
      </c>
      <c r="Y70" t="e">
        <f>#REF!+"$Cm=!%&lt;/"</f>
        <v>#REF!</v>
      </c>
      <c r="Z70" t="e">
        <f>#REF!+"$Cm=!%&lt;0"</f>
        <v>#REF!</v>
      </c>
      <c r="AA70" t="e">
        <f>#REF!+"$Cm=!%&lt;1"</f>
        <v>#REF!</v>
      </c>
      <c r="AB70" t="e">
        <f>#REF!+"$Cm=!%&lt;2"</f>
        <v>#REF!</v>
      </c>
      <c r="AC70" t="e">
        <f>#REF!+"$Cm=!%&lt;3"</f>
        <v>#REF!</v>
      </c>
      <c r="AD70" t="e">
        <f>#REF!+"$Cm=!%&lt;4"</f>
        <v>#REF!</v>
      </c>
      <c r="AE70" t="e">
        <f>#REF!+"$Cm=!%&lt;5"</f>
        <v>#REF!</v>
      </c>
      <c r="AF70" t="e">
        <f>#REF!+"$Cm=!%&lt;6"</f>
        <v>#REF!</v>
      </c>
      <c r="AG70" t="e">
        <f>#REF!+"$Cm=!%&lt;7"</f>
        <v>#REF!</v>
      </c>
      <c r="AH70" t="e">
        <f>#REF!+"$Cm=!%&lt;8"</f>
        <v>#REF!</v>
      </c>
      <c r="AI70" t="e">
        <f>#REF!+"$Cm=!%&lt;9"</f>
        <v>#REF!</v>
      </c>
      <c r="AJ70" t="e">
        <f>#REF!+"$Cm=!%&lt;:"</f>
        <v>#REF!</v>
      </c>
      <c r="AK70" t="e">
        <f>#REF!+"$Cm=!%&lt;;"</f>
        <v>#REF!</v>
      </c>
      <c r="AL70" t="e">
        <f>#REF!+"$Cm=!%&lt;&lt;"</f>
        <v>#REF!</v>
      </c>
      <c r="AM70" t="e">
        <f>#REF!+"$Cm=!%&lt;="</f>
        <v>#REF!</v>
      </c>
      <c r="AN70" t="e">
        <f>#REF!+"$Cm=!%&lt;&gt;"</f>
        <v>#REF!</v>
      </c>
      <c r="AO70" t="e">
        <f>#REF!+"$Cm=!%&lt;?"</f>
        <v>#REF!</v>
      </c>
      <c r="AP70" t="e">
        <f>#REF!+"$Cm=!%&lt;@"</f>
        <v>#REF!</v>
      </c>
      <c r="AQ70" t="e">
        <f>#REF!+"$Cm=!%&lt;A"</f>
        <v>#REF!</v>
      </c>
      <c r="AR70" t="e">
        <f>#REF!+"$Cm=!%&lt;B"</f>
        <v>#REF!</v>
      </c>
      <c r="AS70" t="e">
        <f>#REF!+"$Cm=!%&lt;C"</f>
        <v>#REF!</v>
      </c>
      <c r="AT70" t="e">
        <f>#REF!+"$Cm=!%&lt;D"</f>
        <v>#REF!</v>
      </c>
      <c r="AU70" t="e">
        <f>#REF!+"$Cm=!%&lt;E"</f>
        <v>#REF!</v>
      </c>
      <c r="AV70" t="e">
        <f>#REF!+"$Cm=!%&lt;F"</f>
        <v>#REF!</v>
      </c>
      <c r="AW70" t="e">
        <f>#REF!+"$Cm=!%&lt;G"</f>
        <v>#REF!</v>
      </c>
      <c r="AX70" t="e">
        <f>#REF!+"$Cm=!%&lt;H"</f>
        <v>#REF!</v>
      </c>
      <c r="AY70" t="e">
        <f>#REF!+"$Cm=!%&lt;I"</f>
        <v>#REF!</v>
      </c>
      <c r="AZ70" t="e">
        <f>#REF!+"$Cm=!%&lt;J"</f>
        <v>#REF!</v>
      </c>
      <c r="BA70" t="e">
        <f>#REF!+"$Cm=!%&lt;K"</f>
        <v>#REF!</v>
      </c>
      <c r="BB70" t="e">
        <f>#REF!+"$Cm=!%&lt;L"</f>
        <v>#REF!</v>
      </c>
      <c r="BC70" t="e">
        <f>#REF!+"$Cm=!%&lt;M"</f>
        <v>#REF!</v>
      </c>
      <c r="BD70" t="e">
        <f>#REF!+"$Cm=!%&lt;N"</f>
        <v>#REF!</v>
      </c>
      <c r="BE70" t="e">
        <f>#REF!+"$Cm=!%&lt;O"</f>
        <v>#REF!</v>
      </c>
      <c r="BF70" t="e">
        <f>#REF!+"$Cm=!%&lt;P"</f>
        <v>#REF!</v>
      </c>
      <c r="BG70" t="e">
        <f>#REF!+"$Cm=!%&lt;Q"</f>
        <v>#REF!</v>
      </c>
      <c r="BH70" t="e">
        <f>#REF!+"$Cm=!%&lt;R"</f>
        <v>#REF!</v>
      </c>
      <c r="BI70" t="e">
        <f>#REF!+"$Cm=!%&lt;S"</f>
        <v>#REF!</v>
      </c>
      <c r="BJ70" t="e">
        <f>#REF!+"$Cm=!%&lt;T"</f>
        <v>#REF!</v>
      </c>
      <c r="BK70" t="e">
        <f>#REF!+"$Cm=!%&lt;U"</f>
        <v>#REF!</v>
      </c>
      <c r="BL70" t="e">
        <f>#REF!+"$Cm=!%&lt;V"</f>
        <v>#REF!</v>
      </c>
      <c r="BM70" t="e">
        <f>#REF!+"$Cm=!%&lt;W"</f>
        <v>#REF!</v>
      </c>
      <c r="BN70" t="e">
        <f>#REF!+"$Cm=!%&lt;X"</f>
        <v>#REF!</v>
      </c>
      <c r="BO70" t="e">
        <f>#REF!+"$Cm=!%&lt;Y"</f>
        <v>#REF!</v>
      </c>
      <c r="BP70" t="e">
        <f>#REF!+"$Cm=!%&lt;Z"</f>
        <v>#REF!</v>
      </c>
      <c r="BQ70" t="e">
        <f>#REF!+"$Cm=!%&lt;["</f>
        <v>#REF!</v>
      </c>
      <c r="BR70" t="e">
        <f>#REF!+"$Cm=!%&lt;\"</f>
        <v>#REF!</v>
      </c>
      <c r="BS70" t="e">
        <f>#REF!+"$Cm=!%&lt;]"</f>
        <v>#REF!</v>
      </c>
      <c r="BT70" t="e">
        <f>#REF!+"$Cm=!%&lt;^"</f>
        <v>#REF!</v>
      </c>
      <c r="BU70" t="e">
        <f>#REF!+"$Cm=!%&lt;_"</f>
        <v>#REF!</v>
      </c>
      <c r="BV70" t="e">
        <f>#REF!+"$Cm=!%&lt;`"</f>
        <v>#REF!</v>
      </c>
      <c r="BW70" t="e">
        <f>#REF!+"$Cm=!%&lt;a"</f>
        <v>#REF!</v>
      </c>
      <c r="BX70" t="e">
        <f>#REF!+"$Cm=!%&lt;b"</f>
        <v>#REF!</v>
      </c>
      <c r="BY70" t="e">
        <f>#REF!+"$Cm=!%&lt;c"</f>
        <v>#REF!</v>
      </c>
      <c r="BZ70" t="e">
        <f>#REF!+"$Cm=!%&lt;d"</f>
        <v>#REF!</v>
      </c>
      <c r="CA70" t="e">
        <f>#REF!+"$Cm=!%&lt;e"</f>
        <v>#REF!</v>
      </c>
      <c r="CB70" t="e">
        <f>#REF!+"$Cm=!%&lt;f"</f>
        <v>#REF!</v>
      </c>
      <c r="CC70" t="e">
        <f>#REF!+"$Cm=!%&lt;g"</f>
        <v>#REF!</v>
      </c>
      <c r="CD70" t="e">
        <f>#REF!+"$Cm=!%&lt;h"</f>
        <v>#REF!</v>
      </c>
      <c r="CE70" t="e">
        <f>#REF!+"$Cm=!%&lt;i"</f>
        <v>#REF!</v>
      </c>
      <c r="CF70" t="e">
        <f>#REF!+"$Cm=!%&lt;j"</f>
        <v>#REF!</v>
      </c>
      <c r="CG70" t="e">
        <f>#REF!+"$Cm=!%&lt;k"</f>
        <v>#REF!</v>
      </c>
      <c r="CH70" t="e">
        <f>#REF!+"$Cm=!%&lt;l"</f>
        <v>#REF!</v>
      </c>
      <c r="CI70" t="e">
        <f>#REF!+"$Cm=!%&lt;m"</f>
        <v>#REF!</v>
      </c>
      <c r="CJ70" t="e">
        <f>#REF!+"$Cm=!%&lt;n"</f>
        <v>#REF!</v>
      </c>
      <c r="CK70" t="e">
        <f>#REF!+"$Cm=!%&lt;o"</f>
        <v>#REF!</v>
      </c>
      <c r="CL70" t="e">
        <f>#REF!+"$Cm=!%&lt;p"</f>
        <v>#REF!</v>
      </c>
      <c r="CM70" t="e">
        <f>#REF!+"$Cm=!%&lt;q"</f>
        <v>#REF!</v>
      </c>
      <c r="CN70" t="e">
        <f>#REF!+"$Cm=!%&lt;r"</f>
        <v>#REF!</v>
      </c>
      <c r="CO70" t="e">
        <f>#REF!+"$Cm=!%&lt;s"</f>
        <v>#REF!</v>
      </c>
      <c r="CP70" t="e">
        <f>#REF!+"$Cm=!%&lt;t"</f>
        <v>#REF!</v>
      </c>
      <c r="CQ70" t="e">
        <f>#REF!+"$Cm=!%&lt;u"</f>
        <v>#REF!</v>
      </c>
      <c r="CR70" t="e">
        <f>#REF!+"$Cm=!%&lt;v"</f>
        <v>#REF!</v>
      </c>
      <c r="CS70" t="e">
        <f>#REF!+"$Cm=!%&lt;w"</f>
        <v>#REF!</v>
      </c>
      <c r="CT70" t="e">
        <f>#REF!+"$Cm=!%&lt;x"</f>
        <v>#REF!</v>
      </c>
      <c r="CU70" t="e">
        <f>#REF!+"$Cm=!%&lt;y"</f>
        <v>#REF!</v>
      </c>
      <c r="CV70" t="e">
        <f>#REF!+"$Cm=!%&lt;z"</f>
        <v>#REF!</v>
      </c>
      <c r="CW70" t="e">
        <f>#REF!+"$Cm=!%&lt;{"</f>
        <v>#REF!</v>
      </c>
      <c r="CX70" t="e">
        <f>#REF!+"$Cm=!%&lt;|"</f>
        <v>#REF!</v>
      </c>
      <c r="CY70" t="e">
        <f>#REF!+"$Cm=!%&lt;}"</f>
        <v>#REF!</v>
      </c>
      <c r="CZ70" t="e">
        <f>#REF!+"$Cm=!%&lt;~"</f>
        <v>#REF!</v>
      </c>
      <c r="DA70" t="e">
        <f>#REF!+"$Cm=!%=#"</f>
        <v>#REF!</v>
      </c>
      <c r="DB70" t="e">
        <f>#REF!+"$Cm=!%=$"</f>
        <v>#REF!</v>
      </c>
      <c r="DC70" t="e">
        <f>#REF!+"$Cm=!%=%"</f>
        <v>#REF!</v>
      </c>
      <c r="DD70" t="e">
        <f>#REF!+"$Cm=!%=&amp;"</f>
        <v>#REF!</v>
      </c>
      <c r="DE70" t="e">
        <f>#REF!+"$Cm=!%='"</f>
        <v>#REF!</v>
      </c>
      <c r="DF70" t="e">
        <f>#REF!+"$Cm=!%=("</f>
        <v>#REF!</v>
      </c>
      <c r="DG70" t="e">
        <f>#REF!+"$Cm=!%=)"</f>
        <v>#REF!</v>
      </c>
      <c r="DH70" t="e">
        <f>#REF!+"$Cm=!%=."</f>
        <v>#REF!</v>
      </c>
      <c r="DI70" t="e">
        <f>#REF!+"$Cm=!%=/"</f>
        <v>#REF!</v>
      </c>
      <c r="DJ70" t="e">
        <f>#REF!+"$Cm=!%=0"</f>
        <v>#REF!</v>
      </c>
      <c r="DK70" t="e">
        <f>#REF!+"$Cm=!%=1"</f>
        <v>#REF!</v>
      </c>
      <c r="DL70" t="e">
        <f>#REF!+"$Cm=!%=2"</f>
        <v>#REF!</v>
      </c>
      <c r="DM70" t="e">
        <f>#REF!+"$Cm=!%=3"</f>
        <v>#REF!</v>
      </c>
      <c r="DN70" t="e">
        <f>#REF!+"$Cm=!%=4"</f>
        <v>#REF!</v>
      </c>
      <c r="DO70" t="e">
        <f>#REF!+"$Cm=!%=5"</f>
        <v>#REF!</v>
      </c>
      <c r="DP70" t="e">
        <f>#REF!+"$Cm=!%=6"</f>
        <v>#REF!</v>
      </c>
      <c r="DQ70" t="e">
        <f>#REF!+"$Cm=!%=7"</f>
        <v>#REF!</v>
      </c>
      <c r="DR70" t="e">
        <f>#REF!+"$Cm=!%=8"</f>
        <v>#REF!</v>
      </c>
      <c r="DS70" t="e">
        <f>#REF!+"$Cm=!%=9"</f>
        <v>#REF!</v>
      </c>
      <c r="DT70" t="e">
        <f>#REF!+"$Cm=!%=:"</f>
        <v>#REF!</v>
      </c>
      <c r="DU70" t="e">
        <f>#REF!+"$Cm=!%=;"</f>
        <v>#REF!</v>
      </c>
      <c r="DV70" t="e">
        <f>#REF!+"$Cm=!%=&lt;"</f>
        <v>#REF!</v>
      </c>
      <c r="DW70" t="e">
        <f>#REF!+"$Cm=!%=="</f>
        <v>#REF!</v>
      </c>
      <c r="DX70" t="e">
        <f>#REF!+"$Cm=!%=&gt;"</f>
        <v>#REF!</v>
      </c>
      <c r="DY70" t="e">
        <f>#REF!+"$Cm=!%=?"</f>
        <v>#REF!</v>
      </c>
      <c r="DZ70" t="e">
        <f>#REF!+"$Cm=!%=@"</f>
        <v>#REF!</v>
      </c>
      <c r="EA70" t="e">
        <f>#REF!+"$Cm=!%=A"</f>
        <v>#REF!</v>
      </c>
      <c r="EB70" t="e">
        <f>#REF!+"$Cm=!%=B"</f>
        <v>#REF!</v>
      </c>
      <c r="EC70" t="e">
        <f>#REF!+"$Cm=!%=C"</f>
        <v>#REF!</v>
      </c>
      <c r="ED70" t="e">
        <f>#REF!+"$Cm=!%=D"</f>
        <v>#REF!</v>
      </c>
      <c r="EE70" t="e">
        <f>#REF!+"$Cm=!%=E"</f>
        <v>#REF!</v>
      </c>
      <c r="EF70" t="e">
        <f>#REF!+"$Cm=!%=F"</f>
        <v>#REF!</v>
      </c>
      <c r="EG70" t="e">
        <f>#REF!+"$Cm=!%=G"</f>
        <v>#REF!</v>
      </c>
      <c r="EH70" t="e">
        <f>#REF!+"$Cm=!%=H"</f>
        <v>#REF!</v>
      </c>
      <c r="EI70" t="e">
        <f>#REF!+"$Cm=!%=I"</f>
        <v>#REF!</v>
      </c>
      <c r="EJ70" t="e">
        <f>#REF!+"$Cm=!%=J"</f>
        <v>#REF!</v>
      </c>
      <c r="EK70" t="e">
        <f>#REF!+"$Cm=!%=K"</f>
        <v>#REF!</v>
      </c>
      <c r="EL70" t="e">
        <f>#REF!+"$Cm=!%=L"</f>
        <v>#REF!</v>
      </c>
      <c r="EM70" t="e">
        <f>#REF!+"$Cm=!%=M"</f>
        <v>#REF!</v>
      </c>
      <c r="EN70" t="e">
        <f>#REF!+"$Cm=!%=N"</f>
        <v>#REF!</v>
      </c>
      <c r="EO70" t="e">
        <f>#REF!+"$Cm=!%=O"</f>
        <v>#REF!</v>
      </c>
      <c r="EP70" t="e">
        <f>#REF!+"$Cm=!%=P"</f>
        <v>#REF!</v>
      </c>
      <c r="EQ70" t="e">
        <f>#REF!+"$Cm=!%=Q"</f>
        <v>#REF!</v>
      </c>
      <c r="ER70" t="e">
        <f>#REF!+"$Cm=!%=R"</f>
        <v>#REF!</v>
      </c>
      <c r="ES70" t="e">
        <f>#REF!+"$Cm=!%=S"</f>
        <v>#REF!</v>
      </c>
      <c r="ET70" t="e">
        <f>#REF!+"$Cm=!%=T"</f>
        <v>#REF!</v>
      </c>
      <c r="EU70" t="e">
        <f>#REF!+"$Cm=!%=U"</f>
        <v>#REF!</v>
      </c>
      <c r="EV70" t="e">
        <f>#REF!+"$Cm=!%=V"</f>
        <v>#REF!</v>
      </c>
      <c r="EW70" t="e">
        <f>#REF!+"$Cm=!%=W"</f>
        <v>#REF!</v>
      </c>
      <c r="EX70" t="e">
        <f>#REF!+"$Cm=!%=X"</f>
        <v>#REF!</v>
      </c>
      <c r="EY70" t="e">
        <f>#REF!+"$Cm=!%=Y"</f>
        <v>#REF!</v>
      </c>
      <c r="EZ70" t="e">
        <f>#REF!+"$Cm=!%=Z"</f>
        <v>#REF!</v>
      </c>
      <c r="FA70" t="e">
        <f>#REF!+"$Cm=!%=["</f>
        <v>#REF!</v>
      </c>
      <c r="FB70" t="e">
        <f>#REF!+"$Cm=!%=\"</f>
        <v>#REF!</v>
      </c>
      <c r="FC70" t="e">
        <f>#REF!+"$Cm=!%=]"</f>
        <v>#REF!</v>
      </c>
      <c r="FD70" t="e">
        <f>#REF!+"$Cm=!%=^"</f>
        <v>#REF!</v>
      </c>
      <c r="FE70" t="e">
        <f>#REF!+"$Cm=!%=_"</f>
        <v>#REF!</v>
      </c>
      <c r="FF70" t="e">
        <f>#REF!+"$Cm=!%=`"</f>
        <v>#REF!</v>
      </c>
      <c r="FG70" t="e">
        <f>#REF!+"$Cm=!%=a"</f>
        <v>#REF!</v>
      </c>
      <c r="FH70" t="e">
        <f>#REF!+"$Cm=!%=b"</f>
        <v>#REF!</v>
      </c>
      <c r="FI70" t="e">
        <f>#REF!+"$Cm=!%=c"</f>
        <v>#REF!</v>
      </c>
      <c r="FJ70" t="e">
        <f>#REF!+"$Cm=!%=d"</f>
        <v>#REF!</v>
      </c>
      <c r="FK70" t="e">
        <f>#REF!+"$Cm=!%=e"</f>
        <v>#REF!</v>
      </c>
      <c r="FL70" t="e">
        <f>#REF!+"$Cm=!%=f"</f>
        <v>#REF!</v>
      </c>
      <c r="FM70" t="e">
        <f>#REF!+"$Cm=!%=g"</f>
        <v>#REF!</v>
      </c>
      <c r="FN70" t="e">
        <f>#REF!+"$Cm=!%=h"</f>
        <v>#REF!</v>
      </c>
      <c r="FO70" t="e">
        <f>#REF!+"$Cm=!%=i"</f>
        <v>#REF!</v>
      </c>
      <c r="FP70" t="e">
        <f>#REF!+"$Cm=!%=j"</f>
        <v>#REF!</v>
      </c>
      <c r="FQ70" t="e">
        <f>#REF!+"$Cm=!%=k"</f>
        <v>#REF!</v>
      </c>
      <c r="FR70" t="e">
        <f>#REF!+"$Cm=!%=l"</f>
        <v>#REF!</v>
      </c>
      <c r="FS70" t="e">
        <f>#REF!+"$Cm=!%=m"</f>
        <v>#REF!</v>
      </c>
      <c r="FT70" t="e">
        <f>#REF!+"$Cm=!%=n"</f>
        <v>#REF!</v>
      </c>
      <c r="FU70" t="e">
        <f>#REF!+"$Cm=!%=o"</f>
        <v>#REF!</v>
      </c>
      <c r="FV70" t="e">
        <f>#REF!+"$Cm=!%=p"</f>
        <v>#REF!</v>
      </c>
      <c r="FW70" t="e">
        <f>#REF!+"$Cm=!%=q"</f>
        <v>#REF!</v>
      </c>
      <c r="FX70" t="e">
        <f>#REF!+"$Cm=!%=r"</f>
        <v>#REF!</v>
      </c>
      <c r="FY70" t="e">
        <f>#REF!+"$Cm=!%=s"</f>
        <v>#REF!</v>
      </c>
      <c r="FZ70" t="e">
        <f>#REF!+"$Cm=!%=t"</f>
        <v>#REF!</v>
      </c>
      <c r="GA70" t="e">
        <f>#REF!+"$Cm=!%=u"</f>
        <v>#REF!</v>
      </c>
      <c r="GB70" t="e">
        <f>#REF!+"$Cm=!%=v"</f>
        <v>#REF!</v>
      </c>
      <c r="GC70" t="e">
        <f>#REF!+"$Cm=!%=w"</f>
        <v>#REF!</v>
      </c>
      <c r="GD70" t="e">
        <f>#REF!+"$Cm=!%=x"</f>
        <v>#REF!</v>
      </c>
      <c r="GE70" t="e">
        <f>#REF!+"$Cm=!%=y"</f>
        <v>#REF!</v>
      </c>
      <c r="GF70" t="e">
        <f>#REF!+"$Cm=!%=z"</f>
        <v>#REF!</v>
      </c>
      <c r="GG70" t="e">
        <f>#REF!+"$Cm=!%={"</f>
        <v>#REF!</v>
      </c>
      <c r="GH70" t="e">
        <f>#REF!+"$Cm=!%=|"</f>
        <v>#REF!</v>
      </c>
      <c r="GI70" t="e">
        <f>#REF!+"$Cm=!%=}"</f>
        <v>#REF!</v>
      </c>
      <c r="GJ70" t="e">
        <f>#REF!+"$Cm=!%=~"</f>
        <v>#REF!</v>
      </c>
      <c r="GK70" t="e">
        <f>#REF!+"$Cm=!%&gt;#"</f>
        <v>#REF!</v>
      </c>
      <c r="GL70" t="e">
        <f>#REF!+"$Cm=!%&gt;$"</f>
        <v>#REF!</v>
      </c>
      <c r="GM70" t="e">
        <f>#REF!+"$Cm=!%&gt;%"</f>
        <v>#REF!</v>
      </c>
      <c r="GN70" t="e">
        <f>#REF!+"$Cm=!%&gt;&amp;"</f>
        <v>#REF!</v>
      </c>
      <c r="GO70" t="e">
        <f>#REF!+"$Cm=!%&gt;'"</f>
        <v>#REF!</v>
      </c>
      <c r="GP70" t="e">
        <f>#REF!+"$Cm=!%&gt;("</f>
        <v>#REF!</v>
      </c>
      <c r="GQ70" t="e">
        <f>#REF!+"$Cm=!%&gt;)"</f>
        <v>#REF!</v>
      </c>
      <c r="GR70" t="e">
        <f>#REF!+"$Cm=!%&gt;."</f>
        <v>#REF!</v>
      </c>
      <c r="GS70" t="e">
        <f>#REF!+"$Cm=!%&gt;/"</f>
        <v>#REF!</v>
      </c>
      <c r="GT70" t="e">
        <f>#REF!+"$Cm=!%&gt;0"</f>
        <v>#REF!</v>
      </c>
      <c r="GU70" t="e">
        <f>#REF!+"$Cm=!%&gt;1"</f>
        <v>#REF!</v>
      </c>
      <c r="GV70" t="e">
        <f>#REF!+"$Cm=!%&gt;2"</f>
        <v>#REF!</v>
      </c>
      <c r="GW70" t="e">
        <f>#REF!+"$Cm=!%&gt;3"</f>
        <v>#REF!</v>
      </c>
      <c r="GX70" t="e">
        <f>#REF!+"$Cm=!%&gt;4"</f>
        <v>#REF!</v>
      </c>
      <c r="GY70" t="e">
        <f>#REF!+"$Cm=!%&gt;5"</f>
        <v>#REF!</v>
      </c>
      <c r="GZ70" t="e">
        <f>#REF!+"$Cm=!%&gt;6"</f>
        <v>#REF!</v>
      </c>
      <c r="HA70" t="e">
        <f>#REF!+"$Cm=!%&gt;7"</f>
        <v>#REF!</v>
      </c>
      <c r="HB70" t="e">
        <f>#REF!+"$Cm=!%&gt;8"</f>
        <v>#REF!</v>
      </c>
      <c r="HC70" t="e">
        <f>#REF!+"$Cm=!%&gt;9"</f>
        <v>#REF!</v>
      </c>
      <c r="HD70" t="e">
        <f>#REF!+"$Cm=!%&gt;:"</f>
        <v>#REF!</v>
      </c>
      <c r="HE70" t="e">
        <f>#REF!+"$Cm=!%&gt;;"</f>
        <v>#REF!</v>
      </c>
      <c r="HF70" t="e">
        <f>#REF!+"$Cm=!%&gt;&lt;"</f>
        <v>#REF!</v>
      </c>
      <c r="HG70" t="e">
        <f>#REF!+"$Cm=!%&gt;="</f>
        <v>#REF!</v>
      </c>
      <c r="HH70" t="e">
        <f>#REF!+"$Cm=!%&gt;&gt;"</f>
        <v>#REF!</v>
      </c>
      <c r="HI70" t="e">
        <f>#REF!+"$Cm=!%&gt;?"</f>
        <v>#REF!</v>
      </c>
      <c r="HJ70" t="e">
        <f>#REF!+"$Cm=!%&gt;@"</f>
        <v>#REF!</v>
      </c>
      <c r="HK70" t="e">
        <f>#REF!+"$Cm=!%&gt;A"</f>
        <v>#REF!</v>
      </c>
      <c r="HL70" t="e">
        <f>#REF!+"$Cm=!%&gt;B"</f>
        <v>#REF!</v>
      </c>
      <c r="HM70" t="e">
        <f>#REF!+"$Cm=!%&gt;C"</f>
        <v>#REF!</v>
      </c>
      <c r="HN70" t="e">
        <f>#REF!+"$Cm=!%&gt;D"</f>
        <v>#REF!</v>
      </c>
      <c r="HO70" t="e">
        <f>#REF!+"$Cm=!%&gt;E"</f>
        <v>#REF!</v>
      </c>
      <c r="HP70" t="e">
        <f>#REF!+"$Cm=!%&gt;F"</f>
        <v>#REF!</v>
      </c>
      <c r="HQ70" t="e">
        <f>#REF!+"$Cm=!%&gt;G"</f>
        <v>#REF!</v>
      </c>
      <c r="HR70" t="e">
        <f>#REF!+"$Cm=!%&gt;H"</f>
        <v>#REF!</v>
      </c>
      <c r="HS70" t="e">
        <f>#REF!+"$Cm=!%&gt;I"</f>
        <v>#REF!</v>
      </c>
      <c r="HT70" t="e">
        <f>#REF!+"$Cm=!%&gt;J"</f>
        <v>#REF!</v>
      </c>
      <c r="HU70" t="e">
        <f>#REF!+"$Cm=!%&gt;K"</f>
        <v>#REF!</v>
      </c>
      <c r="HV70" t="e">
        <f>#REF!+"$Cm=!%&gt;L"</f>
        <v>#REF!</v>
      </c>
      <c r="HW70" t="e">
        <f>#REF!+"$Cm=!%&gt;M"</f>
        <v>#REF!</v>
      </c>
      <c r="HX70" t="e">
        <f>#REF!+"$Cm=!%&gt;N"</f>
        <v>#REF!</v>
      </c>
      <c r="HY70" t="e">
        <f>#REF!+"$Cm=!%&gt;O"</f>
        <v>#REF!</v>
      </c>
      <c r="HZ70" t="e">
        <f>#REF!+"$Cm=!%&gt;P"</f>
        <v>#REF!</v>
      </c>
      <c r="IA70" t="e">
        <f>#REF!+"$Cm=!%&gt;Q"</f>
        <v>#REF!</v>
      </c>
      <c r="IB70" t="e">
        <f>#REF!+"$Cm=!%&gt;R"</f>
        <v>#REF!</v>
      </c>
      <c r="IC70" t="e">
        <f>#REF!+"$Cm=!%&gt;S"</f>
        <v>#REF!</v>
      </c>
      <c r="ID70" t="e">
        <f>#REF!+"$Cm=!%&gt;T"</f>
        <v>#REF!</v>
      </c>
      <c r="IE70" t="e">
        <f>#REF!+"$Cm=!%&gt;U"</f>
        <v>#REF!</v>
      </c>
      <c r="IF70" t="e">
        <f>#REF!+"$Cm=!%&gt;V"</f>
        <v>#REF!</v>
      </c>
      <c r="IG70" t="e">
        <f>#REF!+"$Cm=!%&gt;W"</f>
        <v>#REF!</v>
      </c>
      <c r="IH70" t="e">
        <f>#REF!+"$Cm=!%&gt;X"</f>
        <v>#REF!</v>
      </c>
      <c r="II70" t="e">
        <f>#REF!+"$Cm=!%&gt;Y"</f>
        <v>#REF!</v>
      </c>
      <c r="IJ70" t="e">
        <f>#REF!+"$Cm=!%&gt;Z"</f>
        <v>#REF!</v>
      </c>
      <c r="IK70" t="e">
        <f>#REF!+"$Cm=!%&gt;["</f>
        <v>#REF!</v>
      </c>
      <c r="IL70" t="e">
        <f>#REF!+"$Cm=!%&gt;\"</f>
        <v>#REF!</v>
      </c>
      <c r="IM70" t="e">
        <f>#REF!+"$Cm=!%&gt;]"</f>
        <v>#REF!</v>
      </c>
      <c r="IN70" t="e">
        <f>#REF!+"$Cm=!%&gt;^"</f>
        <v>#REF!</v>
      </c>
      <c r="IO70" t="e">
        <f>#REF!+"$Cm=!%&gt;_"</f>
        <v>#REF!</v>
      </c>
      <c r="IP70" t="e">
        <f>#REF!+"$Cm=!%&gt;`"</f>
        <v>#REF!</v>
      </c>
      <c r="IQ70" t="e">
        <f>#REF!+"$Cm=!%&gt;a"</f>
        <v>#REF!</v>
      </c>
      <c r="IR70" t="e">
        <f>#REF!+"$Cm=!%&gt;b"</f>
        <v>#REF!</v>
      </c>
      <c r="IS70" t="e">
        <f>#REF!+"$Cm=!%&gt;c"</f>
        <v>#REF!</v>
      </c>
      <c r="IT70" t="e">
        <f>#REF!+"$Cm=!%&gt;d"</f>
        <v>#REF!</v>
      </c>
      <c r="IU70" t="e">
        <f>#REF!+"$Cm=!%&gt;e"</f>
        <v>#REF!</v>
      </c>
      <c r="IV70" t="e">
        <f>#REF!+"$Cm=!%&gt;f"</f>
        <v>#REF!</v>
      </c>
    </row>
    <row r="71" spans="6:256">
      <c r="F71" t="e">
        <f>#REF!+"$Cm=!%&gt;g"</f>
        <v>#REF!</v>
      </c>
      <c r="G71" t="e">
        <f>#REF!+"$Cm=!%&gt;h"</f>
        <v>#REF!</v>
      </c>
      <c r="H71" t="e">
        <f>#REF!+"$Cm=!%&gt;i"</f>
        <v>#REF!</v>
      </c>
      <c r="I71" t="e">
        <f>#REF!+"$Cm=!%&gt;j"</f>
        <v>#REF!</v>
      </c>
      <c r="J71" t="e">
        <f>#REF!+"$Cm=!%&gt;k"</f>
        <v>#REF!</v>
      </c>
      <c r="K71" t="e">
        <f>#REF!+"$Cm=!%&gt;l"</f>
        <v>#REF!</v>
      </c>
      <c r="L71" t="e">
        <f>#REF!+"$Cm=!%&gt;m"</f>
        <v>#REF!</v>
      </c>
      <c r="M71" t="e">
        <f>#REF!+"$Cm=!%&gt;n"</f>
        <v>#REF!</v>
      </c>
      <c r="N71" t="e">
        <f>#REF!+"$Cm=!%&gt;o"</f>
        <v>#REF!</v>
      </c>
      <c r="O71" t="e">
        <f>#REF!+"$Cm=!%&gt;p"</f>
        <v>#REF!</v>
      </c>
      <c r="P71" t="e">
        <f>#REF!+"$Cm=!%&gt;q"</f>
        <v>#REF!</v>
      </c>
      <c r="Q71" t="e">
        <f>#REF!+"$Cm=!%&gt;r"</f>
        <v>#REF!</v>
      </c>
      <c r="R71" t="e">
        <f>#REF!+"$Cm=!%&gt;s"</f>
        <v>#REF!</v>
      </c>
      <c r="S71" t="e">
        <f>#REF!+"$Cm=!%&gt;t"</f>
        <v>#REF!</v>
      </c>
      <c r="T71" t="e">
        <f>#REF!+"$Cm=!%&gt;u"</f>
        <v>#REF!</v>
      </c>
      <c r="U71" t="e">
        <f>#REF!+"$Cm=!%&gt;v"</f>
        <v>#REF!</v>
      </c>
      <c r="V71" t="e">
        <f>#REF!+"$Cm=!%&gt;w"</f>
        <v>#REF!</v>
      </c>
      <c r="W71" t="e">
        <f>#REF!+"$Cm=!%&gt;x"</f>
        <v>#REF!</v>
      </c>
      <c r="X71" t="e">
        <f>#REF!+"$Cm=!%&gt;y"</f>
        <v>#REF!</v>
      </c>
      <c r="Y71" t="e">
        <f>#REF!+"$Cm=!%&gt;z"</f>
        <v>#REF!</v>
      </c>
      <c r="Z71" t="e">
        <f>#REF!+"$Cm=!%&gt;{"</f>
        <v>#REF!</v>
      </c>
      <c r="AA71" t="e">
        <f>#REF!+"$Cm=!%&gt;|"</f>
        <v>#REF!</v>
      </c>
      <c r="AB71" t="e">
        <f>#REF!+"$Cm=!%&gt;}"</f>
        <v>#REF!</v>
      </c>
      <c r="AC71" t="e">
        <f>#REF!+"$Cm=!%&gt;~"</f>
        <v>#REF!</v>
      </c>
      <c r="AD71" t="e">
        <f>#REF!+"$Cm=!%?#"</f>
        <v>#REF!</v>
      </c>
      <c r="AE71" t="e">
        <f>#REF!+"$Cm=!%?$"</f>
        <v>#REF!</v>
      </c>
      <c r="AF71" t="e">
        <f>#REF!+"$Cm=!%?%"</f>
        <v>#REF!</v>
      </c>
      <c r="AG71" t="e">
        <f>#REF!+"$Cm=!%?&amp;"</f>
        <v>#REF!</v>
      </c>
      <c r="AH71" t="e">
        <f>#REF!+"$Cm=!%?'"</f>
        <v>#REF!</v>
      </c>
      <c r="AI71" t="e">
        <f>#REF!+"$Cm=!%?("</f>
        <v>#REF!</v>
      </c>
      <c r="AJ71" t="e">
        <f>#REF!+"$Cm=!%?)"</f>
        <v>#REF!</v>
      </c>
      <c r="AK71" t="e">
        <f>#REF!+"$Cm=!%?."</f>
        <v>#REF!</v>
      </c>
      <c r="AL71" t="e">
        <f>#REF!+"$Cm=!%?/"</f>
        <v>#REF!</v>
      </c>
      <c r="AM71" t="e">
        <f>#REF!+"$Cm=!%?0"</f>
        <v>#REF!</v>
      </c>
      <c r="AN71" t="e">
        <f>#REF!+"$Cm=!%?1"</f>
        <v>#REF!</v>
      </c>
      <c r="AO71" t="e">
        <f>#REF!+"$Cm=!%?2"</f>
        <v>#REF!</v>
      </c>
      <c r="AP71" t="e">
        <f>#REF!+"$Cm=!%?3"</f>
        <v>#REF!</v>
      </c>
      <c r="AQ71" t="e">
        <f>#REF!+"$Cm=!%?4"</f>
        <v>#REF!</v>
      </c>
      <c r="AR71" t="e">
        <f>#REF!+"$Cm=!%?5"</f>
        <v>#REF!</v>
      </c>
      <c r="AS71" t="e">
        <f>#REF!+"$Cm=!%?6"</f>
        <v>#REF!</v>
      </c>
      <c r="AT71" t="e">
        <f>#REF!+"$Cm=!%?7"</f>
        <v>#REF!</v>
      </c>
      <c r="AU71" t="e">
        <f>#REF!+"$Cm=!%?8"</f>
        <v>#REF!</v>
      </c>
      <c r="AV71" t="e">
        <f>#REF!+"$Cm=!%?9"</f>
        <v>#REF!</v>
      </c>
      <c r="AW71" t="e">
        <f>#REF!+"$Cm=!%?:"</f>
        <v>#REF!</v>
      </c>
      <c r="AX71" t="e">
        <f>#REF!+"$Cm=!%?;"</f>
        <v>#REF!</v>
      </c>
      <c r="AY71" t="e">
        <f>#REF!+"$Cm=!%?&lt;"</f>
        <v>#REF!</v>
      </c>
      <c r="AZ71" t="e">
        <f>#REF!+"$Cm=!%?="</f>
        <v>#REF!</v>
      </c>
      <c r="BA71" t="e">
        <f>#REF!+"$Cm=!%?&gt;"</f>
        <v>#REF!</v>
      </c>
      <c r="BB71" t="e">
        <f>#REF!+"$Cm=!%??"</f>
        <v>#REF!</v>
      </c>
      <c r="BC71" t="e">
        <f>#REF!+"$Cm=!%?@"</f>
        <v>#REF!</v>
      </c>
      <c r="BD71" t="e">
        <f>#REF!+"$Cm=!%?A"</f>
        <v>#REF!</v>
      </c>
      <c r="BE71" t="e">
        <f>#REF!+"$Cm=!%?B"</f>
        <v>#REF!</v>
      </c>
      <c r="BF71" t="e">
        <f>#REF!+"$Cm=!%?C"</f>
        <v>#REF!</v>
      </c>
      <c r="BG71" t="e">
        <f>#REF!+"$Cm=!%?D"</f>
        <v>#REF!</v>
      </c>
      <c r="BH71" t="e">
        <f>#REF!+"$Cm=!%?E"</f>
        <v>#REF!</v>
      </c>
      <c r="BI71" t="e">
        <f>#REF!+"$Cm=!%?F"</f>
        <v>#REF!</v>
      </c>
      <c r="BJ71" t="e">
        <f>#REF!+"$Cm=!%?G"</f>
        <v>#REF!</v>
      </c>
      <c r="BK71" t="e">
        <f>#REF!+"$Cm=!%?H"</f>
        <v>#REF!</v>
      </c>
      <c r="BL71" t="e">
        <f>#REF!+"$Cm=!%?I"</f>
        <v>#REF!</v>
      </c>
      <c r="BM71" t="e">
        <f>#REF!+"$Cm=!%?J"</f>
        <v>#REF!</v>
      </c>
      <c r="BN71" t="e">
        <f>#REF!+"$Cm=!%?K"</f>
        <v>#REF!</v>
      </c>
      <c r="BO71" t="e">
        <f>#REF!+"$Cm=!%?L"</f>
        <v>#REF!</v>
      </c>
      <c r="BP71" t="e">
        <f>#REF!+"$Cm=!%?M"</f>
        <v>#REF!</v>
      </c>
      <c r="BQ71" t="e">
        <f>#REF!+"$Cm=!%?N"</f>
        <v>#REF!</v>
      </c>
      <c r="BR71" t="e">
        <f>#REF!+"$Cm=!%?O"</f>
        <v>#REF!</v>
      </c>
      <c r="BS71" t="e">
        <f>#REF!+"$Cm=!%?P"</f>
        <v>#REF!</v>
      </c>
      <c r="BT71" t="e">
        <f>#REF!+"$Cm=!%?Q"</f>
        <v>#REF!</v>
      </c>
      <c r="BU71" t="e">
        <f>#REF!+"$Cm=!%?R"</f>
        <v>#REF!</v>
      </c>
      <c r="BV71" t="e">
        <f>#REF!+"$Cm=!%?S"</f>
        <v>#REF!</v>
      </c>
      <c r="BW71" t="e">
        <f>#REF!+"$Cm=!%?T"</f>
        <v>#REF!</v>
      </c>
      <c r="BX71" t="e">
        <f>#REF!+"$Cm=!%?U"</f>
        <v>#REF!</v>
      </c>
      <c r="BY71" t="e">
        <f>#REF!+"$Cm=!%?V"</f>
        <v>#REF!</v>
      </c>
      <c r="BZ71" t="e">
        <f>#REF!+"$Cm=!%?W"</f>
        <v>#REF!</v>
      </c>
      <c r="CA71" t="e">
        <f>#REF!+"$Cm=!%?X"</f>
        <v>#REF!</v>
      </c>
      <c r="CB71" t="e">
        <f>#REF!+"$Cm=!%?Y"</f>
        <v>#REF!</v>
      </c>
      <c r="CC71" t="e">
        <f>#REF!+"$Cm=!%?Z"</f>
        <v>#REF!</v>
      </c>
      <c r="CD71" t="e">
        <f>#REF!+"$Cm=!%?["</f>
        <v>#REF!</v>
      </c>
      <c r="CE71" t="e">
        <f>#REF!+"$Cm=!%?\"</f>
        <v>#REF!</v>
      </c>
      <c r="CF71" t="e">
        <f>#REF!+"$Cm=!%?]"</f>
        <v>#REF!</v>
      </c>
      <c r="CG71" t="e">
        <f>#REF!+"$Cm=!%?^"</f>
        <v>#REF!</v>
      </c>
      <c r="CH71" t="e">
        <f>#REF!+"$Cm=!%?_"</f>
        <v>#REF!</v>
      </c>
      <c r="CI71" t="e">
        <f>#REF!+"$Cm=!%?`"</f>
        <v>#REF!</v>
      </c>
      <c r="CJ71" t="e">
        <f>#REF!+"$Cm=!%?a"</f>
        <v>#REF!</v>
      </c>
      <c r="CK71" t="e">
        <f>#REF!+"$Cm=!%?b"</f>
        <v>#REF!</v>
      </c>
      <c r="CL71" t="e">
        <f>#REF!+"$Cm=!%?c"</f>
        <v>#REF!</v>
      </c>
      <c r="CM71" t="e">
        <f>#REF!+"$Cm=!%?d"</f>
        <v>#REF!</v>
      </c>
      <c r="CN71" t="e">
        <f>#REF!+"$Cm=!%?e"</f>
        <v>#REF!</v>
      </c>
      <c r="CO71" t="e">
        <f>#REF!+"$Cm=!%?f"</f>
        <v>#REF!</v>
      </c>
      <c r="CP71" t="e">
        <f>#REF!+"$Cm=!%?g"</f>
        <v>#REF!</v>
      </c>
      <c r="CQ71" t="e">
        <f>#REF!+"$Cm=!%?h"</f>
        <v>#REF!</v>
      </c>
      <c r="CR71" t="e">
        <f>#REF!+"$Cm=!%?i"</f>
        <v>#REF!</v>
      </c>
      <c r="CS71" t="e">
        <f>#REF!+"$Cm=!%?j"</f>
        <v>#REF!</v>
      </c>
      <c r="CT71" t="e">
        <f>#REF!+"$Cm=!%?k"</f>
        <v>#REF!</v>
      </c>
      <c r="CU71" t="e">
        <f>#REF!+"$Cm=!%?l"</f>
        <v>#REF!</v>
      </c>
      <c r="CV71" t="e">
        <f>#REF!+"$Cm=!%?m"</f>
        <v>#REF!</v>
      </c>
      <c r="CW71" t="e">
        <f>#REF!+"$Cm=!%?n"</f>
        <v>#REF!</v>
      </c>
      <c r="CX71" t="e">
        <f>#REF!+"$Cm=!%?o"</f>
        <v>#REF!</v>
      </c>
      <c r="CY71" t="e">
        <f>#REF!+"$Cm=!%?p"</f>
        <v>#REF!</v>
      </c>
      <c r="CZ71" t="e">
        <f>#REF!+"$Cm=!%?q"</f>
        <v>#REF!</v>
      </c>
      <c r="DA71" t="e">
        <f>#REF!+"$Cm=!%?r"</f>
        <v>#REF!</v>
      </c>
      <c r="DB71" t="e">
        <f>#REF!+"$Cm=!%?s"</f>
        <v>#REF!</v>
      </c>
      <c r="DC71" t="e">
        <f>#REF!+"$Cm=!%?t"</f>
        <v>#REF!</v>
      </c>
      <c r="DD71" t="e">
        <f>#REF!+"$Cm=!%?u"</f>
        <v>#REF!</v>
      </c>
      <c r="DE71" t="e">
        <f>#REF!+"$Cm=!%?v"</f>
        <v>#REF!</v>
      </c>
      <c r="DF71" t="e">
        <f>#REF!+"$Cm=!%?w"</f>
        <v>#REF!</v>
      </c>
      <c r="DG71" t="e">
        <f>#REF!+"$Cm=!%?x"</f>
        <v>#REF!</v>
      </c>
      <c r="DH71" t="e">
        <f>#REF!+"$Cm=!%?y"</f>
        <v>#REF!</v>
      </c>
      <c r="DI71" t="e">
        <f>#REF!+"$Cm=!%?z"</f>
        <v>#REF!</v>
      </c>
      <c r="DJ71" t="e">
        <f>#REF!+"$Cm=!%?{"</f>
        <v>#REF!</v>
      </c>
      <c r="DK71" t="e">
        <f>#REF!+"$Cm=!%?|"</f>
        <v>#REF!</v>
      </c>
      <c r="DL71" t="e">
        <f>#REF!+"$Cm=!%?}"</f>
        <v>#REF!</v>
      </c>
      <c r="DM71" t="e">
        <f>#REF!+"$Cm=!%?~"</f>
        <v>#REF!</v>
      </c>
      <c r="DN71" t="e">
        <f>#REF!+"$Cm=!%@#"</f>
        <v>#REF!</v>
      </c>
      <c r="DO71" t="e">
        <f>#REF!+"$Cm=!%@$"</f>
        <v>#REF!</v>
      </c>
      <c r="DP71" t="e">
        <f>#REF!+"$Cm=!%@%"</f>
        <v>#REF!</v>
      </c>
      <c r="DQ71" t="e">
        <f>#REF!+"$Cm=!%@&amp;"</f>
        <v>#REF!</v>
      </c>
      <c r="DR71" t="e">
        <f>#REF!+"$Cm=!%@'"</f>
        <v>#REF!</v>
      </c>
      <c r="DS71" t="e">
        <f>#REF!+"$Cm=!%@("</f>
        <v>#REF!</v>
      </c>
      <c r="DT71" t="e">
        <f>#REF!+"$Cm=!%@)"</f>
        <v>#REF!</v>
      </c>
      <c r="DU71" t="e">
        <f>#REF!+"$Cm=!%@."</f>
        <v>#REF!</v>
      </c>
      <c r="DV71" t="e">
        <f>#REF!+"$Cm=!%@/"</f>
        <v>#REF!</v>
      </c>
      <c r="DW71" t="e">
        <f>#REF!+"$Cm=!%@0"</f>
        <v>#REF!</v>
      </c>
      <c r="DX71" t="e">
        <f>#REF!+"$Cm=!%@1"</f>
        <v>#REF!</v>
      </c>
      <c r="DY71" t="e">
        <f>#REF!+"$Cm=!%@2"</f>
        <v>#REF!</v>
      </c>
      <c r="DZ71" t="e">
        <f>#REF!+"$Cm=!%@3"</f>
        <v>#REF!</v>
      </c>
      <c r="EA71" t="e">
        <f>#REF!+"$Cm=!%@4"</f>
        <v>#REF!</v>
      </c>
      <c r="EB71" t="e">
        <f>#REF!+"$Cm=!%@5"</f>
        <v>#REF!</v>
      </c>
      <c r="EC71" t="e">
        <f>#REF!+"$Cm=!%@6"</f>
        <v>#REF!</v>
      </c>
      <c r="ED71" t="e">
        <f>#REF!+"$Cm=!%@7"</f>
        <v>#REF!</v>
      </c>
      <c r="EE71" t="e">
        <f>#REF!+"$Cm=!%@8"</f>
        <v>#REF!</v>
      </c>
      <c r="EF71" t="e">
        <f>#REF!+"$Cm=!%@9"</f>
        <v>#REF!</v>
      </c>
      <c r="EG71" t="e">
        <f>#REF!+"$Cm=!%@:"</f>
        <v>#REF!</v>
      </c>
      <c r="EH71" t="e">
        <f>#REF!+"$Cm=!%@;"</f>
        <v>#REF!</v>
      </c>
      <c r="EI71" t="e">
        <f>#REF!+"$Cm=!%@&lt;"</f>
        <v>#REF!</v>
      </c>
      <c r="EJ71" t="e">
        <f>#REF!+"$Cm=!%@="</f>
        <v>#REF!</v>
      </c>
      <c r="EK71" t="e">
        <f>#REF!+"$Cm=!%@&gt;"</f>
        <v>#REF!</v>
      </c>
      <c r="EL71" t="e">
        <f>#REF!+"$Cm=!%@?"</f>
        <v>#REF!</v>
      </c>
      <c r="EM71" t="e">
        <f>#REF!+"$Cm=!%@@"</f>
        <v>#REF!</v>
      </c>
      <c r="EN71" t="e">
        <f>#REF!+"$Cm=!%@A"</f>
        <v>#REF!</v>
      </c>
      <c r="EO71" t="e">
        <f>#REF!+"$Cm=!%@B"</f>
        <v>#REF!</v>
      </c>
      <c r="EP71" t="e">
        <f>#REF!+"$Cm=!%@C"</f>
        <v>#REF!</v>
      </c>
      <c r="EQ71" t="e">
        <f>#REF!+"$Cm=!%@D"</f>
        <v>#REF!</v>
      </c>
      <c r="ER71" t="e">
        <f>#REF!+"$Cm=!%@E"</f>
        <v>#REF!</v>
      </c>
      <c r="ES71" t="e">
        <f>#REF!+"$Cm=!%@F"</f>
        <v>#REF!</v>
      </c>
      <c r="ET71" t="e">
        <f>#REF!+"$Cm=!%@G"</f>
        <v>#REF!</v>
      </c>
      <c r="EU71" t="e">
        <f>#REF!+"$Cm=!%@H"</f>
        <v>#REF!</v>
      </c>
      <c r="EV71" t="e">
        <f>#REF!+"$Cm=!%@I"</f>
        <v>#REF!</v>
      </c>
      <c r="EW71" t="e">
        <f>#REF!+"$Cm=!%@J"</f>
        <v>#REF!</v>
      </c>
      <c r="EX71" t="e">
        <f>#REF!+"$Cm=!%@K"</f>
        <v>#REF!</v>
      </c>
      <c r="EY71" t="e">
        <f>#REF!+"$Cm=!%@L"</f>
        <v>#REF!</v>
      </c>
      <c r="EZ71" t="e">
        <f>#REF!+"$Cm=!%@M"</f>
        <v>#REF!</v>
      </c>
      <c r="FA71" t="e">
        <f>#REF!+"$Cm=!%@N"</f>
        <v>#REF!</v>
      </c>
      <c r="FB71" t="e">
        <f>#REF!+"$Cm=!%@O"</f>
        <v>#REF!</v>
      </c>
      <c r="FC71" t="e">
        <f>#REF!+"$Cm=!%@P"</f>
        <v>#REF!</v>
      </c>
      <c r="FD71" t="e">
        <f>#REF!+"$Cm=!%@Q"</f>
        <v>#REF!</v>
      </c>
      <c r="FE71" t="e">
        <f>#REF!+"$Cm=!%@R"</f>
        <v>#REF!</v>
      </c>
      <c r="FF71" t="e">
        <f>#REF!+"$Cm=!%@S"</f>
        <v>#REF!</v>
      </c>
      <c r="FG71" t="e">
        <f>#REF!+"$Cm=!%@T"</f>
        <v>#REF!</v>
      </c>
      <c r="FH71" t="e">
        <f>#REF!+"$Cm=!%@U"</f>
        <v>#REF!</v>
      </c>
      <c r="FI71" t="e">
        <f>#REF!+"$Cm=!%@V"</f>
        <v>#REF!</v>
      </c>
      <c r="FJ71" t="e">
        <f>#REF!+"$Cm=!%@W"</f>
        <v>#REF!</v>
      </c>
      <c r="FK71" t="e">
        <f>#REF!+"$Cm=!%@X"</f>
        <v>#REF!</v>
      </c>
      <c r="FL71" t="e">
        <f>#REF!+"$Cm=!%@Y"</f>
        <v>#REF!</v>
      </c>
      <c r="FM71" t="e">
        <f>#REF!+"$Cm=!%@Z"</f>
        <v>#REF!</v>
      </c>
      <c r="FN71" t="e">
        <f>#REF!+"$Cm=!%@["</f>
        <v>#REF!</v>
      </c>
      <c r="FO71" t="e">
        <f>#REF!+"$Cm=!%@\"</f>
        <v>#REF!</v>
      </c>
      <c r="FP71" t="e">
        <f>#REF!+"$Cm=!%@]"</f>
        <v>#REF!</v>
      </c>
      <c r="FQ71" t="e">
        <f>#REF!+"$Cm=!%@^"</f>
        <v>#REF!</v>
      </c>
      <c r="FR71" t="e">
        <f>#REF!+"$Cm=!%@_"</f>
        <v>#REF!</v>
      </c>
      <c r="FS71" t="e">
        <f>#REF!+"$Cm=!%@`"</f>
        <v>#REF!</v>
      </c>
      <c r="FT71" t="e">
        <f>#REF!+"$Cm=!%@a"</f>
        <v>#REF!</v>
      </c>
      <c r="FU71" t="e">
        <f>#REF!+"$Cm=!%@b"</f>
        <v>#REF!</v>
      </c>
      <c r="FV71" t="e">
        <f>#REF!+"$Cm=!%@c"</f>
        <v>#REF!</v>
      </c>
      <c r="FW71" t="e">
        <f>#REF!+"$Cm=!%@d"</f>
        <v>#REF!</v>
      </c>
      <c r="FX71" t="e">
        <f>#REF!+"$Cm=!%@e"</f>
        <v>#REF!</v>
      </c>
      <c r="FY71" t="e">
        <f>#REF!+"$Cm=!%@f"</f>
        <v>#REF!</v>
      </c>
      <c r="FZ71" t="e">
        <f>#REF!+"$Cm=!%@g"</f>
        <v>#REF!</v>
      </c>
      <c r="GA71" t="e">
        <f>#REF!+"$Cm=!%@h"</f>
        <v>#REF!</v>
      </c>
      <c r="GB71" t="e">
        <f>#REF!+"$Cm=!%@i"</f>
        <v>#REF!</v>
      </c>
      <c r="GC71" t="e">
        <f>#REF!+"$Cm=!%@j"</f>
        <v>#REF!</v>
      </c>
      <c r="GD71" t="e">
        <f>#REF!+"$Cm=!%@k"</f>
        <v>#REF!</v>
      </c>
      <c r="GE71" t="e">
        <f>#REF!+"$Cm=!%@l"</f>
        <v>#REF!</v>
      </c>
      <c r="GF71" t="e">
        <f>#REF!+"$Cm=!%@m"</f>
        <v>#REF!</v>
      </c>
      <c r="GG71" t="e">
        <f>#REF!+"$Cm=!%@n"</f>
        <v>#REF!</v>
      </c>
      <c r="GH71" t="e">
        <f>#REF!+"$Cm=!%@o"</f>
        <v>#REF!</v>
      </c>
      <c r="GI71" t="e">
        <f>#REF!+"$Cm=!%@p"</f>
        <v>#REF!</v>
      </c>
      <c r="GJ71" t="e">
        <f>#REF!+"$Cm=!%@q"</f>
        <v>#REF!</v>
      </c>
      <c r="GK71" t="e">
        <f>#REF!+"$Cm=!%@r"</f>
        <v>#REF!</v>
      </c>
      <c r="GL71" t="e">
        <f>#REF!+"$Cm=!%@s"</f>
        <v>#REF!</v>
      </c>
      <c r="GM71" t="e">
        <f>#REF!+"$Cm=!%@t"</f>
        <v>#REF!</v>
      </c>
      <c r="GN71" t="e">
        <f>#REF!+"$Cm=!%@u"</f>
        <v>#REF!</v>
      </c>
      <c r="GO71" t="e">
        <f>#REF!+"$Cm=!%@v"</f>
        <v>#REF!</v>
      </c>
      <c r="GP71" t="e">
        <f>#REF!+"$Cm=!%@w"</f>
        <v>#REF!</v>
      </c>
      <c r="GQ71" t="e">
        <f>#REF!+"$Cm=!%@x"</f>
        <v>#REF!</v>
      </c>
      <c r="GR71" t="e">
        <f>#REF!+"$Cm=!%@y"</f>
        <v>#REF!</v>
      </c>
      <c r="GS71" t="e">
        <f>#REF!+"$Cm=!%@z"</f>
        <v>#REF!</v>
      </c>
      <c r="GT71" t="e">
        <f>#REF!+"$Cm=!%@{"</f>
        <v>#REF!</v>
      </c>
      <c r="GU71" t="e">
        <f>#REF!+"$Cm=!%@|"</f>
        <v>#REF!</v>
      </c>
      <c r="GV71" t="e">
        <f>#REF!+"$Cm=!%@}"</f>
        <v>#REF!</v>
      </c>
      <c r="GW71" t="e">
        <f>#REF!+"$Cm=!%@~"</f>
        <v>#REF!</v>
      </c>
      <c r="GX71" t="e">
        <f>#REF!+"$Cm=!%A#"</f>
        <v>#REF!</v>
      </c>
      <c r="GY71" t="e">
        <f>#REF!+"$Cm=!%A$"</f>
        <v>#REF!</v>
      </c>
      <c r="GZ71" t="e">
        <f>#REF!+"$Cm=!%A%"</f>
        <v>#REF!</v>
      </c>
      <c r="HA71" t="e">
        <f>#REF!+"$Cm=!%A&amp;"</f>
        <v>#REF!</v>
      </c>
      <c r="HB71" t="e">
        <f>#REF!+"$Cm=!%A'"</f>
        <v>#REF!</v>
      </c>
      <c r="HC71" t="e">
        <f>#REF!+"$Cm=!%A("</f>
        <v>#REF!</v>
      </c>
      <c r="HD71" t="e">
        <f>#REF!+"$Cm=!%A)"</f>
        <v>#REF!</v>
      </c>
      <c r="HE71" t="e">
        <f>#REF!+"$Cm=!%A."</f>
        <v>#REF!</v>
      </c>
      <c r="HF71" t="e">
        <f>#REF!+"$Cm=!%A/"</f>
        <v>#REF!</v>
      </c>
      <c r="HG71" t="e">
        <f>#REF!+"$Cm=!%A0"</f>
        <v>#REF!</v>
      </c>
      <c r="HH71" t="e">
        <f>#REF!+"$Cm=!%A1"</f>
        <v>#REF!</v>
      </c>
      <c r="HI71" t="e">
        <f>#REF!+"$Cm=!%A2"</f>
        <v>#REF!</v>
      </c>
      <c r="HJ71" t="e">
        <f>#REF!+"$Cm=!%A3"</f>
        <v>#REF!</v>
      </c>
      <c r="HK71" t="e">
        <f>#REF!+"$Cm=!%A4"</f>
        <v>#REF!</v>
      </c>
      <c r="HL71" t="e">
        <f>#REF!+"$Cm=!%A5"</f>
        <v>#REF!</v>
      </c>
      <c r="HM71" t="e">
        <f>#REF!+"$Cm=!%A6"</f>
        <v>#REF!</v>
      </c>
      <c r="HN71" t="e">
        <f>#REF!+"$Cm=!%A7"</f>
        <v>#REF!</v>
      </c>
      <c r="HO71" t="e">
        <f>#REF!+"$Cm=!%A8"</f>
        <v>#REF!</v>
      </c>
      <c r="HP71" t="e">
        <f>#REF!+"$Cm=!%A9"</f>
        <v>#REF!</v>
      </c>
      <c r="HQ71" t="e">
        <f>#REF!+"$Cm=!%A:"</f>
        <v>#REF!</v>
      </c>
      <c r="HR71" t="e">
        <f>#REF!+"$Cm=!%A;"</f>
        <v>#REF!</v>
      </c>
      <c r="HS71" t="e">
        <f>#REF!+"$Cm=!%A&lt;"</f>
        <v>#REF!</v>
      </c>
      <c r="HT71" t="e">
        <f>#REF!+"$Cm=!%A="</f>
        <v>#REF!</v>
      </c>
      <c r="HU71" t="e">
        <f>#REF!+"$Cm=!%A&gt;"</f>
        <v>#REF!</v>
      </c>
      <c r="HV71" t="e">
        <f>#REF!+"$Cm=!%A?"</f>
        <v>#REF!</v>
      </c>
      <c r="HW71" t="e">
        <f>#REF!+"$Cm=!%A@"</f>
        <v>#REF!</v>
      </c>
      <c r="HX71" t="e">
        <f>#REF!+"$Cm=!%AA"</f>
        <v>#REF!</v>
      </c>
      <c r="HY71" t="e">
        <f>#REF!+"$Cm=!%AB"</f>
        <v>#REF!</v>
      </c>
      <c r="HZ71" t="e">
        <f>#REF!+"$Cm=!%AC"</f>
        <v>#REF!</v>
      </c>
      <c r="IA71" t="e">
        <f>#REF!+"$Cm=!%AD"</f>
        <v>#REF!</v>
      </c>
      <c r="IB71" t="e">
        <f>#REF!+"$Cm=!%AE"</f>
        <v>#REF!</v>
      </c>
      <c r="IC71" t="e">
        <f>#REF!+"$Cm=!%AF"</f>
        <v>#REF!</v>
      </c>
      <c r="ID71" t="e">
        <f>#REF!+"$Cm=!%AG"</f>
        <v>#REF!</v>
      </c>
      <c r="IE71" t="e">
        <f>#REF!+"$Cm=!%AH"</f>
        <v>#REF!</v>
      </c>
      <c r="IF71" t="e">
        <f>#REF!+"$Cm=!%AI"</f>
        <v>#REF!</v>
      </c>
      <c r="IG71" t="e">
        <f>#REF!+"$Cm=!%AJ"</f>
        <v>#REF!</v>
      </c>
      <c r="IH71" t="e">
        <f>#REF!+"$Cm=!%AK"</f>
        <v>#REF!</v>
      </c>
      <c r="II71" t="e">
        <f>#REF!+"$Cm=!%AL"</f>
        <v>#REF!</v>
      </c>
      <c r="IJ71" t="e">
        <f>#REF!+"$Cm=!%AM"</f>
        <v>#REF!</v>
      </c>
      <c r="IK71" t="e">
        <f>#REF!+"$Cm=!%AN"</f>
        <v>#REF!</v>
      </c>
      <c r="IL71" t="e">
        <f>#REF!+"$Cm=!%AO"</f>
        <v>#REF!</v>
      </c>
      <c r="IM71" t="e">
        <f>#REF!+"$Cm=!%AP"</f>
        <v>#REF!</v>
      </c>
      <c r="IN71" t="e">
        <f>#REF!+"$Cm=!%AQ"</f>
        <v>#REF!</v>
      </c>
      <c r="IO71" t="e">
        <f>#REF!+"$Cm=!%AR"</f>
        <v>#REF!</v>
      </c>
      <c r="IP71" t="e">
        <f>#REF!+"$Cm=!%AS"</f>
        <v>#REF!</v>
      </c>
      <c r="IQ71" t="e">
        <f>#REF!+"$Cm=!%AT"</f>
        <v>#REF!</v>
      </c>
      <c r="IR71" t="e">
        <f>#REF!+"$Cm=!%AU"</f>
        <v>#REF!</v>
      </c>
      <c r="IS71" t="e">
        <f>#REF!+"$Cm=!%AV"</f>
        <v>#REF!</v>
      </c>
      <c r="IT71" t="e">
        <f>#REF!+"$Cm=!%AW"</f>
        <v>#REF!</v>
      </c>
      <c r="IU71" t="e">
        <f>#REF!+"$Cm=!%AX"</f>
        <v>#REF!</v>
      </c>
      <c r="IV71" t="e">
        <f>#REF!+"$Cm=!%AY"</f>
        <v>#REF!</v>
      </c>
    </row>
    <row r="72" spans="6:256">
      <c r="F72" t="e">
        <f>#REF!+"$Cm=!%AZ"</f>
        <v>#REF!</v>
      </c>
      <c r="G72" t="e">
        <f>#REF!+"$Cm=!%A["</f>
        <v>#REF!</v>
      </c>
      <c r="H72" t="e">
        <f>#REF!+"$Cm=!%A\"</f>
        <v>#REF!</v>
      </c>
      <c r="I72" t="e">
        <f>#REF!+"$Cm=!%A]"</f>
        <v>#REF!</v>
      </c>
      <c r="J72" t="e">
        <f>#REF!+"$Cm=!%A^"</f>
        <v>#REF!</v>
      </c>
      <c r="K72" t="e">
        <f>#REF!+"$Cm=!%A_"</f>
        <v>#REF!</v>
      </c>
      <c r="L72" t="e">
        <f>#REF!+"$Cm=!%A`"</f>
        <v>#REF!</v>
      </c>
      <c r="M72" t="e">
        <f>#REF!+"$Cm=!%Aa"</f>
        <v>#REF!</v>
      </c>
      <c r="N72" t="e">
        <f>#REF!+"$Cm=!%Ab"</f>
        <v>#REF!</v>
      </c>
      <c r="O72" t="e">
        <f>#REF!+"$Cm=!%Ac"</f>
        <v>#REF!</v>
      </c>
      <c r="P72" t="e">
        <f>#REF!+"$Cm=!%Ad"</f>
        <v>#REF!</v>
      </c>
      <c r="Q72" t="e">
        <f>#REF!+"$Cm=!%Ae"</f>
        <v>#REF!</v>
      </c>
      <c r="R72" t="e">
        <f>#REF!+"$Cm=!%Af"</f>
        <v>#REF!</v>
      </c>
      <c r="S72" t="e">
        <f>#REF!+"$Cm=!%Ag"</f>
        <v>#REF!</v>
      </c>
      <c r="T72" t="e">
        <f>#REF!+"$Cm=!%Ah"</f>
        <v>#REF!</v>
      </c>
      <c r="U72" t="e">
        <f>#REF!+"$Cm=!%Ai"</f>
        <v>#REF!</v>
      </c>
      <c r="V72" t="e">
        <f>#REF!+"$Cm=!%Aj"</f>
        <v>#REF!</v>
      </c>
      <c r="W72" t="e">
        <f>#REF!+"$Cm=!%Ak"</f>
        <v>#REF!</v>
      </c>
      <c r="X72" t="e">
        <f>#REF!+"$Cm=!%Al"</f>
        <v>#REF!</v>
      </c>
      <c r="Y72" t="e">
        <f>#REF!+"$Cm=!%Am"</f>
        <v>#REF!</v>
      </c>
      <c r="Z72" t="e">
        <f>#REF!+"$Cm=!%An"</f>
        <v>#REF!</v>
      </c>
      <c r="AA72" t="e">
        <f>#REF!+"$Cm=!%Ao"</f>
        <v>#REF!</v>
      </c>
      <c r="AB72" t="e">
        <f>#REF!+"$Cm=!%Ap"</f>
        <v>#REF!</v>
      </c>
      <c r="AC72" t="e">
        <f>#REF!+"$Cm=!%Aq"</f>
        <v>#REF!</v>
      </c>
      <c r="AD72" t="e">
        <f>#REF!+"$Cm=!%Ar"</f>
        <v>#REF!</v>
      </c>
      <c r="AE72" t="e">
        <f>#REF!+"$Cm=!%As"</f>
        <v>#REF!</v>
      </c>
      <c r="AF72" t="e">
        <f>#REF!+"$Cm=!%At"</f>
        <v>#REF!</v>
      </c>
      <c r="AG72" t="e">
        <f>#REF!+"$Cm=!%Au"</f>
        <v>#REF!</v>
      </c>
      <c r="AH72" t="e">
        <f>#REF!+"$Cm=!%Av"</f>
        <v>#REF!</v>
      </c>
      <c r="AI72" t="e">
        <f>#REF!+"$Cm=!%Aw"</f>
        <v>#REF!</v>
      </c>
      <c r="AJ72" t="e">
        <f>#REF!+"$Cm=!%Ax"</f>
        <v>#REF!</v>
      </c>
      <c r="AK72" t="e">
        <f>#REF!+"$Cm=!%Ay"</f>
        <v>#REF!</v>
      </c>
      <c r="AL72" t="e">
        <f>#REF!+"$Cm=!%Az"</f>
        <v>#REF!</v>
      </c>
      <c r="AM72" t="e">
        <f>#REF!+"$Cm=!%A{"</f>
        <v>#REF!</v>
      </c>
      <c r="AN72" t="e">
        <f>#REF!+"$Cm=!%A|"</f>
        <v>#REF!</v>
      </c>
      <c r="AO72" t="e">
        <f>#REF!+"$Cm=!%A}"</f>
        <v>#REF!</v>
      </c>
      <c r="AP72" t="e">
        <f>#REF!+"$Cm=!%A~"</f>
        <v>#REF!</v>
      </c>
      <c r="AQ72" t="e">
        <f>#REF!+"$Cm=!%B#"</f>
        <v>#REF!</v>
      </c>
      <c r="AR72" t="e">
        <f>#REF!+"$Cm=!%B$"</f>
        <v>#REF!</v>
      </c>
      <c r="AS72" t="e">
        <f>#REF!+"$Cm=!%B%"</f>
        <v>#REF!</v>
      </c>
      <c r="AT72" t="e">
        <f>#REF!+"$Cm=!%B&amp;"</f>
        <v>#REF!</v>
      </c>
      <c r="AU72" t="e">
        <f>#REF!+"$Cm=!%B'"</f>
        <v>#REF!</v>
      </c>
      <c r="AV72" t="e">
        <f>#REF!+"$Cm=!%B("</f>
        <v>#REF!</v>
      </c>
      <c r="AW72" t="e">
        <f>#REF!+"$Cm=!%B)"</f>
        <v>#REF!</v>
      </c>
      <c r="AX72" t="e">
        <f>#REF!+"$Cm=!%B."</f>
        <v>#REF!</v>
      </c>
      <c r="AY72" t="e">
        <f>#REF!+"$Cm=!%B/"</f>
        <v>#REF!</v>
      </c>
      <c r="AZ72" t="e">
        <f>#REF!+"$Cm=!%B0"</f>
        <v>#REF!</v>
      </c>
      <c r="BA72" t="e">
        <f>#REF!+"$Cm=!%B1"</f>
        <v>#REF!</v>
      </c>
      <c r="BB72" t="e">
        <f>#REF!+"$Cm=!%B2"</f>
        <v>#REF!</v>
      </c>
      <c r="BC72" t="e">
        <f>#REF!+"$Cm=!%B3"</f>
        <v>#REF!</v>
      </c>
      <c r="BD72" t="e">
        <f>#REF!+"$Cm=!%B4"</f>
        <v>#REF!</v>
      </c>
      <c r="BE72" t="e">
        <f>#REF!+"$Cm=!%B5"</f>
        <v>#REF!</v>
      </c>
      <c r="BF72" t="e">
        <f>#REF!+"$Cm=!%B6"</f>
        <v>#REF!</v>
      </c>
      <c r="BG72" t="e">
        <f>#REF!+"$Cm=!%B7"</f>
        <v>#REF!</v>
      </c>
      <c r="BH72" t="e">
        <f>#REF!+"$Cm=!%B8"</f>
        <v>#REF!</v>
      </c>
      <c r="BI72" t="e">
        <f>#REF!+"$Cm=!%B9"</f>
        <v>#REF!</v>
      </c>
      <c r="BJ72" t="e">
        <f>#REF!+"$Cm=!%B:"</f>
        <v>#REF!</v>
      </c>
      <c r="BK72" t="e">
        <f>#REF!+"$Cm=!%B;"</f>
        <v>#REF!</v>
      </c>
      <c r="BL72" t="e">
        <f>#REF!+"$Cm=!%B&lt;"</f>
        <v>#REF!</v>
      </c>
      <c r="BM72" t="e">
        <f>#REF!+"$Cm=!%B="</f>
        <v>#REF!</v>
      </c>
      <c r="BN72" t="e">
        <f>#REF!+"$Cm=!%B&gt;"</f>
        <v>#REF!</v>
      </c>
      <c r="BO72" t="e">
        <f>#REF!+"$Cm=!%B?"</f>
        <v>#REF!</v>
      </c>
      <c r="BP72" t="e">
        <f>#REF!+"$Cm=!%B@"</f>
        <v>#REF!</v>
      </c>
      <c r="BQ72" t="e">
        <f>#REF!+"$Cm=!%BA"</f>
        <v>#REF!</v>
      </c>
      <c r="BR72" t="e">
        <f>#REF!+"$Cm=!%BB"</f>
        <v>#REF!</v>
      </c>
      <c r="BS72" t="e">
        <f>#REF!+"$Cm=!%BC"</f>
        <v>#REF!</v>
      </c>
      <c r="BT72" t="e">
        <f>#REF!+"$Cm=!%BD"</f>
        <v>#REF!</v>
      </c>
      <c r="BU72" t="e">
        <f>#REF!+"$Cm=!%BE"</f>
        <v>#REF!</v>
      </c>
      <c r="BV72" t="e">
        <f>#REF!+"$Cm=!%BF"</f>
        <v>#REF!</v>
      </c>
      <c r="BW72" t="e">
        <f>#REF!+"$Cm=!%BG"</f>
        <v>#REF!</v>
      </c>
      <c r="BX72" t="e">
        <f>#REF!+"$Cm=!%BH"</f>
        <v>#REF!</v>
      </c>
      <c r="BY72" t="e">
        <f>#REF!+"$Cm=!%BI"</f>
        <v>#REF!</v>
      </c>
      <c r="BZ72" t="e">
        <f>#REF!+"$Cm=!%BJ"</f>
        <v>#REF!</v>
      </c>
      <c r="CA72" t="e">
        <f>#REF!+"$Cm=!%BK"</f>
        <v>#REF!</v>
      </c>
      <c r="CB72" t="e">
        <f>#REF!+"$Cm=!%BL"</f>
        <v>#REF!</v>
      </c>
      <c r="CC72" t="e">
        <f>#REF!+"$Cm=!%BM"</f>
        <v>#REF!</v>
      </c>
      <c r="CD72" t="e">
        <f>#REF!+"$Cm=!%BN"</f>
        <v>#REF!</v>
      </c>
      <c r="CE72" t="e">
        <f>#REF!+"$Cm=!%BO"</f>
        <v>#REF!</v>
      </c>
      <c r="CF72" t="e">
        <f>#REF!+"$Cm=!%BP"</f>
        <v>#REF!</v>
      </c>
      <c r="CG72" t="e">
        <f>#REF!+"$Cm=!%BQ"</f>
        <v>#REF!</v>
      </c>
      <c r="CH72" t="e">
        <f>#REF!+"$Cm=!%BR"</f>
        <v>#REF!</v>
      </c>
      <c r="CI72" t="e">
        <f>#REF!+"$Cm=!%BS"</f>
        <v>#REF!</v>
      </c>
      <c r="CJ72" t="e">
        <f>#REF!+"$Cm=!%BT"</f>
        <v>#REF!</v>
      </c>
      <c r="CK72" t="e">
        <f>#REF!+"$Cm=!%BU"</f>
        <v>#REF!</v>
      </c>
      <c r="CL72" t="e">
        <f>#REF!+"$Cm=!%BV"</f>
        <v>#REF!</v>
      </c>
      <c r="CM72" t="e">
        <f>#REF!+"$Cm=!%BW"</f>
        <v>#REF!</v>
      </c>
      <c r="CN72" t="e">
        <f>#REF!+"$Cm=!%BX"</f>
        <v>#REF!</v>
      </c>
      <c r="CO72" t="e">
        <f>#REF!+"$Cm=!%BY"</f>
        <v>#REF!</v>
      </c>
      <c r="CP72" t="e">
        <f>#REF!+"$Cm=!%BZ"</f>
        <v>#REF!</v>
      </c>
      <c r="CQ72" t="e">
        <f>#REF!+"$Cm=!%B["</f>
        <v>#REF!</v>
      </c>
      <c r="CR72" t="e">
        <f>#REF!+"$Cm=!%B\"</f>
        <v>#REF!</v>
      </c>
      <c r="CS72" t="e">
        <f>#REF!+"$Cm=!%B]"</f>
        <v>#REF!</v>
      </c>
      <c r="CT72" t="e">
        <f>#REF!+"$Cm=!%B^"</f>
        <v>#REF!</v>
      </c>
      <c r="CU72" t="e">
        <f>#REF!+"$Cm=!%B_"</f>
        <v>#REF!</v>
      </c>
      <c r="CV72" t="e">
        <f>#REF!+"$Cm=!%B`"</f>
        <v>#REF!</v>
      </c>
      <c r="CW72" t="e">
        <f>#REF!+"$Cm=!%Ba"</f>
        <v>#REF!</v>
      </c>
      <c r="CX72" t="e">
        <f>#REF!+"$Cm=!%Bb"</f>
        <v>#REF!</v>
      </c>
      <c r="CY72" t="e">
        <f>#REF!+"$Cm=!%Bc"</f>
        <v>#REF!</v>
      </c>
      <c r="CZ72" t="e">
        <f>#REF!+"$Cm=!%Bd"</f>
        <v>#REF!</v>
      </c>
      <c r="DA72" t="e">
        <f>#REF!+"$Cm=!%Be"</f>
        <v>#REF!</v>
      </c>
      <c r="DB72" t="e">
        <f>#REF!+"$Cm=!%Bf"</f>
        <v>#REF!</v>
      </c>
      <c r="DC72" t="e">
        <f>#REF!+"$Cm=!%Bg"</f>
        <v>#REF!</v>
      </c>
      <c r="DD72" t="e">
        <f>#REF!+"$Cm=!%Bh"</f>
        <v>#REF!</v>
      </c>
      <c r="DE72" t="e">
        <f>#REF!+"$Cm=!%Bi"</f>
        <v>#REF!</v>
      </c>
      <c r="DF72" t="e">
        <f>#REF!+"$Cm=!%Bj"</f>
        <v>#REF!</v>
      </c>
      <c r="DG72" t="e">
        <f>#REF!+"$Cm=!%Bk"</f>
        <v>#REF!</v>
      </c>
      <c r="DH72" t="e">
        <f>#REF!+"$Cm=!%Bl"</f>
        <v>#REF!</v>
      </c>
      <c r="DI72" t="e">
        <f>#REF!+"$Cm=!%Bm"</f>
        <v>#REF!</v>
      </c>
      <c r="DJ72" t="e">
        <f>#REF!+"$Cm=!%Bn"</f>
        <v>#REF!</v>
      </c>
      <c r="DK72" t="e">
        <f>#REF!+"$Cm=!%Bo"</f>
        <v>#REF!</v>
      </c>
      <c r="DL72" t="e">
        <f>#REF!+"$Cm=!%Bp"</f>
        <v>#REF!</v>
      </c>
      <c r="DM72" t="e">
        <f>#REF!+"$Cm=!%Bq"</f>
        <v>#REF!</v>
      </c>
      <c r="DN72" t="e">
        <f>#REF!+"$Cm=!%Br"</f>
        <v>#REF!</v>
      </c>
      <c r="DO72" t="e">
        <f>#REF!+"$Cm=!%Bs"</f>
        <v>#REF!</v>
      </c>
      <c r="DP72" t="e">
        <f>#REF!+"$Cm=!%Bt"</f>
        <v>#REF!</v>
      </c>
      <c r="DQ72" t="e">
        <f>#REF!+"$Cm=!%Bu"</f>
        <v>#REF!</v>
      </c>
      <c r="DR72" t="e">
        <f>#REF!+"$Cm=!%Bv"</f>
        <v>#REF!</v>
      </c>
      <c r="DS72" t="e">
        <f>#REF!+"$Cm=!%Bw"</f>
        <v>#REF!</v>
      </c>
      <c r="DT72" t="e">
        <f>#REF!+"$Cm=!%Bx"</f>
        <v>#REF!</v>
      </c>
      <c r="DU72" t="e">
        <f>#REF!+"$Cm=!%By"</f>
        <v>#REF!</v>
      </c>
      <c r="DV72" t="e">
        <f>#REF!+"$Cm=!%Bz"</f>
        <v>#REF!</v>
      </c>
      <c r="DW72" t="e">
        <f>#REF!+"$Cm=!%B{"</f>
        <v>#REF!</v>
      </c>
      <c r="DX72" t="e">
        <f>#REF!+"$Cm=!%B|"</f>
        <v>#REF!</v>
      </c>
      <c r="DY72" t="e">
        <f>#REF!+"$Cm=!%B}"</f>
        <v>#REF!</v>
      </c>
      <c r="DZ72" t="e">
        <f>#REF!+"$Cm=!%B~"</f>
        <v>#REF!</v>
      </c>
      <c r="EA72" t="e">
        <f>#REF!+"$Cm=!%C#"</f>
        <v>#REF!</v>
      </c>
      <c r="EB72" t="e">
        <f>#REF!+"$Cm=!%C$"</f>
        <v>#REF!</v>
      </c>
      <c r="EC72" t="e">
        <f>#REF!+"$Cm=!%C%"</f>
        <v>#REF!</v>
      </c>
      <c r="ED72" t="e">
        <f>#REF!+"$Cm=!%C&amp;"</f>
        <v>#REF!</v>
      </c>
      <c r="EE72" t="e">
        <f>#REF!+"$Cm=!%C'"</f>
        <v>#REF!</v>
      </c>
      <c r="EF72" t="e">
        <f>#REF!+"$Cm=!%C("</f>
        <v>#REF!</v>
      </c>
      <c r="EG72" t="e">
        <f>#REF!+"$Cm=!%C)"</f>
        <v>#REF!</v>
      </c>
      <c r="EH72" t="e">
        <f>#REF!+"$Cm=!%C."</f>
        <v>#REF!</v>
      </c>
      <c r="EI72" t="e">
        <f>#REF!+"$Cm=!%C/"</f>
        <v>#REF!</v>
      </c>
      <c r="EJ72" t="e">
        <f>#REF!+"$Cm=!%C0"</f>
        <v>#REF!</v>
      </c>
      <c r="EK72" t="e">
        <f>#REF!+"$Cm=!%C1"</f>
        <v>#REF!</v>
      </c>
      <c r="EL72" t="e">
        <f>#REF!+"$Cm=!%C2"</f>
        <v>#REF!</v>
      </c>
      <c r="EM72" t="e">
        <f>#REF!+"$Cm=!%C3"</f>
        <v>#REF!</v>
      </c>
      <c r="EN72" t="e">
        <f>#REF!+"$Cm=!%C4"</f>
        <v>#REF!</v>
      </c>
      <c r="EO72" t="e">
        <f>#REF!+"$Cm=!%C5"</f>
        <v>#REF!</v>
      </c>
      <c r="EP72" t="e">
        <f>#REF!+"$Cm=!%C6"</f>
        <v>#REF!</v>
      </c>
      <c r="EQ72" t="e">
        <f>#REF!+"$Cm=!%C7"</f>
        <v>#REF!</v>
      </c>
      <c r="ER72" t="e">
        <f>#REF!+"$Cm=!%C8"</f>
        <v>#REF!</v>
      </c>
      <c r="ES72" t="e">
        <f>#REF!+"$Cm=!%C9"</f>
        <v>#REF!</v>
      </c>
      <c r="ET72" t="e">
        <f>#REF!+"$Cm=!%C:"</f>
        <v>#REF!</v>
      </c>
      <c r="EU72" t="e">
        <f>#REF!+"$Cm=!%C;"</f>
        <v>#REF!</v>
      </c>
      <c r="EV72" t="e">
        <f>#REF!+"$Cm=!%C&lt;"</f>
        <v>#REF!</v>
      </c>
      <c r="EW72" t="e">
        <f>#REF!+"$Cm=!%C="</f>
        <v>#REF!</v>
      </c>
      <c r="EX72" t="e">
        <f>#REF!+"$Cm=!%C&gt;"</f>
        <v>#REF!</v>
      </c>
      <c r="EY72" t="e">
        <f>#REF!+"$Cm=!%C?"</f>
        <v>#REF!</v>
      </c>
      <c r="EZ72" t="e">
        <f>#REF!+"$Cm=!%C@"</f>
        <v>#REF!</v>
      </c>
      <c r="FA72" t="e">
        <f>#REF!+"$Cm=!%CA"</f>
        <v>#REF!</v>
      </c>
      <c r="FB72" t="e">
        <f>#REF!+"$Cm=!%CB"</f>
        <v>#REF!</v>
      </c>
      <c r="FC72" t="e">
        <f>#REF!+"$Cm=!%CC"</f>
        <v>#REF!</v>
      </c>
      <c r="FD72" t="e">
        <f>#REF!+"$Cm=!%CD"</f>
        <v>#REF!</v>
      </c>
      <c r="FE72" t="e">
        <f>#REF!+"$Cm=!%CE"</f>
        <v>#REF!</v>
      </c>
      <c r="FF72" t="e">
        <f>#REF!+"$Cm=!%CF"</f>
        <v>#REF!</v>
      </c>
      <c r="FG72" t="e">
        <f>#REF!+"$Cm=!%CG"</f>
        <v>#REF!</v>
      </c>
      <c r="FH72" t="e">
        <f>#REF!+"$Cm=!%CH"</f>
        <v>#REF!</v>
      </c>
      <c r="FI72" t="e">
        <f>#REF!+"$Cm=!%CI"</f>
        <v>#REF!</v>
      </c>
      <c r="FJ72" t="e">
        <f>#REF!+"$Cm=!%CJ"</f>
        <v>#REF!</v>
      </c>
      <c r="FK72" t="e">
        <f>#REF!+"$Cm=!%CK"</f>
        <v>#REF!</v>
      </c>
      <c r="FL72" t="e">
        <f>#REF!+"$Cm=!%CL"</f>
        <v>#REF!</v>
      </c>
      <c r="FM72" t="e">
        <f>#REF!+"$Cm=!%CM"</f>
        <v>#REF!</v>
      </c>
      <c r="FN72" t="e">
        <f>#REF!+"$Cm=!%CN"</f>
        <v>#REF!</v>
      </c>
      <c r="FO72" t="e">
        <f>#REF!+"$Cm=!%CO"</f>
        <v>#REF!</v>
      </c>
      <c r="FP72" t="e">
        <f>#REF!+"$Cm=!%CP"</f>
        <v>#REF!</v>
      </c>
      <c r="FQ72" t="e">
        <f>#REF!+"$Cm=!%CQ"</f>
        <v>#REF!</v>
      </c>
      <c r="FR72" t="e">
        <f>#REF!+"$Cm=!%CR"</f>
        <v>#REF!</v>
      </c>
      <c r="FS72" t="e">
        <f>#REF!+"$Cm=!%CS"</f>
        <v>#REF!</v>
      </c>
      <c r="FT72" t="e">
        <f>#REF!+"$Cm=!%CT"</f>
        <v>#REF!</v>
      </c>
      <c r="FU72" t="e">
        <f>#REF!+"$Cm=!%CU"</f>
        <v>#REF!</v>
      </c>
      <c r="FV72" t="e">
        <f>#REF!+"$Cm=!%CV"</f>
        <v>#REF!</v>
      </c>
      <c r="FW72" t="e">
        <f>#REF!+"$Cm=!%CW"</f>
        <v>#REF!</v>
      </c>
      <c r="FX72" t="e">
        <f>#REF!+"$Cm=!%CX"</f>
        <v>#REF!</v>
      </c>
      <c r="FY72" t="e">
        <f>#REF!+"$Cm=!%CY"</f>
        <v>#REF!</v>
      </c>
      <c r="FZ72" t="e">
        <f>#REF!+"$Cm=!%CZ"</f>
        <v>#REF!</v>
      </c>
      <c r="GA72" t="e">
        <f>#REF!+"$Cm=!%C["</f>
        <v>#REF!</v>
      </c>
      <c r="GB72" t="e">
        <f>#REF!+"$Cm=!%C\"</f>
        <v>#REF!</v>
      </c>
      <c r="GC72" t="e">
        <f>#REF!+"$Cm=!%C]"</f>
        <v>#REF!</v>
      </c>
      <c r="GD72" t="e">
        <f>#REF!+"$Cm=!%C^"</f>
        <v>#REF!</v>
      </c>
      <c r="GE72" t="e">
        <f>#REF!+"$Cm=!%C_"</f>
        <v>#REF!</v>
      </c>
      <c r="GF72" t="e">
        <f>#REF!+"$Cm=!%C`"</f>
        <v>#REF!</v>
      </c>
      <c r="GG72" t="e">
        <f>#REF!+"$Cm=!%Ca"</f>
        <v>#REF!</v>
      </c>
      <c r="GH72" t="e">
        <f>#REF!+"$Cm=!%Cb"</f>
        <v>#REF!</v>
      </c>
      <c r="GI72" t="e">
        <f>#REF!+"$Cm=!%Cc"</f>
        <v>#REF!</v>
      </c>
      <c r="GJ72" t="e">
        <f>#REF!+"$Cm=!%Cd"</f>
        <v>#REF!</v>
      </c>
      <c r="GK72" t="e">
        <f>#REF!+"$Cm=!%Ce"</f>
        <v>#REF!</v>
      </c>
      <c r="GL72" t="e">
        <f>#REF!+"$Cm=!%Cf"</f>
        <v>#REF!</v>
      </c>
      <c r="GM72" t="e">
        <f>#REF!+"$Cm=!%Cg"</f>
        <v>#REF!</v>
      </c>
      <c r="GN72" t="e">
        <f>#REF!+"$Cm=!%Ch"</f>
        <v>#REF!</v>
      </c>
      <c r="GO72" t="e">
        <f>#REF!+"$Cm=!%Ci"</f>
        <v>#REF!</v>
      </c>
      <c r="GP72" t="e">
        <f>#REF!+"$Cm=!%Cj"</f>
        <v>#REF!</v>
      </c>
      <c r="GQ72" t="e">
        <f>#REF!+"$Cm=!%Ck"</f>
        <v>#REF!</v>
      </c>
      <c r="GR72" t="e">
        <f>#REF!+"$Cm=!%Cl"</f>
        <v>#REF!</v>
      </c>
      <c r="GS72" t="e">
        <f>#REF!+"$Cm=!%Cm"</f>
        <v>#REF!</v>
      </c>
      <c r="GT72" t="e">
        <f>#REF!+"$Cm=!%Cn"</f>
        <v>#REF!</v>
      </c>
      <c r="GU72" t="e">
        <f>#REF!+"$Cm=!%Co"</f>
        <v>#REF!</v>
      </c>
      <c r="GV72" t="e">
        <f>#REF!+"$Cm=!%Cp"</f>
        <v>#REF!</v>
      </c>
      <c r="GW72" t="e">
        <f>#REF!+"$Cm=!%Cq"</f>
        <v>#REF!</v>
      </c>
      <c r="GX72" t="e">
        <f>#REF!+"$Cm=!%Cr"</f>
        <v>#REF!</v>
      </c>
      <c r="GY72" t="e">
        <f>#REF!+"$Cm=!%Cs"</f>
        <v>#REF!</v>
      </c>
      <c r="GZ72" t="e">
        <f>#REF!+"$Cm=!%Ct"</f>
        <v>#REF!</v>
      </c>
      <c r="HA72" t="e">
        <f>#REF!+"$Cm=!%Cu"</f>
        <v>#REF!</v>
      </c>
      <c r="HB72" t="e">
        <f>#REF!+"$Cm=!%Cv"</f>
        <v>#REF!</v>
      </c>
      <c r="HC72" t="e">
        <f>#REF!+"$Cm=!%Cw"</f>
        <v>#REF!</v>
      </c>
      <c r="HD72" t="e">
        <f>#REF!+"$Cm=!%Cx"</f>
        <v>#REF!</v>
      </c>
      <c r="HE72" t="e">
        <f>#REF!+"$Cm=!%Cy"</f>
        <v>#REF!</v>
      </c>
      <c r="HF72" t="e">
        <f>#REF!+"$Cm=!%Cz"</f>
        <v>#REF!</v>
      </c>
      <c r="HG72" t="e">
        <f>#REF!+"$Cm=!%C{"</f>
        <v>#REF!</v>
      </c>
      <c r="HH72" t="e">
        <f>#REF!+"$Cm=!%C|"</f>
        <v>#REF!</v>
      </c>
      <c r="HI72" t="e">
        <f>#REF!+"$Cm=!%C}"</f>
        <v>#REF!</v>
      </c>
      <c r="HJ72" t="e">
        <f>#REF!+"$Cm=!%C~"</f>
        <v>#REF!</v>
      </c>
      <c r="HK72" t="e">
        <f>#REF!+"$Cm=!%D#"</f>
        <v>#REF!</v>
      </c>
      <c r="HL72" t="e">
        <f>#REF!+"$Cm=!%D$"</f>
        <v>#REF!</v>
      </c>
      <c r="HM72" t="e">
        <f>#REF!+"$Cm=!%D%"</f>
        <v>#REF!</v>
      </c>
      <c r="HN72" t="e">
        <f>#REF!+"$Cm=!%D&amp;"</f>
        <v>#REF!</v>
      </c>
      <c r="HO72" t="e">
        <f>#REF!+"$Cm=!%D'"</f>
        <v>#REF!</v>
      </c>
      <c r="HP72" t="e">
        <f>#REF!+"$Cm=!%D("</f>
        <v>#REF!</v>
      </c>
      <c r="HQ72" t="e">
        <f>#REF!+"$Cm=!%D)"</f>
        <v>#REF!</v>
      </c>
      <c r="HR72" t="e">
        <f>#REF!+"$Cm=!%D."</f>
        <v>#REF!</v>
      </c>
      <c r="HS72" t="e">
        <f>#REF!+"$Cm=!%D/"</f>
        <v>#REF!</v>
      </c>
      <c r="HT72" t="e">
        <f>#REF!+"$Cm=!%D0"</f>
        <v>#REF!</v>
      </c>
      <c r="HU72" t="e">
        <f>#REF!+"$Cm=!%D1"</f>
        <v>#REF!</v>
      </c>
      <c r="HV72" t="e">
        <f>#REF!+"$Cm=!%D2"</f>
        <v>#REF!</v>
      </c>
      <c r="HW72" t="e">
        <f>#REF!+"$Cm=!%D3"</f>
        <v>#REF!</v>
      </c>
      <c r="HX72" t="e">
        <f>#REF!+"$Cm=!%D4"</f>
        <v>#REF!</v>
      </c>
      <c r="HY72" t="e">
        <f>#REF!+"$Cm=!%D5"</f>
        <v>#REF!</v>
      </c>
      <c r="HZ72" t="e">
        <f>#REF!+"$Cm=!%D6"</f>
        <v>#REF!</v>
      </c>
      <c r="IA72" t="e">
        <f>#REF!+"$Cm=!%D7"</f>
        <v>#REF!</v>
      </c>
      <c r="IB72" t="e">
        <f>#REF!+"$Cm=!%D8"</f>
        <v>#REF!</v>
      </c>
      <c r="IC72" t="e">
        <f>#REF!+"$Cm=!%D9"</f>
        <v>#REF!</v>
      </c>
      <c r="ID72" t="e">
        <f>#REF!+"$Cm=!%D:"</f>
        <v>#REF!</v>
      </c>
      <c r="IE72" t="e">
        <f>#REF!+"$Cm=!%D;"</f>
        <v>#REF!</v>
      </c>
      <c r="IF72" t="e">
        <f>#REF!+"$Cm=!%D&lt;"</f>
        <v>#REF!</v>
      </c>
      <c r="IG72" t="e">
        <f>#REF!+"$Cm=!%D="</f>
        <v>#REF!</v>
      </c>
      <c r="IH72" t="e">
        <f>#REF!+"$Cm=!%D&gt;"</f>
        <v>#REF!</v>
      </c>
      <c r="II72" t="e">
        <f>#REF!+"$Cm=!%D?"</f>
        <v>#REF!</v>
      </c>
      <c r="IJ72" t="e">
        <f>#REF!+"$Cm=!%D@"</f>
        <v>#REF!</v>
      </c>
      <c r="IK72" t="e">
        <f>#REF!+"$Cm=!%DA"</f>
        <v>#REF!</v>
      </c>
      <c r="IL72" t="e">
        <f>#REF!+"$Cm=!%DB"</f>
        <v>#REF!</v>
      </c>
      <c r="IM72" t="e">
        <f>#REF!+"$Cm=!%DC"</f>
        <v>#REF!</v>
      </c>
      <c r="IN72" t="e">
        <f>#REF!+"$Cm=!%DD"</f>
        <v>#REF!</v>
      </c>
      <c r="IO72" t="e">
        <f>#REF!+"$Cm=!%DE"</f>
        <v>#REF!</v>
      </c>
      <c r="IP72" t="e">
        <f>#REF!+"$Cm=!%DF"</f>
        <v>#REF!</v>
      </c>
      <c r="IQ72" t="e">
        <f>#REF!+"$Cm=!%DG"</f>
        <v>#REF!</v>
      </c>
      <c r="IR72" t="e">
        <f>#REF!+"$Cm=!%DH"</f>
        <v>#REF!</v>
      </c>
      <c r="IS72" t="e">
        <f>#REF!+"$Cm=!%DI"</f>
        <v>#REF!</v>
      </c>
      <c r="IT72" t="e">
        <f>#REF!+"$Cm=!%DJ"</f>
        <v>#REF!</v>
      </c>
      <c r="IU72" t="e">
        <f>#REF!+"$Cm=!%DK"</f>
        <v>#REF!</v>
      </c>
      <c r="IV72" t="e">
        <f>#REF!+"$Cm=!%DL"</f>
        <v>#REF!</v>
      </c>
    </row>
    <row r="73" spans="6:256">
      <c r="F73" t="e">
        <f>#REF!+"$Cm=!%DM"</f>
        <v>#REF!</v>
      </c>
      <c r="G73" t="e">
        <f>#REF!+"$Cm=!%DN"</f>
        <v>#REF!</v>
      </c>
      <c r="H73" t="e">
        <f>#REF!+"$Cm=!%DO"</f>
        <v>#REF!</v>
      </c>
      <c r="I73" t="e">
        <f>#REF!+"$Cm=!%DP"</f>
        <v>#REF!</v>
      </c>
      <c r="J73" t="e">
        <f>#REF!+"$Cm=!%DQ"</f>
        <v>#REF!</v>
      </c>
      <c r="K73" t="e">
        <f>#REF!+"$Cm=!%DR"</f>
        <v>#REF!</v>
      </c>
      <c r="L73" t="e">
        <f>#REF!+"$Cm=!%DS"</f>
        <v>#REF!</v>
      </c>
      <c r="M73" t="e">
        <f>#REF!+"$Cm=!%DT"</f>
        <v>#REF!</v>
      </c>
      <c r="N73" t="e">
        <f>#REF!+"$Cm=!%DU"</f>
        <v>#REF!</v>
      </c>
      <c r="O73" t="e">
        <f>#REF!+"$Cm=!%DV"</f>
        <v>#REF!</v>
      </c>
      <c r="P73" t="e">
        <f>#REF!+"$Cm=!%DW"</f>
        <v>#REF!</v>
      </c>
      <c r="Q73" t="e">
        <f>#REF!+"$Cm=!%DX"</f>
        <v>#REF!</v>
      </c>
      <c r="R73" t="e">
        <f>#REF!+"$Cm=!%DY"</f>
        <v>#REF!</v>
      </c>
      <c r="S73" t="e">
        <f>#REF!+"$Cm=!%DZ"</f>
        <v>#REF!</v>
      </c>
      <c r="T73" t="e">
        <f>#REF!+"$Cm=!%D["</f>
        <v>#REF!</v>
      </c>
      <c r="U73" t="e">
        <f>#REF!+"$Cm=!%D\"</f>
        <v>#REF!</v>
      </c>
      <c r="V73" t="e">
        <f>#REF!+"$Cm=!%D]"</f>
        <v>#REF!</v>
      </c>
      <c r="W73" t="e">
        <f>#REF!+"$Cm=!%D^"</f>
        <v>#REF!</v>
      </c>
      <c r="X73" t="e">
        <f>#REF!+"$Cm=!%D_"</f>
        <v>#REF!</v>
      </c>
      <c r="Y73" t="e">
        <f>#REF!+"$Cm=!%D`"</f>
        <v>#REF!</v>
      </c>
      <c r="Z73" t="e">
        <f>#REF!+"$Cm=!%Da"</f>
        <v>#REF!</v>
      </c>
      <c r="AA73" t="e">
        <f>#REF!+"$Cm=!%Db"</f>
        <v>#REF!</v>
      </c>
      <c r="AB73" t="e">
        <f>#REF!+"$Cm=!%Dc"</f>
        <v>#REF!</v>
      </c>
      <c r="AC73" t="e">
        <f>#REF!+"$Cm=!%Dd"</f>
        <v>#REF!</v>
      </c>
      <c r="AD73" t="e">
        <f>#REF!+"$Cm=!%De"</f>
        <v>#REF!</v>
      </c>
      <c r="AE73" t="e">
        <f>#REF!+"$Cm=!%Df"</f>
        <v>#REF!</v>
      </c>
      <c r="AF73" t="e">
        <f>#REF!+"$Cm=!%Dg"</f>
        <v>#REF!</v>
      </c>
      <c r="AG73" t="e">
        <f>#REF!+"$Cm=!%Dh"</f>
        <v>#REF!</v>
      </c>
      <c r="AH73" t="e">
        <f>#REF!+"$Cm=!%Di"</f>
        <v>#REF!</v>
      </c>
      <c r="AI73" t="e">
        <f>#REF!+"$Cm=!%Dj"</f>
        <v>#REF!</v>
      </c>
      <c r="AJ73" t="e">
        <f>#REF!+"$Cm=!%Dk"</f>
        <v>#REF!</v>
      </c>
      <c r="AK73" t="e">
        <f>#REF!+"$Cm=!%Dl"</f>
        <v>#REF!</v>
      </c>
      <c r="AL73" t="e">
        <f>#REF!+"$Cm=!%Dm"</f>
        <v>#REF!</v>
      </c>
      <c r="AM73" t="e">
        <f>#REF!+"$Cm=!%Dn"</f>
        <v>#REF!</v>
      </c>
      <c r="AN73" t="e">
        <f>#REF!+"$Cm=!%Do"</f>
        <v>#REF!</v>
      </c>
      <c r="AO73" t="e">
        <f>#REF!+"$Cm=!%Dp"</f>
        <v>#REF!</v>
      </c>
      <c r="AP73" t="e">
        <f>#REF!+"$Cm=!%Dq"</f>
        <v>#REF!</v>
      </c>
      <c r="AQ73" t="e">
        <f>#REF!+"$Cm=!%Dr"</f>
        <v>#REF!</v>
      </c>
      <c r="AR73" t="e">
        <f>#REF!+"$Cm=!%Ds"</f>
        <v>#REF!</v>
      </c>
      <c r="AS73" t="e">
        <f>#REF!+"$Cm=!%Dt"</f>
        <v>#REF!</v>
      </c>
      <c r="AT73" t="e">
        <f>#REF!+"$Cm=!%Du"</f>
        <v>#REF!</v>
      </c>
      <c r="AU73" t="e">
        <f>#REF!+"$Cm=!%Dv"</f>
        <v>#REF!</v>
      </c>
      <c r="AV73" t="e">
        <f>#REF!+"$Cm=!%Dw"</f>
        <v>#REF!</v>
      </c>
      <c r="AW73" t="e">
        <f>#REF!+"$Cm=!%Dx"</f>
        <v>#REF!</v>
      </c>
      <c r="AX73" t="e">
        <f>#REF!+"$Cm=!%Dy"</f>
        <v>#REF!</v>
      </c>
      <c r="AY73" t="e">
        <f>#REF!+"$Cm=!%Dz"</f>
        <v>#REF!</v>
      </c>
      <c r="AZ73" t="e">
        <f>#REF!+"$Cm=!%D{"</f>
        <v>#REF!</v>
      </c>
      <c r="BA73" t="e">
        <f>#REF!+"$Cm=!%D|"</f>
        <v>#REF!</v>
      </c>
      <c r="BB73" t="e">
        <f>#REF!+"$Cm=!%D}"</f>
        <v>#REF!</v>
      </c>
      <c r="BC73" t="e">
        <f>#REF!+"$Cm=!%D~"</f>
        <v>#REF!</v>
      </c>
      <c r="BD73" t="e">
        <f>#REF!+"$Cm=!%E#"</f>
        <v>#REF!</v>
      </c>
      <c r="BE73" t="e">
        <f>#REF!+"$Cm=!%E$"</f>
        <v>#REF!</v>
      </c>
      <c r="BF73" t="e">
        <f>#REF!+"$Cm=!%E%"</f>
        <v>#REF!</v>
      </c>
      <c r="BG73" t="e">
        <f>#REF!+"$Cm=!%E&amp;"</f>
        <v>#REF!</v>
      </c>
      <c r="BH73" t="e">
        <f>#REF!+"$Cm=!%E'"</f>
        <v>#REF!</v>
      </c>
      <c r="BI73" t="e">
        <f>#REF!+"$Cm=!%E("</f>
        <v>#REF!</v>
      </c>
      <c r="BJ73" t="e">
        <f>#REF!+"$Cm=!%E)"</f>
        <v>#REF!</v>
      </c>
      <c r="BK73" t="e">
        <f>#REF!+"$Cm=!%E."</f>
        <v>#REF!</v>
      </c>
      <c r="BL73" t="e">
        <f>#REF!+"$Cm=!%E/"</f>
        <v>#REF!</v>
      </c>
      <c r="BM73" t="e">
        <f>#REF!+"$Cm=!%E0"</f>
        <v>#REF!</v>
      </c>
      <c r="BN73" t="e">
        <f>#REF!+"$Cm=!%E1"</f>
        <v>#REF!</v>
      </c>
      <c r="BO73" t="e">
        <f>#REF!+"$Cm=!%E2"</f>
        <v>#REF!</v>
      </c>
      <c r="BP73" t="e">
        <f>#REF!+"$Cm=!%E3"</f>
        <v>#REF!</v>
      </c>
      <c r="BQ73" t="e">
        <f>#REF!+"$Cm=!%E4"</f>
        <v>#REF!</v>
      </c>
      <c r="BR73" t="e">
        <f>#REF!+"$Cm=!%E5"</f>
        <v>#REF!</v>
      </c>
      <c r="BS73" t="e">
        <f>#REF!+"$Cm=!%E6"</f>
        <v>#REF!</v>
      </c>
      <c r="BT73" t="e">
        <f>#REF!+"$Cm=!%E7"</f>
        <v>#REF!</v>
      </c>
      <c r="BU73" t="e">
        <f>#REF!+"$Cm=!%E8"</f>
        <v>#REF!</v>
      </c>
      <c r="BV73" t="e">
        <f>#REF!+"$Cm=!%E9"</f>
        <v>#REF!</v>
      </c>
      <c r="BW73" t="e">
        <f>#REF!+"$Cm=!%E:"</f>
        <v>#REF!</v>
      </c>
      <c r="BX73" t="e">
        <f>#REF!+"$Cm=!%E;"</f>
        <v>#REF!</v>
      </c>
      <c r="BY73" t="e">
        <f>#REF!+"$Cm=!%E&lt;"</f>
        <v>#REF!</v>
      </c>
      <c r="BZ73" t="e">
        <f>#REF!+"$Cm=!%E="</f>
        <v>#REF!</v>
      </c>
      <c r="CA73" t="e">
        <f>#REF!+"$Cm=!%E&gt;"</f>
        <v>#REF!</v>
      </c>
      <c r="CB73" t="e">
        <f>#REF!+"$Cm=!%E?"</f>
        <v>#REF!</v>
      </c>
      <c r="CC73" t="e">
        <f>#REF!+"$Cm=!%E@"</f>
        <v>#REF!</v>
      </c>
      <c r="CD73" t="e">
        <f>#REF!+"$Cm=!%EA"</f>
        <v>#REF!</v>
      </c>
      <c r="CE73" t="e">
        <f>#REF!+"$Cm=!%EB"</f>
        <v>#REF!</v>
      </c>
      <c r="CF73" t="e">
        <f>#REF!+"$Cm=!%EC"</f>
        <v>#REF!</v>
      </c>
      <c r="CG73" t="e">
        <f>#REF!+"$Cm=!%ED"</f>
        <v>#REF!</v>
      </c>
      <c r="CH73" t="e">
        <f>#REF!+"$Cm=!%EE"</f>
        <v>#REF!</v>
      </c>
      <c r="CI73" t="e">
        <f>#REF!+"$Cm=!%EF"</f>
        <v>#REF!</v>
      </c>
      <c r="CJ73" t="e">
        <f>#REF!+"$Cm=!%EG"</f>
        <v>#REF!</v>
      </c>
      <c r="CK73" t="e">
        <f>#REF!+"$Cm=!%EH"</f>
        <v>#REF!</v>
      </c>
      <c r="CL73" t="e">
        <f>#REF!+"$Cm=!%EI"</f>
        <v>#REF!</v>
      </c>
      <c r="CM73" t="e">
        <f>#REF!+"$Cm=!%EJ"</f>
        <v>#REF!</v>
      </c>
      <c r="CN73" t="e">
        <f>#REF!+"$Cm=!%EK"</f>
        <v>#REF!</v>
      </c>
      <c r="CO73" t="e">
        <f>#REF!+"$Cm=!%EL"</f>
        <v>#REF!</v>
      </c>
      <c r="CP73" t="e">
        <f>#REF!+"$Cm=!%EM"</f>
        <v>#REF!</v>
      </c>
      <c r="CQ73" t="e">
        <f>#REF!+"$Cm=!%EN"</f>
        <v>#REF!</v>
      </c>
      <c r="CR73" t="e">
        <f>#REF!+"$Cm=!%EO"</f>
        <v>#REF!</v>
      </c>
      <c r="CS73" t="e">
        <f>#REF!+"$Cm=!%EP"</f>
        <v>#REF!</v>
      </c>
      <c r="CT73" t="e">
        <f>#REF!+"$Cm=!%EQ"</f>
        <v>#REF!</v>
      </c>
      <c r="CU73" t="e">
        <f>#REF!+"$Cm=!%ER"</f>
        <v>#REF!</v>
      </c>
      <c r="CV73" t="e">
        <f>#REF!+"$Cm=!%ES"</f>
        <v>#REF!</v>
      </c>
      <c r="CW73" t="e">
        <f>#REF!+"$Cm=!%ET"</f>
        <v>#REF!</v>
      </c>
      <c r="CX73" t="e">
        <f>#REF!+"$Cm=!%EU"</f>
        <v>#REF!</v>
      </c>
      <c r="CY73" t="e">
        <f>#REF!+"$Cm=!%EV"</f>
        <v>#REF!</v>
      </c>
      <c r="CZ73" t="e">
        <f>#REF!+"$Cm=!%EW"</f>
        <v>#REF!</v>
      </c>
      <c r="DA73" t="e">
        <f>#REF!+"$Cm=!%EX"</f>
        <v>#REF!</v>
      </c>
      <c r="DB73" t="e">
        <f>#REF!+"$Cm=!%EY"</f>
        <v>#REF!</v>
      </c>
      <c r="DC73" t="e">
        <f>#REF!+"$Cm=!%EZ"</f>
        <v>#REF!</v>
      </c>
      <c r="DD73" t="e">
        <f>#REF!+"$Cm=!%E["</f>
        <v>#REF!</v>
      </c>
      <c r="DE73" t="e">
        <f>#REF!+"$Cm=!%E\"</f>
        <v>#REF!</v>
      </c>
      <c r="DF73" t="e">
        <f>#REF!+"$Cm=!%E]"</f>
        <v>#REF!</v>
      </c>
      <c r="DG73" t="e">
        <f>#REF!+"$Cm=!%E^"</f>
        <v>#REF!</v>
      </c>
      <c r="DH73" t="e">
        <f>#REF!+"$Cm=!%E_"</f>
        <v>#REF!</v>
      </c>
      <c r="DI73" t="e">
        <f>#REF!+"$Cm=!%E`"</f>
        <v>#REF!</v>
      </c>
      <c r="DJ73" t="e">
        <f>#REF!+"$Cm=!%Ea"</f>
        <v>#REF!</v>
      </c>
      <c r="DK73" t="e">
        <f>#REF!+"$Cm=!%Eb"</f>
        <v>#REF!</v>
      </c>
      <c r="DL73" t="e">
        <f>#REF!+"$Cm=!%Ec"</f>
        <v>#REF!</v>
      </c>
      <c r="DM73" t="e">
        <f>#REF!+"$Cm=!%Ed"</f>
        <v>#REF!</v>
      </c>
      <c r="DN73" t="e">
        <f>#REF!+"$Cm=!%Ee"</f>
        <v>#REF!</v>
      </c>
      <c r="DO73" t="e">
        <f>#REF!+"$Cm=!%Ef"</f>
        <v>#REF!</v>
      </c>
      <c r="DP73" t="e">
        <f>#REF!+"$Cm=!%Eg"</f>
        <v>#REF!</v>
      </c>
      <c r="DQ73" t="e">
        <f>#REF!+"$Cm=!%Eh"</f>
        <v>#REF!</v>
      </c>
      <c r="DR73" t="e">
        <f>#REF!+"$Cm=!%Ei"</f>
        <v>#REF!</v>
      </c>
      <c r="DS73" t="e">
        <f>#REF!+"$Cm=!%Ej"</f>
        <v>#REF!</v>
      </c>
      <c r="DT73" t="e">
        <f>#REF!+"$Cm=!%Ek"</f>
        <v>#REF!</v>
      </c>
      <c r="DU73" t="e">
        <f>#REF!+"$Cm=!%El"</f>
        <v>#REF!</v>
      </c>
      <c r="DV73" t="e">
        <f>#REF!+"$Cm=!%Em"</f>
        <v>#REF!</v>
      </c>
      <c r="DW73" t="e">
        <f>#REF!+"$Cm=!%En"</f>
        <v>#REF!</v>
      </c>
      <c r="DX73" t="e">
        <f>#REF!+"$Cm=!%Eo"</f>
        <v>#REF!</v>
      </c>
      <c r="DY73" t="e">
        <f>#REF!+"$Cm=!%Ep"</f>
        <v>#REF!</v>
      </c>
      <c r="DZ73" t="e">
        <f>#REF!+"$Cm=!%Eq"</f>
        <v>#REF!</v>
      </c>
      <c r="EA73" t="e">
        <f>#REF!+"$Cm=!%Er"</f>
        <v>#REF!</v>
      </c>
      <c r="EB73" t="e">
        <f>#REF!+"$Cm=!%Es"</f>
        <v>#REF!</v>
      </c>
      <c r="EC73" t="e">
        <f>#REF!+"$Cm=!%Et"</f>
        <v>#REF!</v>
      </c>
      <c r="ED73" t="e">
        <f>#REF!+"$Cm=!%Eu"</f>
        <v>#REF!</v>
      </c>
      <c r="EE73" t="e">
        <f>#REF!+"$Cm=!%Ev"</f>
        <v>#REF!</v>
      </c>
      <c r="EF73" t="e">
        <f>#REF!+"$Cm=!%Ew"</f>
        <v>#REF!</v>
      </c>
      <c r="EG73" t="e">
        <f>#REF!+"$Cm=!%Ex"</f>
        <v>#REF!</v>
      </c>
      <c r="EH73" t="e">
        <f>#REF!+"$Cm=!%Ey"</f>
        <v>#REF!</v>
      </c>
      <c r="EI73" t="e">
        <f>#REF!+"$Cm=!%Ez"</f>
        <v>#REF!</v>
      </c>
      <c r="EJ73" t="e">
        <f>#REF!+"$Cm=!%E{"</f>
        <v>#REF!</v>
      </c>
      <c r="EK73" t="e">
        <f>#REF!+"$Cm=!%E|"</f>
        <v>#REF!</v>
      </c>
      <c r="EL73" t="e">
        <f>#REF!+"$Cm=!%E}"</f>
        <v>#REF!</v>
      </c>
      <c r="EM73" t="e">
        <f>#REF!+"$Cm=!%E~"</f>
        <v>#REF!</v>
      </c>
      <c r="EN73" t="e">
        <f>#REF!+"$Cm=!%F#"</f>
        <v>#REF!</v>
      </c>
      <c r="EO73" t="e">
        <f>#REF!+"$Cm=!%F$"</f>
        <v>#REF!</v>
      </c>
      <c r="EP73" t="e">
        <f>#REF!+"$Cm=!%F%"</f>
        <v>#REF!</v>
      </c>
      <c r="EQ73" t="e">
        <f>#REF!+"$Cm=!%F&amp;"</f>
        <v>#REF!</v>
      </c>
      <c r="ER73" t="e">
        <f>#REF!+"$Cm=!%F'"</f>
        <v>#REF!</v>
      </c>
      <c r="ES73" t="e">
        <f>#REF!+"$Cm=!%F("</f>
        <v>#REF!</v>
      </c>
      <c r="ET73" t="e">
        <f>#REF!+"$Cm=!%F)"</f>
        <v>#REF!</v>
      </c>
      <c r="EU73" t="e">
        <f>#REF!+"$Cm=!%F."</f>
        <v>#REF!</v>
      </c>
      <c r="EV73" t="e">
        <f>#REF!+"$Cm=!%F/"</f>
        <v>#REF!</v>
      </c>
      <c r="EW73" t="e">
        <f>#REF!+"$Cm=!%F0"</f>
        <v>#REF!</v>
      </c>
      <c r="EX73" t="e">
        <f>#REF!+"$Cm=!%F1"</f>
        <v>#REF!</v>
      </c>
      <c r="EY73" t="e">
        <f>#REF!+"$Cm=!%F2"</f>
        <v>#REF!</v>
      </c>
      <c r="EZ73" t="e">
        <f>#REF!+"$Cm=!%F3"</f>
        <v>#REF!</v>
      </c>
      <c r="FA73" t="e">
        <f>#REF!+"$Cm=!%F4"</f>
        <v>#REF!</v>
      </c>
      <c r="FB73" t="e">
        <f>#REF!+"$Cm=!%F5"</f>
        <v>#REF!</v>
      </c>
      <c r="FC73" t="e">
        <f>#REF!+"$Cm=!%F6"</f>
        <v>#REF!</v>
      </c>
      <c r="FD73" t="e">
        <f>#REF!+"$Cm=!%F7"</f>
        <v>#REF!</v>
      </c>
      <c r="FE73" t="e">
        <f>#REF!+"$Cm=!%F8"</f>
        <v>#REF!</v>
      </c>
      <c r="FF73" t="e">
        <f>#REF!+"$Cm=!%F9"</f>
        <v>#REF!</v>
      </c>
      <c r="FG73" t="e">
        <f>#REF!+"$Cm=!%F:"</f>
        <v>#REF!</v>
      </c>
      <c r="FH73" t="e">
        <f>#REF!+"$Cm=!%F;"</f>
        <v>#REF!</v>
      </c>
      <c r="FI73" t="e">
        <f>#REF!+"$Cm=!%F&lt;"</f>
        <v>#REF!</v>
      </c>
      <c r="FJ73" t="e">
        <f>#REF!+"$Cm=!%F="</f>
        <v>#REF!</v>
      </c>
      <c r="FK73" t="e">
        <f>#REF!+"$Cm=!%F&gt;"</f>
        <v>#REF!</v>
      </c>
      <c r="FL73" t="e">
        <f>#REF!+"$Cm=!%F?"</f>
        <v>#REF!</v>
      </c>
      <c r="FM73" t="e">
        <f>#REF!+"$Cm=!%F@"</f>
        <v>#REF!</v>
      </c>
      <c r="FN73" t="e">
        <f>#REF!+"$Cm=!%FA"</f>
        <v>#REF!</v>
      </c>
      <c r="FO73" t="e">
        <f>#REF!+"$Cm=!%FB"</f>
        <v>#REF!</v>
      </c>
      <c r="FP73" t="e">
        <f>#REF!+"$Cm=!%FC"</f>
        <v>#REF!</v>
      </c>
      <c r="FQ73" t="e">
        <f>#REF!+"$Cm=!%FD"</f>
        <v>#REF!</v>
      </c>
      <c r="FR73" t="e">
        <f>#REF!+"$Cm=!%FE"</f>
        <v>#REF!</v>
      </c>
      <c r="FS73" t="e">
        <f>#REF!+"$Cm=!%FF"</f>
        <v>#REF!</v>
      </c>
      <c r="FT73" t="e">
        <f>#REF!+"$Cm=!%FG"</f>
        <v>#REF!</v>
      </c>
      <c r="FU73" t="e">
        <f>#REF!+"$Cm=!%FH"</f>
        <v>#REF!</v>
      </c>
      <c r="FV73" t="e">
        <f>#REF!+"$Cm=!%FI"</f>
        <v>#REF!</v>
      </c>
      <c r="FW73" t="e">
        <f>#REF!+"$Cm=!%FJ"</f>
        <v>#REF!</v>
      </c>
      <c r="FX73" t="e">
        <f>#REF!+"$Cm=!%FK"</f>
        <v>#REF!</v>
      </c>
      <c r="FY73" t="e">
        <f>#REF!+"$Cm=!%FL"</f>
        <v>#REF!</v>
      </c>
      <c r="FZ73" t="e">
        <f>#REF!+"$Cm=!%FM"</f>
        <v>#REF!</v>
      </c>
      <c r="GA73" t="e">
        <f>#REF!+"$Cm=!%FN"</f>
        <v>#REF!</v>
      </c>
      <c r="GB73" t="e">
        <f>#REF!+"$Cm=!%FO"</f>
        <v>#REF!</v>
      </c>
      <c r="GC73" t="e">
        <f>#REF!+"$Cm=!%FP"</f>
        <v>#REF!</v>
      </c>
      <c r="GD73" t="e">
        <f>#REF!+"$Cm=!%FQ"</f>
        <v>#REF!</v>
      </c>
      <c r="GE73" t="e">
        <f>#REF!+"$Cm=!%FR"</f>
        <v>#REF!</v>
      </c>
      <c r="GF73" t="e">
        <f>#REF!+"$Cm=!%FS"</f>
        <v>#REF!</v>
      </c>
      <c r="GG73" t="e">
        <f>#REF!+"$Cm=!%FT"</f>
        <v>#REF!</v>
      </c>
      <c r="GH73" t="e">
        <f>#REF!+"$Cm=!%FU"</f>
        <v>#REF!</v>
      </c>
      <c r="GI73" t="e">
        <f>#REF!+"$Cm=!%FV"</f>
        <v>#REF!</v>
      </c>
      <c r="GJ73" t="e">
        <f>#REF!+"$Cm=!%FW"</f>
        <v>#REF!</v>
      </c>
      <c r="GK73" t="e">
        <f>#REF!+"$Cm=!%FX"</f>
        <v>#REF!</v>
      </c>
      <c r="GL73" t="e">
        <f>#REF!+"$Cm=!%FY"</f>
        <v>#REF!</v>
      </c>
      <c r="GM73" t="e">
        <f>#REF!+"$Cm=!%FZ"</f>
        <v>#REF!</v>
      </c>
      <c r="GN73" t="e">
        <f>#REF!+"$Cm=!%F["</f>
        <v>#REF!</v>
      </c>
      <c r="GO73" t="e">
        <f>#REF!+"$Cm=!%F\"</f>
        <v>#REF!</v>
      </c>
      <c r="GP73" t="e">
        <f>#REF!+"$Cm=!%F]"</f>
        <v>#REF!</v>
      </c>
      <c r="GQ73" t="e">
        <f>#REF!+"$Cm=!%F^"</f>
        <v>#REF!</v>
      </c>
      <c r="GR73" t="e">
        <f>#REF!+"$Cm=!%F_"</f>
        <v>#REF!</v>
      </c>
      <c r="GS73" t="e">
        <f>#REF!+"$Cm=!%F`"</f>
        <v>#REF!</v>
      </c>
      <c r="GT73" t="e">
        <f>#REF!+"$Cm=!%Fa"</f>
        <v>#REF!</v>
      </c>
      <c r="GU73" t="e">
        <f>#REF!+"$Cm=!%Fb"</f>
        <v>#REF!</v>
      </c>
      <c r="GV73" t="e">
        <f>#REF!+"$Cm=!%Fc"</f>
        <v>#REF!</v>
      </c>
      <c r="GW73" t="e">
        <f>#REF!+"$Cm=!%Fd"</f>
        <v>#REF!</v>
      </c>
      <c r="GX73" t="e">
        <f>#REF!+"$Cm=!%Fe"</f>
        <v>#REF!</v>
      </c>
      <c r="GY73" t="e">
        <f>#REF!+"$Cm=!%Ff"</f>
        <v>#REF!</v>
      </c>
      <c r="GZ73" t="e">
        <f>#REF!+"$Cm=!%Fg"</f>
        <v>#REF!</v>
      </c>
      <c r="HA73" t="e">
        <f>#REF!+"$Cm=!%Fh"</f>
        <v>#REF!</v>
      </c>
      <c r="HB73" t="e">
        <f>#REF!+"$Cm=!%Fi"</f>
        <v>#REF!</v>
      </c>
      <c r="HC73" t="e">
        <f>#REF!+"$Cm=!%Fj"</f>
        <v>#REF!</v>
      </c>
      <c r="HD73" t="e">
        <f>#REF!+"$Cm=!%Fk"</f>
        <v>#REF!</v>
      </c>
      <c r="HE73" t="e">
        <f>#REF!+"$Cm=!%Fl"</f>
        <v>#REF!</v>
      </c>
      <c r="HF73" t="e">
        <f>#REF!+"$Cm=!%Fm"</f>
        <v>#REF!</v>
      </c>
      <c r="HG73" t="e">
        <f>#REF!+"$Cm=!%Fn"</f>
        <v>#REF!</v>
      </c>
      <c r="HH73" t="e">
        <f>#REF!+"$Cm=!%Fo"</f>
        <v>#REF!</v>
      </c>
      <c r="HI73" t="e">
        <f>#REF!+"$Cm=!%Fp"</f>
        <v>#REF!</v>
      </c>
      <c r="HJ73" t="e">
        <f>#REF!+"$Cm=!%Fq"</f>
        <v>#REF!</v>
      </c>
      <c r="HK73" t="e">
        <f>#REF!+"$Cm=!%Fr"</f>
        <v>#REF!</v>
      </c>
      <c r="HL73" t="e">
        <f>#REF!+"$Cm=!%Fs"</f>
        <v>#REF!</v>
      </c>
      <c r="HM73" t="e">
        <f>#REF!+"$Cm=!%Ft"</f>
        <v>#REF!</v>
      </c>
      <c r="HN73" t="e">
        <f>#REF!+"$Cm=!%Fu"</f>
        <v>#REF!</v>
      </c>
      <c r="HO73" t="e">
        <f>#REF!+"$Cm=!%Fv"</f>
        <v>#REF!</v>
      </c>
      <c r="HP73" t="e">
        <f>#REF!+"$Cm=!%Fw"</f>
        <v>#REF!</v>
      </c>
      <c r="HQ73" t="e">
        <f>#REF!+"$Cm=!%Fx"</f>
        <v>#REF!</v>
      </c>
      <c r="HR73" t="e">
        <f>#REF!+"$Cm=!%Fy"</f>
        <v>#REF!</v>
      </c>
      <c r="HS73" t="e">
        <f>#REF!+"$Cm=!%Fz"</f>
        <v>#REF!</v>
      </c>
      <c r="HT73" t="e">
        <f>#REF!+"$Cm=!%F{"</f>
        <v>#REF!</v>
      </c>
      <c r="HU73" t="e">
        <f>#REF!+"$Cm=!%F|"</f>
        <v>#REF!</v>
      </c>
      <c r="HV73" t="e">
        <f>#REF!+"$Cm=!%F}"</f>
        <v>#REF!</v>
      </c>
      <c r="HW73" t="e">
        <f>#REF!+"$Cm=!%F~"</f>
        <v>#REF!</v>
      </c>
      <c r="HX73" t="e">
        <f>#REF!+"$Cm=!%G#"</f>
        <v>#REF!</v>
      </c>
      <c r="HY73" t="e">
        <f>#REF!+"$Cm=!%G$"</f>
        <v>#REF!</v>
      </c>
      <c r="HZ73" t="e">
        <f>#REF!+"$Cm=!%G%"</f>
        <v>#REF!</v>
      </c>
      <c r="IA73" t="e">
        <f>#REF!+"$Cm=!%G&amp;"</f>
        <v>#REF!</v>
      </c>
      <c r="IB73" t="e">
        <f>#REF!+"$Cm=!%G'"</f>
        <v>#REF!</v>
      </c>
      <c r="IC73" t="e">
        <f>#REF!+"$Cm=!%G("</f>
        <v>#REF!</v>
      </c>
      <c r="ID73" t="e">
        <f>#REF!+"$Cm=!%G)"</f>
        <v>#REF!</v>
      </c>
      <c r="IE73" t="e">
        <f>#REF!+"$Cm=!%G."</f>
        <v>#REF!</v>
      </c>
      <c r="IF73" t="e">
        <f>#REF!+"$Cm=!%G/"</f>
        <v>#REF!</v>
      </c>
      <c r="IG73" t="e">
        <f>#REF!+"$Cm=!%G0"</f>
        <v>#REF!</v>
      </c>
      <c r="IH73" t="e">
        <f>#REF!+"$Cm=!%G1"</f>
        <v>#REF!</v>
      </c>
      <c r="II73" t="e">
        <f>#REF!+"$Cm=!%G2"</f>
        <v>#REF!</v>
      </c>
      <c r="IJ73" t="e">
        <f>#REF!+"$Cm=!%G3"</f>
        <v>#REF!</v>
      </c>
      <c r="IK73" t="e">
        <f>#REF!+"$Cm=!%G4"</f>
        <v>#REF!</v>
      </c>
      <c r="IL73" t="e">
        <f>#REF!+"$Cm=!%G5"</f>
        <v>#REF!</v>
      </c>
      <c r="IM73" t="e">
        <f>#REF!+"$Cm=!%G6"</f>
        <v>#REF!</v>
      </c>
      <c r="IN73" t="e">
        <f>#REF!+"$Cm=!%G7"</f>
        <v>#REF!</v>
      </c>
      <c r="IO73" t="e">
        <f>#REF!+"$Cm=!%G8"</f>
        <v>#REF!</v>
      </c>
      <c r="IP73" t="e">
        <f>#REF!+"$Cm=!%G9"</f>
        <v>#REF!</v>
      </c>
      <c r="IQ73" t="e">
        <f>#REF!+"$Cm=!%G:"</f>
        <v>#REF!</v>
      </c>
      <c r="IR73" t="e">
        <f>#REF!+"$Cm=!%G;"</f>
        <v>#REF!</v>
      </c>
      <c r="IS73" t="e">
        <f>#REF!+"$Cm=!%G&lt;"</f>
        <v>#REF!</v>
      </c>
      <c r="IT73" t="e">
        <f>#REF!+"$Cm=!%G="</f>
        <v>#REF!</v>
      </c>
      <c r="IU73" t="e">
        <f>#REF!+"$Cm=!%G&gt;"</f>
        <v>#REF!</v>
      </c>
      <c r="IV73" t="e">
        <f>#REF!+"$Cm=!%G?"</f>
        <v>#REF!</v>
      </c>
    </row>
    <row r="74" spans="6:256">
      <c r="F74" t="e">
        <f>#REF!+"$Cm=!%G@"</f>
        <v>#REF!</v>
      </c>
      <c r="G74" t="e">
        <f>#REF!+"$Cm=!%GA"</f>
        <v>#REF!</v>
      </c>
      <c r="H74" t="e">
        <f>#REF!+"$Cm=!%GB"</f>
        <v>#REF!</v>
      </c>
      <c r="I74" t="e">
        <f>#REF!+"$Cm=!%GC"</f>
        <v>#REF!</v>
      </c>
      <c r="J74" t="e">
        <f>#REF!+"$Cm=!%GD"</f>
        <v>#REF!</v>
      </c>
      <c r="K74" t="e">
        <f>#REF!+"$Cm=!%GE"</f>
        <v>#REF!</v>
      </c>
      <c r="L74" t="e">
        <f>#REF!+"$Cm=!%GF"</f>
        <v>#REF!</v>
      </c>
      <c r="M74" t="e">
        <f>#REF!+"$Cm=!%GG"</f>
        <v>#REF!</v>
      </c>
      <c r="N74" t="e">
        <f>#REF!+"$Cm=!%GH"</f>
        <v>#REF!</v>
      </c>
      <c r="O74" t="e">
        <f>#REF!+"$Cm=!%GI"</f>
        <v>#REF!</v>
      </c>
      <c r="P74" t="e">
        <f>#REF!+"$Cm=!%GJ"</f>
        <v>#REF!</v>
      </c>
      <c r="Q74" t="e">
        <f>#REF!+"$Cm=!%GK"</f>
        <v>#REF!</v>
      </c>
      <c r="R74" t="e">
        <f>#REF!+"$Cm=!%GL"</f>
        <v>#REF!</v>
      </c>
      <c r="S74" t="e">
        <f>#REF!+"$Cm=!%GM"</f>
        <v>#REF!</v>
      </c>
      <c r="T74" t="e">
        <f>#REF!+"$Cm=!%GN"</f>
        <v>#REF!</v>
      </c>
      <c r="U74" t="e">
        <f>#REF!+"$Cm=!%GO"</f>
        <v>#REF!</v>
      </c>
      <c r="V74" t="e">
        <f>#REF!+"$Cm=!%GP"</f>
        <v>#REF!</v>
      </c>
      <c r="W74" t="e">
        <f>#REF!+"$Cm=!%GQ"</f>
        <v>#REF!</v>
      </c>
      <c r="X74" t="e">
        <f>#REF!+"$Cm=!%GR"</f>
        <v>#REF!</v>
      </c>
      <c r="Y74" t="e">
        <f>#REF!+"$Cm=!%GS"</f>
        <v>#REF!</v>
      </c>
      <c r="Z74" t="e">
        <f>#REF!+"$Cm=!%GT"</f>
        <v>#REF!</v>
      </c>
      <c r="AA74" t="e">
        <f>#REF!+"$Cm=!%GU"</f>
        <v>#REF!</v>
      </c>
      <c r="AB74" t="e">
        <f>#REF!+"$Cm=!%GV"</f>
        <v>#REF!</v>
      </c>
      <c r="AC74" t="e">
        <f>#REF!+"$Cm=!%GW"</f>
        <v>#REF!</v>
      </c>
      <c r="AD74" t="e">
        <f>#REF!+"$Cm=!%GX"</f>
        <v>#REF!</v>
      </c>
      <c r="AE74" t="e">
        <f>#REF!+"$Cm=!%GY"</f>
        <v>#REF!</v>
      </c>
      <c r="AF74" t="e">
        <f>#REF!+"$Cm=!%GZ"</f>
        <v>#REF!</v>
      </c>
      <c r="AG74" t="e">
        <f>#REF!+"$Cm=!%G["</f>
        <v>#REF!</v>
      </c>
      <c r="AH74" t="e">
        <f>#REF!+"$Cm=!%G\"</f>
        <v>#REF!</v>
      </c>
      <c r="AI74" t="e">
        <f>#REF!+"$Cm=!%G]"</f>
        <v>#REF!</v>
      </c>
      <c r="AJ74" t="e">
        <f>#REF!+"$Cm=!%G^"</f>
        <v>#REF!</v>
      </c>
      <c r="AK74" t="e">
        <f>#REF!+"$Cm=!%G_"</f>
        <v>#REF!</v>
      </c>
      <c r="AL74" t="e">
        <f>#REF!+"$Cm=!%G`"</f>
        <v>#REF!</v>
      </c>
      <c r="AM74" t="e">
        <f>#REF!+"$Cm=!%Ga"</f>
        <v>#REF!</v>
      </c>
      <c r="AN74" t="e">
        <f>#REF!+"$Cm=!%Gb"</f>
        <v>#REF!</v>
      </c>
      <c r="AO74" t="e">
        <f>#REF!+"$Cm=!%Gc"</f>
        <v>#REF!</v>
      </c>
      <c r="AP74" t="e">
        <f>#REF!+"$Cm=!%Gd"</f>
        <v>#REF!</v>
      </c>
      <c r="AQ74" t="e">
        <f>#REF!+"$Cm=!%Ge"</f>
        <v>#REF!</v>
      </c>
      <c r="AR74" t="e">
        <f>#REF!+"$Cm=!%Gf"</f>
        <v>#REF!</v>
      </c>
      <c r="AS74" t="e">
        <f>#REF!+"$Cm=!%Gg"</f>
        <v>#REF!</v>
      </c>
      <c r="AT74" t="e">
        <f>#REF!+"$Cm=!%Gh"</f>
        <v>#REF!</v>
      </c>
      <c r="AU74" t="e">
        <f>#REF!+"$Cm=!%Gi"</f>
        <v>#REF!</v>
      </c>
      <c r="AV74" t="e">
        <f>#REF!+"$Cm=!%Gj"</f>
        <v>#REF!</v>
      </c>
      <c r="AW74" t="e">
        <f>#REF!+"$Cm=!%Gk"</f>
        <v>#REF!</v>
      </c>
      <c r="AX74" t="e">
        <f>#REF!+"$Cm=!%Gl"</f>
        <v>#REF!</v>
      </c>
      <c r="AY74" t="e">
        <f>#REF!+"$Cm=!%Gm"</f>
        <v>#REF!</v>
      </c>
      <c r="AZ74" t="e">
        <f>#REF!+"$Cm=!%Gn"</f>
        <v>#REF!</v>
      </c>
      <c r="BA74" t="e">
        <f>#REF!+"$Cm=!%Go"</f>
        <v>#REF!</v>
      </c>
      <c r="BB74" t="e">
        <f>#REF!+"$Cm=!%Gp"</f>
        <v>#REF!</v>
      </c>
      <c r="BC74" t="e">
        <f>#REF!+"$Cm=!%Gq"</f>
        <v>#REF!</v>
      </c>
      <c r="BD74" t="e">
        <f>#REF!+"$Cm=!%Gr"</f>
        <v>#REF!</v>
      </c>
      <c r="BE74" t="e">
        <f>#REF!+"$Cm=!%Gs"</f>
        <v>#REF!</v>
      </c>
      <c r="BF74" t="e">
        <f>#REF!+"$Cm=!%Gt"</f>
        <v>#REF!</v>
      </c>
      <c r="BG74" t="e">
        <f>#REF!+"$Cm=!%Gu"</f>
        <v>#REF!</v>
      </c>
      <c r="BH74" t="e">
        <f>#REF!+"$Cm=!%Gv"</f>
        <v>#REF!</v>
      </c>
      <c r="BI74" t="e">
        <f>#REF!+"$Cm=!%Gw"</f>
        <v>#REF!</v>
      </c>
      <c r="BJ74" t="e">
        <f>#REF!+"$Cm=!%Gx"</f>
        <v>#REF!</v>
      </c>
      <c r="BK74" t="e">
        <f>#REF!+"$Cm=!%Gy"</f>
        <v>#REF!</v>
      </c>
      <c r="BL74" t="e">
        <f>#REF!+"$Cm=!%Gz"</f>
        <v>#REF!</v>
      </c>
      <c r="BM74" t="e">
        <f>#REF!+"$Cm=!%G{"</f>
        <v>#REF!</v>
      </c>
      <c r="BN74" t="e">
        <f>#REF!+"$Cm=!%G|"</f>
        <v>#REF!</v>
      </c>
      <c r="BO74" t="e">
        <f>#REF!+"$Cm=!%G}"</f>
        <v>#REF!</v>
      </c>
      <c r="BP74" t="e">
        <f>#REF!+"$Cm=!%G~"</f>
        <v>#REF!</v>
      </c>
      <c r="BQ74" t="e">
        <f>#REF!+"$Cm=!%H#"</f>
        <v>#REF!</v>
      </c>
      <c r="BR74" t="e">
        <f>#REF!+"$Cm=!%H$"</f>
        <v>#REF!</v>
      </c>
      <c r="BS74" t="e">
        <f>#REF!+"$Cm=!%H%"</f>
        <v>#REF!</v>
      </c>
      <c r="BT74" t="e">
        <f>#REF!+"$Cm=!%H&amp;"</f>
        <v>#REF!</v>
      </c>
      <c r="BU74" t="e">
        <f>#REF!+"$Cm=!%H'"</f>
        <v>#REF!</v>
      </c>
      <c r="BV74" t="e">
        <f>#REF!+"$Cm=!%H("</f>
        <v>#REF!</v>
      </c>
      <c r="BW74" t="e">
        <f>#REF!+"$Cm=!%H)"</f>
        <v>#REF!</v>
      </c>
      <c r="BX74" t="e">
        <f>#REF!+"$Cm=!%H."</f>
        <v>#REF!</v>
      </c>
      <c r="BY74" t="e">
        <f>#REF!+"$Cm=!%H/"</f>
        <v>#REF!</v>
      </c>
      <c r="BZ74" t="e">
        <f>#REF!+"$Cm=!%H0"</f>
        <v>#REF!</v>
      </c>
      <c r="CA74" t="e">
        <f>#REF!+"$Cm=!%H1"</f>
        <v>#REF!</v>
      </c>
      <c r="CB74" t="e">
        <f>#REF!+"$Cm=!%H2"</f>
        <v>#REF!</v>
      </c>
      <c r="CC74" t="e">
        <f>#REF!+"$Cm=!%H3"</f>
        <v>#REF!</v>
      </c>
      <c r="CD74" t="e">
        <f>#REF!+"$Cm=!%H4"</f>
        <v>#REF!</v>
      </c>
      <c r="CE74" t="e">
        <f>#REF!+"$Cm=!%H5"</f>
        <v>#REF!</v>
      </c>
      <c r="CF74" t="e">
        <f>#REF!+"$Cm=!%H6"</f>
        <v>#REF!</v>
      </c>
      <c r="CG74" t="e">
        <f>#REF!+"$Cm=!%H7"</f>
        <v>#REF!</v>
      </c>
      <c r="CH74" t="e">
        <f>#REF!+"$Cm=!%H8"</f>
        <v>#REF!</v>
      </c>
      <c r="CI74" t="e">
        <f>#REF!+"$Cm=!%H9"</f>
        <v>#REF!</v>
      </c>
      <c r="CJ74" t="e">
        <f>#REF!+"$Cm=!%H:"</f>
        <v>#REF!</v>
      </c>
      <c r="CK74" t="e">
        <f>#REF!+"$Cm=!%H;"</f>
        <v>#REF!</v>
      </c>
      <c r="CL74" t="e">
        <f>#REF!+"$Cm=!%H&lt;"</f>
        <v>#REF!</v>
      </c>
      <c r="CM74" t="e">
        <f>#REF!+"$Cm=!%H="</f>
        <v>#REF!</v>
      </c>
      <c r="CN74" t="e">
        <f>#REF!+"$Cm=!%H&gt;"</f>
        <v>#REF!</v>
      </c>
      <c r="CO74" t="e">
        <f>#REF!+"$Cm=!%H?"</f>
        <v>#REF!</v>
      </c>
      <c r="CP74" t="e">
        <f>#REF!+"$Cm=!%H@"</f>
        <v>#REF!</v>
      </c>
      <c r="CQ74" t="e">
        <f>#REF!+"$Cm=!%HA"</f>
        <v>#REF!</v>
      </c>
      <c r="CR74" t="e">
        <f>#REF!+"$Cm=!%HB"</f>
        <v>#REF!</v>
      </c>
      <c r="CS74" t="e">
        <f>#REF!+"$Cm=!%HC"</f>
        <v>#REF!</v>
      </c>
      <c r="CT74" t="e">
        <f>#REF!+"$Cm=!%HD"</f>
        <v>#REF!</v>
      </c>
      <c r="CU74" t="e">
        <f>#REF!+"$Cm=!%HE"</f>
        <v>#REF!</v>
      </c>
      <c r="CV74" t="e">
        <f>#REF!+"$Cm=!%HF"</f>
        <v>#REF!</v>
      </c>
      <c r="CW74" t="e">
        <f>#REF!+"$Cm=!%HG"</f>
        <v>#REF!</v>
      </c>
      <c r="CX74" t="e">
        <f>#REF!+"$Cm=!%HH"</f>
        <v>#REF!</v>
      </c>
      <c r="CY74" t="e">
        <f>#REF!+"$Cm=!%HI"</f>
        <v>#REF!</v>
      </c>
      <c r="CZ74" t="e">
        <f>#REF!+"$Cm=!%HJ"</f>
        <v>#REF!</v>
      </c>
      <c r="DA74" t="e">
        <f>#REF!+"$Cm=!%HK"</f>
        <v>#REF!</v>
      </c>
      <c r="DB74" t="e">
        <f>#REF!+"$Cm=!%HL"</f>
        <v>#REF!</v>
      </c>
      <c r="DC74" t="e">
        <f>#REF!+"$Cm=!%HM"</f>
        <v>#REF!</v>
      </c>
      <c r="DD74" t="e">
        <f>#REF!+"$Cm=!%HN"</f>
        <v>#REF!</v>
      </c>
      <c r="DE74" t="e">
        <f>#REF!+"$Cm=!%HO"</f>
        <v>#REF!</v>
      </c>
      <c r="DF74" t="e">
        <f>#REF!+"$Cm=!%HP"</f>
        <v>#REF!</v>
      </c>
      <c r="DG74" t="e">
        <f>#REF!+"$Cm=!%HQ"</f>
        <v>#REF!</v>
      </c>
      <c r="DH74" t="e">
        <f>#REF!+"$Cm=!%HR"</f>
        <v>#REF!</v>
      </c>
      <c r="DI74" t="e">
        <f>#REF!+"$Cm=!%HS"</f>
        <v>#REF!</v>
      </c>
      <c r="DJ74" t="e">
        <f>#REF!+"$Cm=!%HT"</f>
        <v>#REF!</v>
      </c>
      <c r="DK74" t="e">
        <f>#REF!+"$Cm=!%HU"</f>
        <v>#REF!</v>
      </c>
      <c r="DL74" t="e">
        <f>#REF!+"$Cm=!%HV"</f>
        <v>#REF!</v>
      </c>
      <c r="DM74" t="e">
        <f>#REF!+"$Cm=!%HW"</f>
        <v>#REF!</v>
      </c>
      <c r="DN74" t="e">
        <f>#REF!+"$Cm=!%HX"</f>
        <v>#REF!</v>
      </c>
      <c r="DO74" t="e">
        <f>#REF!+"$Cm=!%HY"</f>
        <v>#REF!</v>
      </c>
      <c r="DP74" t="e">
        <f>#REF!+"$Cm=!%HZ"</f>
        <v>#REF!</v>
      </c>
      <c r="DQ74" t="e">
        <f>#REF!+"$Cm=!%H["</f>
        <v>#REF!</v>
      </c>
      <c r="DR74" t="e">
        <f>#REF!+"$Cm=!%H\"</f>
        <v>#REF!</v>
      </c>
      <c r="DS74" t="e">
        <f>#REF!+"$Cm=!%H]"</f>
        <v>#REF!</v>
      </c>
      <c r="DT74" t="e">
        <f>#REF!+"$Cm=!%H^"</f>
        <v>#REF!</v>
      </c>
      <c r="DU74" t="e">
        <f>#REF!+"$Cm=!%H_"</f>
        <v>#REF!</v>
      </c>
      <c r="DV74" t="e">
        <f>#REF!+"$Cm=!%H`"</f>
        <v>#REF!</v>
      </c>
      <c r="DW74" t="e">
        <f>#REF!+"$Cm=!%Ha"</f>
        <v>#REF!</v>
      </c>
      <c r="DX74" t="e">
        <f>#REF!+"$Cm=!%Hb"</f>
        <v>#REF!</v>
      </c>
      <c r="DY74" t="e">
        <f>#REF!+"$Cm=!%Hc"</f>
        <v>#REF!</v>
      </c>
      <c r="DZ74" t="e">
        <f>#REF!+"$Cm=!%Hd"</f>
        <v>#REF!</v>
      </c>
      <c r="EA74" t="e">
        <f>#REF!+"$Cm=!%He"</f>
        <v>#REF!</v>
      </c>
      <c r="EB74" t="e">
        <f>#REF!+"$Cm=!%Hf"</f>
        <v>#REF!</v>
      </c>
      <c r="EC74" t="e">
        <f>#REF!+"$Cm=!%Hg"</f>
        <v>#REF!</v>
      </c>
      <c r="ED74" t="e">
        <f>#REF!+"$Cm=!%Hh"</f>
        <v>#REF!</v>
      </c>
      <c r="EE74" t="e">
        <f>#REF!+"$Cm=!%Hi"</f>
        <v>#REF!</v>
      </c>
      <c r="EF74" t="e">
        <f>#REF!+"$Cm=!%Hj"</f>
        <v>#REF!</v>
      </c>
      <c r="EG74" t="e">
        <f>#REF!+"$Cm=!%Hk"</f>
        <v>#REF!</v>
      </c>
      <c r="EH74" t="e">
        <f>#REF!+"$Cm=!%Hl"</f>
        <v>#REF!</v>
      </c>
      <c r="EI74" t="e">
        <f>#REF!+"$Cm=!%Hm"</f>
        <v>#REF!</v>
      </c>
      <c r="EJ74" t="e">
        <f>#REF!+"$Cm=!%Hn"</f>
        <v>#REF!</v>
      </c>
      <c r="EK74" t="e">
        <f>#REF!+"$Cm=!%Ho"</f>
        <v>#REF!</v>
      </c>
      <c r="EL74" t="e">
        <f>#REF!+"$Cm=!%Hp"</f>
        <v>#REF!</v>
      </c>
      <c r="EM74" t="e">
        <f>#REF!+"$Cm=!%Hq"</f>
        <v>#REF!</v>
      </c>
      <c r="EN74" t="e">
        <f>#REF!+"$Cm=!%Hr"</f>
        <v>#REF!</v>
      </c>
      <c r="EO74" t="e">
        <f>#REF!+"$Cm=!%Hs"</f>
        <v>#REF!</v>
      </c>
      <c r="EP74" t="e">
        <f>#REF!+"$Cm=!%Ht"</f>
        <v>#REF!</v>
      </c>
      <c r="EQ74" t="e">
        <f>#REF!+"$Cm=!%Hu"</f>
        <v>#REF!</v>
      </c>
      <c r="ER74" t="e">
        <f>#REF!+"$Cm=!%Hv"</f>
        <v>#REF!</v>
      </c>
      <c r="ES74" t="e">
        <f>#REF!+"$Cm=!%Hw"</f>
        <v>#REF!</v>
      </c>
      <c r="ET74" t="e">
        <f>#REF!+"$Cm=!%Hx"</f>
        <v>#REF!</v>
      </c>
      <c r="EU74" t="e">
        <f>#REF!+"$Cm=!%Hy"</f>
        <v>#REF!</v>
      </c>
      <c r="EV74" t="e">
        <f>#REF!+"$Cm=!%Hz"</f>
        <v>#REF!</v>
      </c>
      <c r="EW74" t="e">
        <f>#REF!+"$Cm=!%H{"</f>
        <v>#REF!</v>
      </c>
      <c r="EX74" t="e">
        <f>#REF!+"$Cm=!%H|"</f>
        <v>#REF!</v>
      </c>
      <c r="EY74" t="e">
        <f>#REF!+"$Cm=!%H}"</f>
        <v>#REF!</v>
      </c>
      <c r="EZ74" t="e">
        <f>#REF!+"$Cm=!%H~"</f>
        <v>#REF!</v>
      </c>
      <c r="FA74" t="e">
        <f>#REF!+"$Cm=!%I#"</f>
        <v>#REF!</v>
      </c>
      <c r="FB74" t="e">
        <f>#REF!+"$Cm=!%I$"</f>
        <v>#REF!</v>
      </c>
      <c r="FC74" t="e">
        <f>#REF!+"$Cm=!%I%"</f>
        <v>#REF!</v>
      </c>
      <c r="FD74" t="e">
        <f>#REF!+"$Cm=!%I&amp;"</f>
        <v>#REF!</v>
      </c>
      <c r="FE74" t="e">
        <f>#REF!+"$Cm=!%I'"</f>
        <v>#REF!</v>
      </c>
      <c r="FF74" t="e">
        <f>#REF!+"$Cm=!%I("</f>
        <v>#REF!</v>
      </c>
      <c r="FG74" t="e">
        <f>#REF!+"$Cm=!%I)"</f>
        <v>#REF!</v>
      </c>
      <c r="FH74" t="e">
        <f>#REF!+"$Cm=!%I."</f>
        <v>#REF!</v>
      </c>
      <c r="FI74" t="e">
        <f>#REF!+"$Cm=!%I/"</f>
        <v>#REF!</v>
      </c>
      <c r="FJ74" t="e">
        <f>#REF!+"$Cm=!%I0"</f>
        <v>#REF!</v>
      </c>
      <c r="FK74" t="e">
        <f>#REF!+"$Cm=!%I1"</f>
        <v>#REF!</v>
      </c>
      <c r="FL74" t="e">
        <f>#REF!+"$Cm=!%I2"</f>
        <v>#REF!</v>
      </c>
      <c r="FM74" t="e">
        <f>#REF!+"$Cm=!%I3"</f>
        <v>#REF!</v>
      </c>
      <c r="FN74" t="e">
        <f>#REF!+"$Cm=!%I4"</f>
        <v>#REF!</v>
      </c>
      <c r="FO74" t="e">
        <f>#REF!+"$Cm=!%I5"</f>
        <v>#REF!</v>
      </c>
      <c r="FP74" t="e">
        <f>#REF!+"$Cm=!%I6"</f>
        <v>#REF!</v>
      </c>
      <c r="FQ74" t="e">
        <f>#REF!+"$Cm=!%I7"</f>
        <v>#REF!</v>
      </c>
      <c r="FR74" t="e">
        <f>#REF!+"$Cm=!%I8"</f>
        <v>#REF!</v>
      </c>
      <c r="FS74" t="e">
        <f>#REF!+"$Cm=!%I9"</f>
        <v>#REF!</v>
      </c>
      <c r="FT74" t="e">
        <f>#REF!+"$Cm=!%I:"</f>
        <v>#REF!</v>
      </c>
      <c r="FU74" t="e">
        <f>#REF!+"$Cm=!%I;"</f>
        <v>#REF!</v>
      </c>
      <c r="FV74" t="e">
        <f>#REF!+"$Cm=!%I&lt;"</f>
        <v>#REF!</v>
      </c>
      <c r="FW74" t="e">
        <f>#REF!+"$Cm=!%I="</f>
        <v>#REF!</v>
      </c>
      <c r="FX74" t="e">
        <f>#REF!+"$Cm=!%I&gt;"</f>
        <v>#REF!</v>
      </c>
      <c r="FY74" t="e">
        <f>#REF!+"$Cm=!%I?"</f>
        <v>#REF!</v>
      </c>
      <c r="FZ74" t="e">
        <f>#REF!+"$Cm=!%I@"</f>
        <v>#REF!</v>
      </c>
      <c r="GA74" t="e">
        <f>#REF!+"$Cm=!%IA"</f>
        <v>#REF!</v>
      </c>
      <c r="GB74" t="e">
        <f>#REF!+"$Cm=!%IB"</f>
        <v>#REF!</v>
      </c>
      <c r="GC74" t="e">
        <f>#REF!+"$Cm=!%IC"</f>
        <v>#REF!</v>
      </c>
      <c r="GD74" t="e">
        <f>#REF!+"$Cm=!%ID"</f>
        <v>#REF!</v>
      </c>
      <c r="GE74" t="e">
        <f>#REF!+"$Cm=!%IE"</f>
        <v>#REF!</v>
      </c>
      <c r="GF74" t="e">
        <f>#REF!+"$Cm=!%IF"</f>
        <v>#REF!</v>
      </c>
      <c r="GG74" t="e">
        <f>#REF!+"$Cm=!%IG"</f>
        <v>#REF!</v>
      </c>
      <c r="GH74" t="e">
        <f>#REF!+"$Cm=!%IH"</f>
        <v>#REF!</v>
      </c>
      <c r="GI74" t="e">
        <f>#REF!+"$Cm=!%II"</f>
        <v>#REF!</v>
      </c>
      <c r="GJ74" t="e">
        <f>#REF!+"$Cm=!%IJ"</f>
        <v>#REF!</v>
      </c>
      <c r="GK74" t="e">
        <f>#REF!+"$Cm=!%IK"</f>
        <v>#REF!</v>
      </c>
      <c r="GL74" t="e">
        <f>#REF!+"$Cm=!%IL"</f>
        <v>#REF!</v>
      </c>
      <c r="GM74" t="e">
        <f>#REF!+"$Cm=!%IM"</f>
        <v>#REF!</v>
      </c>
      <c r="GN74" t="e">
        <f>#REF!+"$Cm=!%IN"</f>
        <v>#REF!</v>
      </c>
      <c r="GO74" t="e">
        <f>#REF!+"$Cm=!%IO"</f>
        <v>#REF!</v>
      </c>
      <c r="GP74" t="e">
        <f>#REF!+"$Cm=!%IP"</f>
        <v>#REF!</v>
      </c>
      <c r="GQ74" t="e">
        <f>#REF!+"$Cm=!%IQ"</f>
        <v>#REF!</v>
      </c>
      <c r="GR74" t="e">
        <f>#REF!+"$Cm=!%IR"</f>
        <v>#REF!</v>
      </c>
      <c r="GS74" t="e">
        <f>#REF!+"$Cm=!%IS"</f>
        <v>#REF!</v>
      </c>
      <c r="GT74" t="e">
        <f>#REF!+"$Cm=!%IT"</f>
        <v>#REF!</v>
      </c>
      <c r="GU74" t="e">
        <f>#REF!+"$Cm=!%IU"</f>
        <v>#REF!</v>
      </c>
      <c r="GV74" t="e">
        <f>#REF!+"$Cm=!%IV"</f>
        <v>#REF!</v>
      </c>
      <c r="GW74" t="e">
        <f>#REF!+"$Cm=!%IW"</f>
        <v>#REF!</v>
      </c>
      <c r="GX74" t="e">
        <f>#REF!+"$Cm=!%IX"</f>
        <v>#REF!</v>
      </c>
      <c r="GY74" t="e">
        <f>#REF!+"$Cm=!%IY"</f>
        <v>#REF!</v>
      </c>
      <c r="GZ74" t="e">
        <f>#REF!+"$Cm=!%IZ"</f>
        <v>#REF!</v>
      </c>
      <c r="HA74" t="e">
        <f>#REF!+"$Cm=!%I["</f>
        <v>#REF!</v>
      </c>
      <c r="HB74" t="e">
        <f>#REF!+"$Cm=!%I\"</f>
        <v>#REF!</v>
      </c>
      <c r="HC74" t="e">
        <f>#REF!+"$Cm=!%I]"</f>
        <v>#REF!</v>
      </c>
      <c r="HD74" t="e">
        <f>#REF!+"$Cm=!%I^"</f>
        <v>#REF!</v>
      </c>
      <c r="HE74" t="e">
        <f>#REF!+"$Cm=!%I_"</f>
        <v>#REF!</v>
      </c>
      <c r="HF74" t="e">
        <f>#REF!+"$Cm=!%I`"</f>
        <v>#REF!</v>
      </c>
      <c r="HG74" t="e">
        <f>#REF!+"$Cm=!%Ia"</f>
        <v>#REF!</v>
      </c>
      <c r="HH74" t="e">
        <f>#REF!+"$Cm=!%Ib"</f>
        <v>#REF!</v>
      </c>
      <c r="HI74" t="e">
        <f>#REF!+"$Cm=!%Ic"</f>
        <v>#REF!</v>
      </c>
      <c r="HJ74" t="e">
        <f>#REF!+"$Cm=!%Id"</f>
        <v>#REF!</v>
      </c>
      <c r="HK74" t="e">
        <f>#REF!+"$Cm=!%Ie"</f>
        <v>#REF!</v>
      </c>
      <c r="HL74" t="e">
        <f>#REF!+"$Cm=!%If"</f>
        <v>#REF!</v>
      </c>
      <c r="HM74" t="e">
        <f>#REF!+"$Cm=!%Ig"</f>
        <v>#REF!</v>
      </c>
      <c r="HN74" t="e">
        <f>#REF!+"$Cm=!%Ih"</f>
        <v>#REF!</v>
      </c>
      <c r="HO74" t="e">
        <f>#REF!+"$Cm=!%Ii"</f>
        <v>#REF!</v>
      </c>
      <c r="HP74" t="e">
        <f>#REF!+"$Cm=!%Ij"</f>
        <v>#REF!</v>
      </c>
      <c r="HQ74" t="e">
        <f>#REF!+"$Cm=!%Ik"</f>
        <v>#REF!</v>
      </c>
      <c r="HR74" t="e">
        <f>#REF!+"$Cm=!%Il"</f>
        <v>#REF!</v>
      </c>
      <c r="HS74" t="e">
        <f>#REF!+"$Cm=!%Im"</f>
        <v>#REF!</v>
      </c>
      <c r="HT74" t="e">
        <f>#REF!+"$Cm=!%In"</f>
        <v>#REF!</v>
      </c>
      <c r="HU74" t="e">
        <f>#REF!+"$Cm=!%Io"</f>
        <v>#REF!</v>
      </c>
      <c r="HV74" t="e">
        <f>#REF!+"$Cm=!%Ip"</f>
        <v>#REF!</v>
      </c>
      <c r="HW74" t="e">
        <f>#REF!+"$Cm=!%Iq"</f>
        <v>#REF!</v>
      </c>
      <c r="HX74" t="e">
        <f>#REF!+"$Cm=!%Ir"</f>
        <v>#REF!</v>
      </c>
      <c r="HY74" t="e">
        <f>#REF!+"$Cm=!%Is"</f>
        <v>#REF!</v>
      </c>
      <c r="HZ74" t="e">
        <f>#REF!+"$Cm=!%It"</f>
        <v>#REF!</v>
      </c>
      <c r="IA74" t="e">
        <f>#REF!+"$Cm=!%Iu"</f>
        <v>#REF!</v>
      </c>
      <c r="IB74" t="e">
        <f>#REF!+"$Cm=!%Iv"</f>
        <v>#REF!</v>
      </c>
      <c r="IC74" t="e">
        <f>#REF!+"$Cm=!%Iw"</f>
        <v>#REF!</v>
      </c>
      <c r="ID74" t="e">
        <f>#REF!+"$Cm=!%Ix"</f>
        <v>#REF!</v>
      </c>
      <c r="IE74" t="e">
        <f>#REF!+"$Cm=!%Iy"</f>
        <v>#REF!</v>
      </c>
      <c r="IF74" t="e">
        <f>#REF!+"$Cm=!%Iz"</f>
        <v>#REF!</v>
      </c>
      <c r="IG74" t="e">
        <f>#REF!+"$Cm=!%I{"</f>
        <v>#REF!</v>
      </c>
      <c r="IH74" t="e">
        <f>#REF!+"$Cm=!%I|"</f>
        <v>#REF!</v>
      </c>
      <c r="II74" t="e">
        <f>#REF!+"$Cm=!%I}"</f>
        <v>#REF!</v>
      </c>
      <c r="IJ74" t="e">
        <f>#REF!+"$Cm=!%I~"</f>
        <v>#REF!</v>
      </c>
      <c r="IK74" t="e">
        <f>#REF!+"$Cm=!%J#"</f>
        <v>#REF!</v>
      </c>
      <c r="IL74" t="e">
        <f>#REF!+"$Cm=!%J$"</f>
        <v>#REF!</v>
      </c>
      <c r="IM74" t="e">
        <f>#REF!+"$Cm=!%J%"</f>
        <v>#REF!</v>
      </c>
      <c r="IN74" t="e">
        <f>#REF!+"$Cm=!%J&amp;"</f>
        <v>#REF!</v>
      </c>
      <c r="IO74" t="e">
        <f>#REF!+"$Cm=!%J'"</f>
        <v>#REF!</v>
      </c>
      <c r="IP74" t="e">
        <f>#REF!+"$Cm=!%J("</f>
        <v>#REF!</v>
      </c>
      <c r="IQ74" t="e">
        <f>#REF!+"$Cm=!%J)"</f>
        <v>#REF!</v>
      </c>
      <c r="IR74" t="e">
        <f>#REF!+"$Cm=!%J."</f>
        <v>#REF!</v>
      </c>
      <c r="IS74" t="e">
        <f>#REF!+"$Cm=!%J/"</f>
        <v>#REF!</v>
      </c>
      <c r="IT74" t="e">
        <f>#REF!+"$Cm=!%J0"</f>
        <v>#REF!</v>
      </c>
      <c r="IU74" t="e">
        <f>#REF!+"$Cm=!%J1"</f>
        <v>#REF!</v>
      </c>
      <c r="IV74" t="e">
        <f>#REF!+"$Cm=!%J2"</f>
        <v>#REF!</v>
      </c>
    </row>
    <row r="75" spans="6:256">
      <c r="F75" t="e">
        <f>#REF!+"$Cm=!%J3"</f>
        <v>#REF!</v>
      </c>
      <c r="G75" t="e">
        <f>#REF!+"$Cm=!%J4"</f>
        <v>#REF!</v>
      </c>
      <c r="H75" t="e">
        <f>#REF!+"$Cm=!%J5"</f>
        <v>#REF!</v>
      </c>
      <c r="I75" t="e">
        <f>#REF!+"$Cm=!%J6"</f>
        <v>#REF!</v>
      </c>
      <c r="J75" t="e">
        <f>#REF!+"$Cm=!%J7"</f>
        <v>#REF!</v>
      </c>
      <c r="K75" t="e">
        <f>#REF!+"$Cm=!%J8"</f>
        <v>#REF!</v>
      </c>
      <c r="L75" t="e">
        <f>#REF!+"$Cm=!%J9"</f>
        <v>#REF!</v>
      </c>
      <c r="M75" t="e">
        <f>#REF!+"$Cm=!%J:"</f>
        <v>#REF!</v>
      </c>
      <c r="N75" t="e">
        <f>#REF!+"$Cm=!%J;"</f>
        <v>#REF!</v>
      </c>
      <c r="O75" t="e">
        <f>#REF!+"$Cm=!%J&lt;"</f>
        <v>#REF!</v>
      </c>
      <c r="P75" t="e">
        <f>#REF!+"$Cm=!%J="</f>
        <v>#REF!</v>
      </c>
      <c r="Q75" t="e">
        <f>#REF!+"$Cm=!%J&gt;"</f>
        <v>#REF!</v>
      </c>
      <c r="R75" t="e">
        <f>#REF!+"$Cm=!%J?"</f>
        <v>#REF!</v>
      </c>
      <c r="S75" t="e">
        <f>#REF!+"$Cm=!%J@"</f>
        <v>#REF!</v>
      </c>
      <c r="T75" t="e">
        <f>#REF!+"$Cm=!%JA"</f>
        <v>#REF!</v>
      </c>
      <c r="U75" t="e">
        <f>#REF!+"$Cm=!%JB"</f>
        <v>#REF!</v>
      </c>
      <c r="V75" t="e">
        <f>#REF!+"$Cm=!%JC"</f>
        <v>#REF!</v>
      </c>
      <c r="W75" t="e">
        <f>#REF!+"$Cm=!%JD"</f>
        <v>#REF!</v>
      </c>
      <c r="X75" t="e">
        <f>#REF!+"$Cm=!%JE"</f>
        <v>#REF!</v>
      </c>
      <c r="Y75" t="e">
        <f>#REF!+"$Cm=!%JF"</f>
        <v>#REF!</v>
      </c>
      <c r="Z75" t="e">
        <f>#REF!+"$Cm=!%JG"</f>
        <v>#REF!</v>
      </c>
      <c r="AA75" t="e">
        <f>#REF!+"$Cm=!%JH"</f>
        <v>#REF!</v>
      </c>
      <c r="AB75" t="e">
        <f>#REF!+"$Cm=!%JI"</f>
        <v>#REF!</v>
      </c>
      <c r="AC75" t="e">
        <f>#REF!+"$Cm=!%JJ"</f>
        <v>#REF!</v>
      </c>
      <c r="AD75" t="e">
        <f>#REF!+"$Cm=!%JK"</f>
        <v>#REF!</v>
      </c>
      <c r="AE75" t="e">
        <f>#REF!+"$Cm=!%JL"</f>
        <v>#REF!</v>
      </c>
      <c r="AF75" t="e">
        <f>#REF!+"$Cm=!%JM"</f>
        <v>#REF!</v>
      </c>
      <c r="AG75" t="e">
        <f>#REF!+"$Cm=!%JN"</f>
        <v>#REF!</v>
      </c>
      <c r="AH75" t="e">
        <f>#REF!+"$Cm=!%JO"</f>
        <v>#REF!</v>
      </c>
      <c r="AI75" t="e">
        <f>#REF!+"$Cm=!%JP"</f>
        <v>#REF!</v>
      </c>
      <c r="AJ75" t="e">
        <f>#REF!+"$Cm=!%JQ"</f>
        <v>#REF!</v>
      </c>
      <c r="AK75" t="e">
        <f>#REF!+"$Cm=!%JR"</f>
        <v>#REF!</v>
      </c>
      <c r="AL75" t="e">
        <f>#REF!+"$Cm=!%JS"</f>
        <v>#REF!</v>
      </c>
      <c r="AM75" t="e">
        <f>#REF!+"$Cm=!%JT"</f>
        <v>#REF!</v>
      </c>
      <c r="AN75" t="e">
        <f>#REF!+"$Cm=!%JU"</f>
        <v>#REF!</v>
      </c>
      <c r="AO75" t="e">
        <f>#REF!+"$Cm=!%JV"</f>
        <v>#REF!</v>
      </c>
      <c r="AP75" t="e">
        <f>#REF!+"$Cm=!%JW"</f>
        <v>#REF!</v>
      </c>
      <c r="AQ75" t="e">
        <f>#REF!+"$Cm=!%JX"</f>
        <v>#REF!</v>
      </c>
      <c r="AR75" t="e">
        <f>#REF!+"$Cm=!%JY"</f>
        <v>#REF!</v>
      </c>
      <c r="AS75" t="e">
        <f>#REF!+"$Cm=!%JZ"</f>
        <v>#REF!</v>
      </c>
      <c r="AT75" t="e">
        <f>#REF!+"$Cm=!%J["</f>
        <v>#REF!</v>
      </c>
      <c r="AU75" t="e">
        <f>#REF!+"$Cm=!%J\"</f>
        <v>#REF!</v>
      </c>
      <c r="AV75" t="e">
        <f>#REF!+"$Cm=!%J]"</f>
        <v>#REF!</v>
      </c>
      <c r="AW75" t="e">
        <f>#REF!+"$Cm=!%J^"</f>
        <v>#REF!</v>
      </c>
      <c r="AX75" t="e">
        <f>#REF!+"$Cm=!%J_"</f>
        <v>#REF!</v>
      </c>
      <c r="AY75" t="e">
        <f>#REF!+"$Cm=!%J`"</f>
        <v>#REF!</v>
      </c>
      <c r="AZ75" t="e">
        <f>#REF!+"$Cm=!%Ja"</f>
        <v>#REF!</v>
      </c>
      <c r="BA75" t="e">
        <f>#REF!+"$Cm=!%Jb"</f>
        <v>#REF!</v>
      </c>
      <c r="BB75" t="e">
        <f>#REF!+"$Cm=!%Jc"</f>
        <v>#REF!</v>
      </c>
      <c r="BC75" t="e">
        <f>#REF!+"$Cm=!%Jd"</f>
        <v>#REF!</v>
      </c>
      <c r="BD75" t="e">
        <f>#REF!+"$Cm=!%Je"</f>
        <v>#REF!</v>
      </c>
      <c r="BE75" t="e">
        <f>#REF!+"$Cm=!%Jf"</f>
        <v>#REF!</v>
      </c>
      <c r="BF75" t="e">
        <f>#REF!+"$Cm=!%Jg"</f>
        <v>#REF!</v>
      </c>
      <c r="BG75" t="e">
        <f>#REF!+"$Cm=!%Jh"</f>
        <v>#REF!</v>
      </c>
      <c r="BH75" t="e">
        <f>#REF!+"$Cm=!%Ji"</f>
        <v>#REF!</v>
      </c>
      <c r="BI75" t="e">
        <f>#REF!+"$Cm=!%Jj"</f>
        <v>#REF!</v>
      </c>
      <c r="BJ75" t="e">
        <f>#REF!+"$Cm=!%Jk"</f>
        <v>#REF!</v>
      </c>
      <c r="BK75" t="e">
        <f>#REF!+"$Cm=!%Jl"</f>
        <v>#REF!</v>
      </c>
      <c r="BL75" t="e">
        <f>#REF!+"$Cm=!%Jm"</f>
        <v>#REF!</v>
      </c>
      <c r="BM75" t="e">
        <f>#REF!+"$Cm=!%Jn"</f>
        <v>#REF!</v>
      </c>
      <c r="BN75" t="e">
        <f>#REF!+"$Cm=!%Jo"</f>
        <v>#REF!</v>
      </c>
      <c r="BO75" t="e">
        <f>#REF!+"$Cm=!%Jp"</f>
        <v>#REF!</v>
      </c>
      <c r="BP75" t="e">
        <f>#REF!+"$Cm=!%Jq"</f>
        <v>#REF!</v>
      </c>
      <c r="BQ75" t="e">
        <f>#REF!+"$Cm=!%Jr"</f>
        <v>#REF!</v>
      </c>
      <c r="BR75" t="e">
        <f>#REF!+"$Cm=!%Js"</f>
        <v>#REF!</v>
      </c>
      <c r="BS75" t="e">
        <f>#REF!+"$Cm=!%Jt"</f>
        <v>#REF!</v>
      </c>
      <c r="BT75" t="e">
        <f>#REF!+"$Cm=!%Ju"</f>
        <v>#REF!</v>
      </c>
      <c r="BU75" t="e">
        <f>#REF!+"$Cm=!%Jv"</f>
        <v>#REF!</v>
      </c>
      <c r="BV75" t="e">
        <f>#REF!+"$Cm=!%Jw"</f>
        <v>#REF!</v>
      </c>
      <c r="BW75" t="e">
        <f>#REF!+"$Cm=!%Jx"</f>
        <v>#REF!</v>
      </c>
      <c r="BX75" t="e">
        <f>#REF!+"$Cm=!%Jy"</f>
        <v>#REF!</v>
      </c>
      <c r="BY75" t="e">
        <f>#REF!+"$Cm=!%Jz"</f>
        <v>#REF!</v>
      </c>
      <c r="BZ75" t="e">
        <f>#REF!+"$Cm=!%J{"</f>
        <v>#REF!</v>
      </c>
      <c r="CA75" t="e">
        <f>#REF!+"$Cm=!%J|"</f>
        <v>#REF!</v>
      </c>
      <c r="CB75" t="e">
        <f>#REF!+"$Cm=!%J}"</f>
        <v>#REF!</v>
      </c>
      <c r="CC75" t="e">
        <f>#REF!+"$Cm=!%J~"</f>
        <v>#REF!</v>
      </c>
      <c r="CD75" t="e">
        <f>#REF!+"$Cm=!%K#"</f>
        <v>#REF!</v>
      </c>
      <c r="CE75" t="e">
        <f>#REF!+"$Cm=!%K$"</f>
        <v>#REF!</v>
      </c>
      <c r="CF75" t="e">
        <f>#REF!+"$Cm=!%K%"</f>
        <v>#REF!</v>
      </c>
      <c r="CG75" t="e">
        <f>#REF!+"$Cm=!%K&amp;"</f>
        <v>#REF!</v>
      </c>
      <c r="CH75" t="e">
        <f>#REF!+"$Cm=!%K'"</f>
        <v>#REF!</v>
      </c>
      <c r="CI75" t="e">
        <f>#REF!+"$Cm=!%K("</f>
        <v>#REF!</v>
      </c>
      <c r="CJ75" t="e">
        <f>#REF!+"$Cm=!%K)"</f>
        <v>#REF!</v>
      </c>
      <c r="CK75" t="e">
        <f>#REF!+"$Cm=!%K."</f>
        <v>#REF!</v>
      </c>
      <c r="CL75" t="e">
        <f>#REF!+"$Cm=!%K/"</f>
        <v>#REF!</v>
      </c>
      <c r="CM75" t="e">
        <f>#REF!+"$Cm=!%K0"</f>
        <v>#REF!</v>
      </c>
      <c r="CN75" t="e">
        <f>#REF!+"$Cm=!%K1"</f>
        <v>#REF!</v>
      </c>
      <c r="CO75" t="e">
        <f>#REF!+"$Cm=!%K2"</f>
        <v>#REF!</v>
      </c>
      <c r="CP75" t="e">
        <f>#REF!+"$Cm=!%K3"</f>
        <v>#REF!</v>
      </c>
      <c r="CQ75" t="e">
        <f>#REF!+"$Cm=!%K4"</f>
        <v>#REF!</v>
      </c>
      <c r="CR75" t="e">
        <f>#REF!+"$Cm=!%K5"</f>
        <v>#REF!</v>
      </c>
      <c r="CS75" t="e">
        <f>#REF!+"$Cm=!%K6"</f>
        <v>#REF!</v>
      </c>
      <c r="CT75" t="e">
        <f>#REF!+"$Cm=!%K7"</f>
        <v>#REF!</v>
      </c>
      <c r="CU75" t="e">
        <f>#REF!+"$Cm=!%K8"</f>
        <v>#REF!</v>
      </c>
      <c r="CV75" t="e">
        <f>#REF!+"$Cm=!%K9"</f>
        <v>#REF!</v>
      </c>
      <c r="CW75" t="e">
        <f>#REF!+"$Cm=!%K:"</f>
        <v>#REF!</v>
      </c>
      <c r="CX75" t="e">
        <f>#REF!+"$Cm=!%K;"</f>
        <v>#REF!</v>
      </c>
      <c r="CY75" t="e">
        <f>#REF!+"$Cm=!%K&lt;"</f>
        <v>#REF!</v>
      </c>
      <c r="CZ75" t="e">
        <f>#REF!+"$Cm=!%K="</f>
        <v>#REF!</v>
      </c>
      <c r="DA75" t="e">
        <f>#REF!+"$Cm=!%K&gt;"</f>
        <v>#REF!</v>
      </c>
      <c r="DB75" t="e">
        <f>#REF!+"$Cm=!%K?"</f>
        <v>#REF!</v>
      </c>
      <c r="DC75" t="e">
        <f>#REF!+"$Cm=!%K@"</f>
        <v>#REF!</v>
      </c>
      <c r="DD75" t="e">
        <f>#REF!+"$Cm=!%KA"</f>
        <v>#REF!</v>
      </c>
      <c r="DE75" t="e">
        <f>#REF!+"$Cm=!%KB"</f>
        <v>#REF!</v>
      </c>
      <c r="DF75" t="e">
        <f>#REF!+"$Cm=!%KC"</f>
        <v>#REF!</v>
      </c>
      <c r="DG75" t="e">
        <f>#REF!+"$Cm=!%KD"</f>
        <v>#REF!</v>
      </c>
      <c r="DH75" t="e">
        <f>#REF!+"$Cm=!%KE"</f>
        <v>#REF!</v>
      </c>
      <c r="DI75" t="e">
        <f>#REF!+"$Cm=!%KF"</f>
        <v>#REF!</v>
      </c>
      <c r="DJ75" t="e">
        <f>#REF!+"$Cm=!%KG"</f>
        <v>#REF!</v>
      </c>
      <c r="DK75" t="e">
        <f>#REF!+"$Cm=!%KH"</f>
        <v>#REF!</v>
      </c>
      <c r="DL75" t="e">
        <f>#REF!+"$Cm=!%KI"</f>
        <v>#REF!</v>
      </c>
      <c r="DM75" t="e">
        <f>#REF!+"$Cm=!%KJ"</f>
        <v>#REF!</v>
      </c>
      <c r="DN75" t="e">
        <f>#REF!+"$Cm=!%KK"</f>
        <v>#REF!</v>
      </c>
      <c r="DO75" t="e">
        <f>#REF!+"$Cm=!%KL"</f>
        <v>#REF!</v>
      </c>
      <c r="DP75" t="e">
        <f>#REF!+"$Cm=!%KM"</f>
        <v>#REF!</v>
      </c>
      <c r="DQ75" t="e">
        <f>#REF!+"$Cm=!%KN"</f>
        <v>#REF!</v>
      </c>
      <c r="DR75" t="e">
        <f>#REF!+"$Cm=!%KO"</f>
        <v>#REF!</v>
      </c>
      <c r="DS75" t="e">
        <f>#REF!+"$Cm=!%KP"</f>
        <v>#REF!</v>
      </c>
      <c r="DT75" t="e">
        <f>#REF!+"$Cm=!%KQ"</f>
        <v>#REF!</v>
      </c>
      <c r="DU75" t="e">
        <f>#REF!+"$Cm=!%KR"</f>
        <v>#REF!</v>
      </c>
      <c r="DV75" t="e">
        <f>#REF!+"$Cm=!%KS"</f>
        <v>#REF!</v>
      </c>
      <c r="DW75" t="e">
        <f>#REF!+"$Cm=!%KT"</f>
        <v>#REF!</v>
      </c>
      <c r="DX75" t="e">
        <f>#REF!+"$Cm=!%KU"</f>
        <v>#REF!</v>
      </c>
      <c r="DY75" t="e">
        <f>#REF!+"$Cm=!%KV"</f>
        <v>#REF!</v>
      </c>
      <c r="DZ75" t="e">
        <f>#REF!+"$Cm=!%KW"</f>
        <v>#REF!</v>
      </c>
      <c r="EA75" t="e">
        <f>#REF!+"$Cm=!%KX"</f>
        <v>#REF!</v>
      </c>
      <c r="EB75" t="e">
        <f>#REF!+"$Cm=!%KY"</f>
        <v>#REF!</v>
      </c>
      <c r="EC75" t="e">
        <f>#REF!+"$Cm=!%KZ"</f>
        <v>#REF!</v>
      </c>
      <c r="ED75" t="e">
        <f>#REF!+"$Cm=!%K["</f>
        <v>#REF!</v>
      </c>
      <c r="EE75" t="e">
        <f>#REF!+"$Cm=!%K\"</f>
        <v>#REF!</v>
      </c>
      <c r="EF75" t="e">
        <f>#REF!+"$Cm=!%K]"</f>
        <v>#REF!</v>
      </c>
      <c r="EG75" t="e">
        <f>#REF!+"$Cm=!%K^"</f>
        <v>#REF!</v>
      </c>
      <c r="EH75" t="e">
        <f>#REF!+"$Cm=!%K_"</f>
        <v>#REF!</v>
      </c>
      <c r="EI75" t="e">
        <f>#REF!+"$Cm=!%K`"</f>
        <v>#REF!</v>
      </c>
      <c r="EJ75" t="e">
        <f>#REF!+"$Cm=!%Ka"</f>
        <v>#REF!</v>
      </c>
      <c r="EK75" t="e">
        <f>#REF!+"$Cm=!%Kb"</f>
        <v>#REF!</v>
      </c>
      <c r="EL75" t="e">
        <f>#REF!+"$Cm=!%Kc"</f>
        <v>#REF!</v>
      </c>
      <c r="EM75" t="e">
        <f>#REF!+"$Cm=!%Kd"</f>
        <v>#REF!</v>
      </c>
      <c r="EN75" t="e">
        <f>#REF!+"$Cm=!%Ke"</f>
        <v>#REF!</v>
      </c>
      <c r="EO75" t="e">
        <f>#REF!+"$Cm=!%Kf"</f>
        <v>#REF!</v>
      </c>
      <c r="EP75" t="e">
        <f>#REF!+"$Cm=!%Kg"</f>
        <v>#REF!</v>
      </c>
      <c r="EQ75" t="e">
        <f>#REF!+"$Cm=!%Kh"</f>
        <v>#REF!</v>
      </c>
      <c r="ER75" t="e">
        <f>#REF!+"$Cm=!%Ki"</f>
        <v>#REF!</v>
      </c>
      <c r="ES75" t="e">
        <f>#REF!+"$Cm=!%Kj"</f>
        <v>#REF!</v>
      </c>
      <c r="ET75" t="e">
        <f>#REF!+"$Cm=!%Kk"</f>
        <v>#REF!</v>
      </c>
      <c r="EU75" t="e">
        <f>#REF!+"$Cm=!%Kl"</f>
        <v>#REF!</v>
      </c>
      <c r="EV75" t="e">
        <f>#REF!+"$Cm=!%Km"</f>
        <v>#REF!</v>
      </c>
      <c r="EW75" t="e">
        <f>#REF!+"$Cm=!%Kn"</f>
        <v>#REF!</v>
      </c>
      <c r="EX75" t="e">
        <f>#REF!+"$Cm=!%Ko"</f>
        <v>#REF!</v>
      </c>
      <c r="EY75" t="e">
        <f>#REF!+"$Cm=!%Kp"</f>
        <v>#REF!</v>
      </c>
      <c r="EZ75" t="e">
        <f>#REF!+"$Cm=!%Kq"</f>
        <v>#REF!</v>
      </c>
      <c r="FA75" t="e">
        <f>#REF!+"$Cm=!%Kr"</f>
        <v>#REF!</v>
      </c>
      <c r="FB75" t="e">
        <f>#REF!+"$Cm=!%Ks"</f>
        <v>#REF!</v>
      </c>
      <c r="FC75" t="e">
        <f>#REF!+"$Cm=!%Kt"</f>
        <v>#REF!</v>
      </c>
      <c r="FD75" t="e">
        <f>#REF!+"$Cm=!%Ku"</f>
        <v>#REF!</v>
      </c>
      <c r="FE75" t="e">
        <f>#REF!+"$Cm=!%Kv"</f>
        <v>#REF!</v>
      </c>
      <c r="FF75" t="e">
        <f>#REF!+"$Cm=!%Kw"</f>
        <v>#REF!</v>
      </c>
      <c r="FG75" t="e">
        <f>#REF!+"$Cm=!%Kx"</f>
        <v>#REF!</v>
      </c>
      <c r="FH75" t="e">
        <f>#REF!+"$Cm=!%Ky"</f>
        <v>#REF!</v>
      </c>
      <c r="FI75" t="e">
        <f>#REF!+"$Cm=!%Kz"</f>
        <v>#REF!</v>
      </c>
      <c r="FJ75" t="e">
        <f>#REF!+"$Cm=!%K{"</f>
        <v>#REF!</v>
      </c>
      <c r="FK75" t="e">
        <f>#REF!+"$Cm=!%K|"</f>
        <v>#REF!</v>
      </c>
      <c r="FL75" t="e">
        <f>#REF!+"$Cm=!%K}"</f>
        <v>#REF!</v>
      </c>
      <c r="FM75" t="e">
        <f>#REF!+"$Cm=!%K~"</f>
        <v>#REF!</v>
      </c>
      <c r="FN75" t="e">
        <f>#REF!+"$Cm=!%L#"</f>
        <v>#REF!</v>
      </c>
      <c r="FO75" t="e">
        <f>#REF!+"$Cm=!%L$"</f>
        <v>#REF!</v>
      </c>
      <c r="FP75" t="e">
        <f>#REF!+"$Cm=!%L%"</f>
        <v>#REF!</v>
      </c>
      <c r="FQ75" t="e">
        <f>#REF!+"$Cm=!%L&amp;"</f>
        <v>#REF!</v>
      </c>
      <c r="FR75" t="e">
        <f>#REF!+"$Cm=!%L'"</f>
        <v>#REF!</v>
      </c>
      <c r="FS75" t="e">
        <f>#REF!+"$Cm=!%L("</f>
        <v>#REF!</v>
      </c>
      <c r="FT75" t="e">
        <f>#REF!+"$Cm=!%L)"</f>
        <v>#REF!</v>
      </c>
      <c r="FU75" t="e">
        <f>#REF!+"$Cm=!%L."</f>
        <v>#REF!</v>
      </c>
      <c r="FV75" t="e">
        <f>#REF!+"$Cm=!%L/"</f>
        <v>#REF!</v>
      </c>
      <c r="FW75" t="e">
        <f>#REF!+"$Cm=!%L0"</f>
        <v>#REF!</v>
      </c>
      <c r="FX75" t="e">
        <f>#REF!+"$Cm=!%L1"</f>
        <v>#REF!</v>
      </c>
      <c r="FY75" t="e">
        <f>#REF!+"$Cm=!%L2"</f>
        <v>#REF!</v>
      </c>
      <c r="FZ75" t="e">
        <f>#REF!+"$Cm=!%L3"</f>
        <v>#REF!</v>
      </c>
      <c r="GA75" t="e">
        <f>#REF!+"$Cm=!%L4"</f>
        <v>#REF!</v>
      </c>
      <c r="GB75" t="e">
        <f>#REF!+"$Cm=!%L5"</f>
        <v>#REF!</v>
      </c>
      <c r="GC75" t="e">
        <f>#REF!+"$Cm=!%L6"</f>
        <v>#REF!</v>
      </c>
      <c r="GD75" t="e">
        <f>#REF!+"$Cm=!%L7"</f>
        <v>#REF!</v>
      </c>
      <c r="GE75" t="e">
        <f>#REF!+"$Cm=!%L8"</f>
        <v>#REF!</v>
      </c>
      <c r="GF75" t="e">
        <f>#REF!+"$Cm=!%L9"</f>
        <v>#REF!</v>
      </c>
      <c r="GG75" t="e">
        <f>#REF!+"$Cm=!%L:"</f>
        <v>#REF!</v>
      </c>
      <c r="GH75" t="e">
        <f>#REF!+"$Cm=!%L;"</f>
        <v>#REF!</v>
      </c>
      <c r="GI75" t="e">
        <f>#REF!+"$Cm=!%L&lt;"</f>
        <v>#REF!</v>
      </c>
      <c r="GJ75" t="e">
        <f>#REF!+"$Cm=!%L="</f>
        <v>#REF!</v>
      </c>
      <c r="GK75" t="e">
        <f>#REF!+"$Cm=!%L&gt;"</f>
        <v>#REF!</v>
      </c>
      <c r="GL75" t="e">
        <f>#REF!+"$Cm=!%L?"</f>
        <v>#REF!</v>
      </c>
      <c r="GM75" t="e">
        <f>#REF!+"$Cm=!%L@"</f>
        <v>#REF!</v>
      </c>
      <c r="GN75" t="e">
        <f>#REF!+"$Cm=!%LA"</f>
        <v>#REF!</v>
      </c>
      <c r="GO75" t="e">
        <f>#REF!+"$Cm=!%LB"</f>
        <v>#REF!</v>
      </c>
      <c r="GP75" t="e">
        <f>#REF!+"$Cm=!%LC"</f>
        <v>#REF!</v>
      </c>
      <c r="GQ75" t="e">
        <f>#REF!+"$Cm=!%LD"</f>
        <v>#REF!</v>
      </c>
      <c r="GR75" t="e">
        <f>#REF!+"$Cm=!%LE"</f>
        <v>#REF!</v>
      </c>
      <c r="GS75" t="e">
        <f>#REF!+"$Cm=!%LF"</f>
        <v>#REF!</v>
      </c>
      <c r="GT75" t="e">
        <f>#REF!+"$Cm=!%LG"</f>
        <v>#REF!</v>
      </c>
      <c r="GU75" t="e">
        <f>#REF!+"$Cm=!%LH"</f>
        <v>#REF!</v>
      </c>
      <c r="GV75" t="e">
        <f>#REF!+"$Cm=!%LI"</f>
        <v>#REF!</v>
      </c>
      <c r="GW75" t="e">
        <f>#REF!+"$Cm=!%LJ"</f>
        <v>#REF!</v>
      </c>
      <c r="GX75" t="e">
        <f>#REF!+"$Cm=!%LK"</f>
        <v>#REF!</v>
      </c>
      <c r="GY75" t="e">
        <f>#REF!+"$Cm=!%LL"</f>
        <v>#REF!</v>
      </c>
      <c r="GZ75" t="e">
        <f>#REF!+"$Cm=!%LM"</f>
        <v>#REF!</v>
      </c>
      <c r="HA75" t="e">
        <f>#REF!+"$Cm=!%LN"</f>
        <v>#REF!</v>
      </c>
      <c r="HB75" t="e">
        <f>#REF!+"$Cm=!%LO"</f>
        <v>#REF!</v>
      </c>
      <c r="HC75" t="e">
        <f>#REF!+"$Cm=!%LP"</f>
        <v>#REF!</v>
      </c>
      <c r="HD75" t="e">
        <f>#REF!+"$Cm=!%LQ"</f>
        <v>#REF!</v>
      </c>
      <c r="HE75" t="e">
        <f>#REF!+"$Cm=!%LR"</f>
        <v>#REF!</v>
      </c>
      <c r="HF75" t="e">
        <f>#REF!+"$Cm=!%LS"</f>
        <v>#REF!</v>
      </c>
      <c r="HG75" t="e">
        <f>#REF!+"$Cm=!%LT"</f>
        <v>#REF!</v>
      </c>
      <c r="HH75" t="e">
        <f>#REF!+"$Cm=!%LU"</f>
        <v>#REF!</v>
      </c>
      <c r="HI75" t="e">
        <f>#REF!+"$Cm=!%LV"</f>
        <v>#REF!</v>
      </c>
      <c r="HJ75" t="e">
        <f>#REF!+"$Cm=!%LW"</f>
        <v>#REF!</v>
      </c>
      <c r="HK75" t="e">
        <f>#REF!+"$Cm=!%LX"</f>
        <v>#REF!</v>
      </c>
      <c r="HL75" t="e">
        <f>#REF!+"$Cm=!%LY"</f>
        <v>#REF!</v>
      </c>
      <c r="HM75" t="e">
        <f>#REF!+"$Cm=!%LZ"</f>
        <v>#REF!</v>
      </c>
      <c r="HN75" t="e">
        <f>#REF!+"$Cm=!%L["</f>
        <v>#REF!</v>
      </c>
      <c r="HO75" t="e">
        <f>#REF!+"$Cm=!%L\"</f>
        <v>#REF!</v>
      </c>
      <c r="HP75" t="e">
        <f>#REF!+"$Cm=!%L]"</f>
        <v>#REF!</v>
      </c>
      <c r="HQ75" t="e">
        <f>#REF!+"$Cm=!%L^"</f>
        <v>#REF!</v>
      </c>
      <c r="HR75" t="e">
        <f>#REF!+"$Cm=!%L_"</f>
        <v>#REF!</v>
      </c>
      <c r="HS75" t="e">
        <f>#REF!+"$Cm=!%L`"</f>
        <v>#REF!</v>
      </c>
      <c r="HT75" t="e">
        <f>#REF!+"$Cm=!%La"</f>
        <v>#REF!</v>
      </c>
      <c r="HU75" t="e">
        <f>#REF!+"$Cm=!%Lb"</f>
        <v>#REF!</v>
      </c>
      <c r="HV75" t="e">
        <f>#REF!+"$Cm=!%Lc"</f>
        <v>#REF!</v>
      </c>
      <c r="HW75" t="e">
        <f>#REF!+"$Cm=!%Ld"</f>
        <v>#REF!</v>
      </c>
      <c r="HX75" t="e">
        <f>#REF!+"$Cm=!%Le"</f>
        <v>#REF!</v>
      </c>
      <c r="HY75" t="e">
        <f>#REF!+"$Cm=!%Lf"</f>
        <v>#REF!</v>
      </c>
      <c r="HZ75" t="e">
        <f>#REF!+"$Cm=!%Lg"</f>
        <v>#REF!</v>
      </c>
      <c r="IA75" t="e">
        <f>#REF!+"$Cm=!%Lh"</f>
        <v>#REF!</v>
      </c>
      <c r="IB75" t="e">
        <f>#REF!+"$Cm=!%Li"</f>
        <v>#REF!</v>
      </c>
      <c r="IC75" t="e">
        <f>#REF!+"$Cm=!%Lj"</f>
        <v>#REF!</v>
      </c>
      <c r="ID75" t="e">
        <f>#REF!+"$Cm=!%Lk"</f>
        <v>#REF!</v>
      </c>
      <c r="IE75" t="e">
        <f>#REF!+"$Cm=!%Ll"</f>
        <v>#REF!</v>
      </c>
      <c r="IF75" t="e">
        <f>#REF!+"$Cm=!%Lm"</f>
        <v>#REF!</v>
      </c>
      <c r="IG75" t="e">
        <f>#REF!+"$Cm=!%Ln"</f>
        <v>#REF!</v>
      </c>
      <c r="IH75" t="e">
        <f>#REF!+"$Cm=!%Lo"</f>
        <v>#REF!</v>
      </c>
      <c r="II75" t="e">
        <f>#REF!+"$Cm=!%Lp"</f>
        <v>#REF!</v>
      </c>
      <c r="IJ75" t="e">
        <f>#REF!+"$Cm=!%Lq"</f>
        <v>#REF!</v>
      </c>
      <c r="IK75" t="e">
        <f>#REF!+"$Cm=!%Lr"</f>
        <v>#REF!</v>
      </c>
      <c r="IL75" t="e">
        <f>#REF!+"$Cm=!%Ls"</f>
        <v>#REF!</v>
      </c>
      <c r="IM75" t="e">
        <f>#REF!+"$Cm=!%Lt"</f>
        <v>#REF!</v>
      </c>
      <c r="IN75" t="e">
        <f>#REF!+"$Cm=!%Lu"</f>
        <v>#REF!</v>
      </c>
      <c r="IO75" t="e">
        <f>#REF!+"$Cm=!%Lv"</f>
        <v>#REF!</v>
      </c>
      <c r="IP75" t="e">
        <f>#REF!+"$Cm=!%Lw"</f>
        <v>#REF!</v>
      </c>
      <c r="IQ75" t="e">
        <f>#REF!+"$Cm=!%Lx"</f>
        <v>#REF!</v>
      </c>
      <c r="IR75" t="e">
        <f>#REF!+"$Cm=!%Ly"</f>
        <v>#REF!</v>
      </c>
      <c r="IS75" t="e">
        <f>#REF!+"$Cm=!%Lz"</f>
        <v>#REF!</v>
      </c>
      <c r="IT75" t="e">
        <f>#REF!+"$Cm=!%L{"</f>
        <v>#REF!</v>
      </c>
      <c r="IU75" t="e">
        <f>#REF!+"$Cm=!%L|"</f>
        <v>#REF!</v>
      </c>
      <c r="IV75" t="e">
        <f>#REF!+"$Cm=!%L}"</f>
        <v>#REF!</v>
      </c>
    </row>
    <row r="76" spans="6:256">
      <c r="F76" t="e">
        <f>#REF!+"$Cm=!%L~"</f>
        <v>#REF!</v>
      </c>
      <c r="G76" t="e">
        <f>#REF!+"$Cm=!%M#"</f>
        <v>#REF!</v>
      </c>
      <c r="H76" t="e">
        <f>#REF!+"$Cm=!%M$"</f>
        <v>#REF!</v>
      </c>
      <c r="I76" t="e">
        <f>#REF!+"$Cm=!%M%"</f>
        <v>#REF!</v>
      </c>
      <c r="J76" t="e">
        <f>#REF!+"$Cm=!%M&amp;"</f>
        <v>#REF!</v>
      </c>
      <c r="K76" t="e">
        <f>#REF!+"$Cm=!%M'"</f>
        <v>#REF!</v>
      </c>
      <c r="L76" t="e">
        <f>#REF!+"$Cm=!%M("</f>
        <v>#REF!</v>
      </c>
      <c r="M76" t="e">
        <f>#REF!+"$Cm=!%M)"</f>
        <v>#REF!</v>
      </c>
      <c r="N76" t="e">
        <f>#REF!+"$Cm=!%M."</f>
        <v>#REF!</v>
      </c>
      <c r="O76" t="e">
        <f>#REF!+"$Cm=!%M/"</f>
        <v>#REF!</v>
      </c>
      <c r="P76" t="e">
        <f>#REF!+"$Cm=!%M0"</f>
        <v>#REF!</v>
      </c>
      <c r="Q76" t="e">
        <f>#REF!+"$Cm=!%M1"</f>
        <v>#REF!</v>
      </c>
      <c r="R76" t="e">
        <f>#REF!+"$Cm=!%M2"</f>
        <v>#REF!</v>
      </c>
      <c r="S76" t="e">
        <f>#REF!+"$Cm=!%M3"</f>
        <v>#REF!</v>
      </c>
      <c r="T76" t="e">
        <f>#REF!+"$Cm=!%M4"</f>
        <v>#REF!</v>
      </c>
      <c r="U76" t="e">
        <f>#REF!+"$Cm=!%M5"</f>
        <v>#REF!</v>
      </c>
      <c r="V76" t="e">
        <f>#REF!+"$Cm=!%M6"</f>
        <v>#REF!</v>
      </c>
      <c r="W76" t="e">
        <f>#REF!+"$Cm=!%M7"</f>
        <v>#REF!</v>
      </c>
      <c r="X76" t="e">
        <f>#REF!+"$Cm=!%M8"</f>
        <v>#REF!</v>
      </c>
      <c r="Y76" t="e">
        <f>#REF!+"$Cm=!%M9"</f>
        <v>#REF!</v>
      </c>
      <c r="Z76" t="e">
        <f>#REF!+"$Cm=!%M:"</f>
        <v>#REF!</v>
      </c>
      <c r="AA76" t="e">
        <f>#REF!+"$Cm=!%M;"</f>
        <v>#REF!</v>
      </c>
      <c r="AB76" t="e">
        <f>#REF!+"$Cm=!%M&lt;"</f>
        <v>#REF!</v>
      </c>
      <c r="AC76" t="e">
        <f>#REF!+"$Cm=!%M="</f>
        <v>#REF!</v>
      </c>
      <c r="AD76" t="e">
        <f>#REF!+"$Cm=!%M&gt;"</f>
        <v>#REF!</v>
      </c>
      <c r="AE76" t="e">
        <f>#REF!+"$Cm=!%M?"</f>
        <v>#REF!</v>
      </c>
      <c r="AF76" t="e">
        <f>#REF!+"$Cm=!%M@"</f>
        <v>#REF!</v>
      </c>
      <c r="AG76" t="e">
        <f>#REF!+"$Cm=!%MA"</f>
        <v>#REF!</v>
      </c>
      <c r="AH76" t="e">
        <f>#REF!+"$Cm=!%MB"</f>
        <v>#REF!</v>
      </c>
      <c r="AI76" t="e">
        <f>#REF!+"$Cm=!%MC"</f>
        <v>#REF!</v>
      </c>
      <c r="AJ76" t="e">
        <f>#REF!+"$Cm=!%MD"</f>
        <v>#REF!</v>
      </c>
      <c r="AK76" t="e">
        <f>#REF!+"$Cm=!%ME"</f>
        <v>#REF!</v>
      </c>
      <c r="AL76" t="e">
        <f>#REF!+"$Cm=!%MF"</f>
        <v>#REF!</v>
      </c>
      <c r="AM76" t="e">
        <f>#REF!+"$Cm=!%MG"</f>
        <v>#REF!</v>
      </c>
      <c r="AN76" t="e">
        <f>#REF!+"$Cm=!%MH"</f>
        <v>#REF!</v>
      </c>
      <c r="AO76" t="e">
        <f>#REF!+"$Cm=!%MI"</f>
        <v>#REF!</v>
      </c>
      <c r="AP76" t="e">
        <f>#REF!+"$Cm=!%MJ"</f>
        <v>#REF!</v>
      </c>
      <c r="AQ76" t="e">
        <f>#REF!+"$Cm=!%MK"</f>
        <v>#REF!</v>
      </c>
      <c r="AR76" t="e">
        <f>#REF!+"$Cm=!%ML"</f>
        <v>#REF!</v>
      </c>
      <c r="AS76" t="e">
        <f>#REF!+"$Cm=!%MM"</f>
        <v>#REF!</v>
      </c>
      <c r="AT76" t="e">
        <f>#REF!+"$Cm=!%MN"</f>
        <v>#REF!</v>
      </c>
      <c r="AU76" t="e">
        <f>#REF!+"$Cm=!%MO"</f>
        <v>#REF!</v>
      </c>
      <c r="AV76" t="e">
        <f>#REF!+"$Cm=!%MP"</f>
        <v>#REF!</v>
      </c>
      <c r="AW76" t="e">
        <f>#REF!+"$Cm=!%MQ"</f>
        <v>#REF!</v>
      </c>
      <c r="AX76" t="e">
        <f>#REF!+"$Cm=!%MR"</f>
        <v>#REF!</v>
      </c>
      <c r="AY76" t="e">
        <f>#REF!+"$Cm=!%MS"</f>
        <v>#REF!</v>
      </c>
      <c r="AZ76" t="e">
        <f>#REF!+"$Cm=!%MT"</f>
        <v>#REF!</v>
      </c>
      <c r="BA76" t="e">
        <f>#REF!+"$Cm=!%MU"</f>
        <v>#REF!</v>
      </c>
      <c r="BB76" t="e">
        <f>#REF!+"$Cm=!%MV"</f>
        <v>#REF!</v>
      </c>
      <c r="BC76" t="e">
        <f>#REF!+"$Cm=!%MW"</f>
        <v>#REF!</v>
      </c>
      <c r="BD76" t="e">
        <f>#REF!+"$Cm=!%MX"</f>
        <v>#REF!</v>
      </c>
      <c r="BE76" t="e">
        <f>#REF!+"$Cm=!%MY"</f>
        <v>#REF!</v>
      </c>
      <c r="BF76" t="e">
        <f>#REF!+"$Cm=!%MZ"</f>
        <v>#REF!</v>
      </c>
      <c r="BG76" t="e">
        <f>#REF!+"$Cm=!%M["</f>
        <v>#REF!</v>
      </c>
      <c r="BH76" t="e">
        <f>#REF!+"$Cm=!%M\"</f>
        <v>#REF!</v>
      </c>
      <c r="BI76" t="e">
        <f>#REF!+"$Cm=!%M]"</f>
        <v>#REF!</v>
      </c>
      <c r="BJ76" t="e">
        <f>#REF!+"$Cm=!%M^"</f>
        <v>#REF!</v>
      </c>
      <c r="BK76" t="e">
        <f>#REF!+"$Cm=!%M_"</f>
        <v>#REF!</v>
      </c>
      <c r="BL76" t="e">
        <f>#REF!+"$Cm=!%M`"</f>
        <v>#REF!</v>
      </c>
      <c r="BM76" t="e">
        <f>#REF!+"$Cm=!%Ma"</f>
        <v>#REF!</v>
      </c>
      <c r="BN76" t="e">
        <f>#REF!+"$Cm=!%Mb"</f>
        <v>#REF!</v>
      </c>
      <c r="BO76" t="e">
        <f>#REF!+"$Cm=!%Mc"</f>
        <v>#REF!</v>
      </c>
      <c r="BP76" t="e">
        <f>#REF!+"$Cm=!%Md"</f>
        <v>#REF!</v>
      </c>
      <c r="BQ76" t="e">
        <f>#REF!+"$Cm=!%Me"</f>
        <v>#REF!</v>
      </c>
      <c r="BR76" t="e">
        <f>#REF!+"$Cm=!%Mf"</f>
        <v>#REF!</v>
      </c>
      <c r="BS76" t="e">
        <f>#REF!+"$Cm=!%Mg"</f>
        <v>#REF!</v>
      </c>
      <c r="BT76" t="e">
        <f>#REF!+"$Cm=!%Mh"</f>
        <v>#REF!</v>
      </c>
      <c r="BU76" t="e">
        <f>#REF!+"$Cm=!%Mi"</f>
        <v>#REF!</v>
      </c>
      <c r="BV76" t="e">
        <f>#REF!+"$Cm=!%Mj"</f>
        <v>#REF!</v>
      </c>
      <c r="BW76" t="e">
        <f>#REF!+"$Cm=!%Mk"</f>
        <v>#REF!</v>
      </c>
      <c r="BX76" t="e">
        <f>#REF!+"$Cm=!%Ml"</f>
        <v>#REF!</v>
      </c>
      <c r="BY76" t="e">
        <f>#REF!+"$Cm=!%Mm"</f>
        <v>#REF!</v>
      </c>
      <c r="BZ76" t="e">
        <f>#REF!+"$Cm=!%Mn"</f>
        <v>#REF!</v>
      </c>
      <c r="CA76" t="e">
        <f>#REF!+"$Cm=!%Mo"</f>
        <v>#REF!</v>
      </c>
      <c r="CB76" t="e">
        <f>#REF!+"$Cm=!%Mp"</f>
        <v>#REF!</v>
      </c>
      <c r="CC76" t="e">
        <f>#REF!+"$Cm=!%Mq"</f>
        <v>#REF!</v>
      </c>
      <c r="CD76" t="e">
        <f>#REF!+"$Cm=!%Mr"</f>
        <v>#REF!</v>
      </c>
      <c r="CE76" t="e">
        <f>#REF!+"$Cm=!%Ms"</f>
        <v>#REF!</v>
      </c>
      <c r="CF76" t="e">
        <f>#REF!+"$Cm=!%Mt"</f>
        <v>#REF!</v>
      </c>
      <c r="CG76" t="e">
        <f>#REF!+"$Cm=!%Mu"</f>
        <v>#REF!</v>
      </c>
      <c r="CH76" t="e">
        <f>#REF!+"$Cm=!%Mv"</f>
        <v>#REF!</v>
      </c>
      <c r="CI76" t="e">
        <f>#REF!+"$Cm=!%Mw"</f>
        <v>#REF!</v>
      </c>
      <c r="CJ76" t="e">
        <f>#REF!+"$Cm=!%Mx"</f>
        <v>#REF!</v>
      </c>
      <c r="CK76" t="e">
        <f>#REF!+"$Cm=!%My"</f>
        <v>#REF!</v>
      </c>
      <c r="CL76" t="e">
        <f>#REF!+"$Cm=!%Mz"</f>
        <v>#REF!</v>
      </c>
      <c r="CM76" t="e">
        <f>#REF!+"$Cm=!%M{"</f>
        <v>#REF!</v>
      </c>
      <c r="CN76" t="e">
        <f>#REF!+"$Cm=!%M|"</f>
        <v>#REF!</v>
      </c>
      <c r="CO76" t="e">
        <f>#REF!+"$Cm=!%M}"</f>
        <v>#REF!</v>
      </c>
      <c r="CP76" t="e">
        <f>#REF!+"$Cm=!%M~"</f>
        <v>#REF!</v>
      </c>
      <c r="CQ76" t="e">
        <f>#REF!+"$Cm=!%N#"</f>
        <v>#REF!</v>
      </c>
      <c r="CR76" t="e">
        <f>#REF!+"$Cm=!%N$"</f>
        <v>#REF!</v>
      </c>
      <c r="CS76" t="e">
        <f>#REF!+"$Cm=!%N%"</f>
        <v>#REF!</v>
      </c>
      <c r="CT76" t="e">
        <f>#REF!+"$Cm=!%N&amp;"</f>
        <v>#REF!</v>
      </c>
      <c r="CU76" t="e">
        <f>#REF!+"$Cm=!%N'"</f>
        <v>#REF!</v>
      </c>
      <c r="CV76" t="e">
        <f>#REF!+"$Cm=!%N("</f>
        <v>#REF!</v>
      </c>
      <c r="CW76" t="e">
        <f>#REF!+"$Cm=!%N)"</f>
        <v>#REF!</v>
      </c>
      <c r="CX76" t="e">
        <f>#REF!+"$Cm=!%N."</f>
        <v>#REF!</v>
      </c>
      <c r="CY76" t="e">
        <f>#REF!+"$Cm=!%N/"</f>
        <v>#REF!</v>
      </c>
      <c r="CZ76" t="e">
        <f>#REF!+"$Cm=!%N0"</f>
        <v>#REF!</v>
      </c>
      <c r="DA76" t="e">
        <f>#REF!+"$Cm=!%N1"</f>
        <v>#REF!</v>
      </c>
      <c r="DB76" t="e">
        <f>#REF!+"$Cm=!%N2"</f>
        <v>#REF!</v>
      </c>
      <c r="DC76" t="e">
        <f>#REF!+"$Cm=!%N3"</f>
        <v>#REF!</v>
      </c>
      <c r="DD76" t="e">
        <f>#REF!+"$Cm=!%N4"</f>
        <v>#REF!</v>
      </c>
      <c r="DE76" t="e">
        <f>#REF!+"$Cm=!%N5"</f>
        <v>#REF!</v>
      </c>
      <c r="DF76" t="e">
        <f>#REF!+"$Cm=!%N6"</f>
        <v>#REF!</v>
      </c>
      <c r="DG76" t="e">
        <f>#REF!+"$Cm=!%N7"</f>
        <v>#REF!</v>
      </c>
      <c r="DH76" t="e">
        <f>#REF!+"$Cm=!%N8"</f>
        <v>#REF!</v>
      </c>
      <c r="DI76" t="e">
        <f>#REF!+"$Cm=!%N9"</f>
        <v>#REF!</v>
      </c>
      <c r="DJ76" t="e">
        <f>#REF!+"$Cm=!%N:"</f>
        <v>#REF!</v>
      </c>
      <c r="DK76" t="e">
        <f>#REF!+"$Cm=!%N;"</f>
        <v>#REF!</v>
      </c>
      <c r="DL76" t="e">
        <f>#REF!+"$Cm=!%N&lt;"</f>
        <v>#REF!</v>
      </c>
      <c r="DM76" t="e">
        <f>#REF!+"$Cm=!%N="</f>
        <v>#REF!</v>
      </c>
      <c r="DN76" t="e">
        <f>#REF!+"$Cm=!%N&gt;"</f>
        <v>#REF!</v>
      </c>
      <c r="DO76" t="e">
        <f>#REF!+"$Cm=!%N?"</f>
        <v>#REF!</v>
      </c>
      <c r="DP76" t="e">
        <f>#REF!+"$Cm=!%N@"</f>
        <v>#REF!</v>
      </c>
      <c r="DQ76" t="e">
        <f>#REF!+"$Cm=!%NA"</f>
        <v>#REF!</v>
      </c>
      <c r="DR76" t="e">
        <f>#REF!+"$Cm=!%NB"</f>
        <v>#REF!</v>
      </c>
      <c r="DS76" t="e">
        <f>#REF!+"$Cm=!%NC"</f>
        <v>#REF!</v>
      </c>
      <c r="DT76" t="e">
        <f>#REF!+"$Cm=!%ND"</f>
        <v>#REF!</v>
      </c>
      <c r="DU76" t="e">
        <f>#REF!+"$Cm=!%NE"</f>
        <v>#REF!</v>
      </c>
      <c r="DV76" t="e">
        <f>#REF!+"$Cm=!%NF"</f>
        <v>#REF!</v>
      </c>
      <c r="DW76" t="e">
        <f>#REF!+"$Cm=!%NG"</f>
        <v>#REF!</v>
      </c>
      <c r="DX76" t="e">
        <f>#REF!+"$Cm=!%NH"</f>
        <v>#REF!</v>
      </c>
      <c r="DY76" t="e">
        <f>#REF!+"$Cm=!%NI"</f>
        <v>#REF!</v>
      </c>
      <c r="DZ76" t="e">
        <f>#REF!+"$Cm=!%NJ"</f>
        <v>#REF!</v>
      </c>
      <c r="EA76" t="e">
        <f>#REF!+"$Cm=!%NK"</f>
        <v>#REF!</v>
      </c>
      <c r="EB76" t="e">
        <f>#REF!+"$Cm=!%NL"</f>
        <v>#REF!</v>
      </c>
      <c r="EC76" t="e">
        <f>#REF!+"$Cm=!%NM"</f>
        <v>#REF!</v>
      </c>
      <c r="ED76" t="e">
        <f>#REF!+"$Cm=!%NN"</f>
        <v>#REF!</v>
      </c>
      <c r="EE76" t="e">
        <f>#REF!+"$Cm=!%NO"</f>
        <v>#REF!</v>
      </c>
      <c r="EF76" t="e">
        <f>#REF!+"$Cm=!%NP"</f>
        <v>#REF!</v>
      </c>
      <c r="EG76" t="e">
        <f>#REF!+"$Cm=!%NQ"</f>
        <v>#REF!</v>
      </c>
      <c r="EH76" t="e">
        <f>#REF!+"$Cm=!%NR"</f>
        <v>#REF!</v>
      </c>
      <c r="EI76" t="e">
        <f>#REF!+"$Cm=!%NS"</f>
        <v>#REF!</v>
      </c>
      <c r="EJ76" t="e">
        <f>#REF!+"$Cm=!%NT"</f>
        <v>#REF!</v>
      </c>
      <c r="EK76" t="e">
        <f>#REF!+"$Cm=!%NU"</f>
        <v>#REF!</v>
      </c>
      <c r="EL76" t="e">
        <f>#REF!+"$Cm=!%NV"</f>
        <v>#REF!</v>
      </c>
      <c r="EM76" t="e">
        <f>#REF!+"$Cm=!%NW"</f>
        <v>#REF!</v>
      </c>
      <c r="EN76" t="e">
        <f>#REF!+"$Cm=!%NX"</f>
        <v>#REF!</v>
      </c>
      <c r="EO76" t="e">
        <f>#REF!+"$Cm=!%NY"</f>
        <v>#REF!</v>
      </c>
      <c r="EP76" t="e">
        <f>#REF!+"$Cm=!%NZ"</f>
        <v>#REF!</v>
      </c>
      <c r="EQ76" t="e">
        <f>#REF!+"$Cm=!%N["</f>
        <v>#REF!</v>
      </c>
      <c r="ER76" t="e">
        <f>#REF!+"$Cm=!%N\"</f>
        <v>#REF!</v>
      </c>
      <c r="ES76" t="e">
        <f>#REF!+"$Cm=!%N]"</f>
        <v>#REF!</v>
      </c>
      <c r="ET76" t="e">
        <f>#REF!+"$Cm=!%N^"</f>
        <v>#REF!</v>
      </c>
      <c r="EU76" t="e">
        <f>#REF!+"$Cm=!%N_"</f>
        <v>#REF!</v>
      </c>
      <c r="EV76" t="e">
        <f>#REF!+"$Cm=!%N`"</f>
        <v>#REF!</v>
      </c>
      <c r="EW76" t="e">
        <f>#REF!+"$Cm=!%Na"</f>
        <v>#REF!</v>
      </c>
      <c r="EX76" t="e">
        <f>#REF!+"$Cm=!%Nb"</f>
        <v>#REF!</v>
      </c>
      <c r="EY76" t="e">
        <f>#REF!+"$Cm=!%Nc"</f>
        <v>#REF!</v>
      </c>
      <c r="EZ76" t="e">
        <f>#REF!+"$Cm=!%Nd"</f>
        <v>#REF!</v>
      </c>
      <c r="FA76" t="e">
        <f>#REF!+"$Cm=!%Ne"</f>
        <v>#REF!</v>
      </c>
      <c r="FB76" t="e">
        <f>#REF!+"$Cm=!%Nf"</f>
        <v>#REF!</v>
      </c>
      <c r="FC76" t="e">
        <f>#REF!+"$Cm=!%Ng"</f>
        <v>#REF!</v>
      </c>
      <c r="FD76" t="e">
        <f>#REF!+"$Cm=!%Nh"</f>
        <v>#REF!</v>
      </c>
      <c r="FE76" t="e">
        <f>#REF!+"$Cm=!%Ni"</f>
        <v>#REF!</v>
      </c>
      <c r="FF76" t="e">
        <f>#REF!+"$Cm=!%Nj"</f>
        <v>#REF!</v>
      </c>
      <c r="FG76" t="e">
        <f>#REF!+"$Cm=!%Nk"</f>
        <v>#REF!</v>
      </c>
      <c r="FH76" t="e">
        <f>#REF!+"$Cm=!%Nl"</f>
        <v>#REF!</v>
      </c>
      <c r="FI76" t="e">
        <f>#REF!+"$Cm=!%Nm"</f>
        <v>#REF!</v>
      </c>
      <c r="FJ76" t="e">
        <f>#REF!+"$Cm=!%Nn"</f>
        <v>#REF!</v>
      </c>
      <c r="FK76" t="e">
        <f>#REF!+"$Cm=!%No"</f>
        <v>#REF!</v>
      </c>
      <c r="FL76" t="e">
        <f>#REF!+"$Cm=!%Np"</f>
        <v>#REF!</v>
      </c>
      <c r="FM76" t="e">
        <f>#REF!+"$Cm=!%Nq"</f>
        <v>#REF!</v>
      </c>
      <c r="FN76" t="e">
        <f>#REF!+"$Cm=!%Nr"</f>
        <v>#REF!</v>
      </c>
      <c r="FO76" t="e">
        <f>#REF!+"$Cm=!%Ns"</f>
        <v>#REF!</v>
      </c>
      <c r="FP76" t="e">
        <f>#REF!+"$Cm=!%Nt"</f>
        <v>#REF!</v>
      </c>
      <c r="FQ76" t="e">
        <f>#REF!+"$Cm=!%Nu"</f>
        <v>#REF!</v>
      </c>
      <c r="FR76" t="e">
        <f>#REF!+"$Cm=!%Nv"</f>
        <v>#REF!</v>
      </c>
      <c r="FS76" t="e">
        <f>#REF!+"$Cm=!%Nw"</f>
        <v>#REF!</v>
      </c>
      <c r="FT76" t="e">
        <f>#REF!+"$Cm=!%Nx"</f>
        <v>#REF!</v>
      </c>
      <c r="FU76" t="e">
        <f>#REF!+"$Cm=!%Ny"</f>
        <v>#REF!</v>
      </c>
      <c r="FV76" t="e">
        <f>#REF!+"$Cm=!%Nz"</f>
        <v>#REF!</v>
      </c>
      <c r="FW76" t="e">
        <f>#REF!+"$Cm=!%N{"</f>
        <v>#REF!</v>
      </c>
      <c r="FX76" t="e">
        <f>#REF!+"$Cm=!%N|"</f>
        <v>#REF!</v>
      </c>
      <c r="FY76" t="e">
        <f>#REF!+"$Cm=!%N}"</f>
        <v>#REF!</v>
      </c>
      <c r="FZ76" t="e">
        <f>#REF!+"$Cm=!%N~"</f>
        <v>#REF!</v>
      </c>
      <c r="GA76" t="e">
        <f>#REF!+"$Cm=!%O#"</f>
        <v>#REF!</v>
      </c>
      <c r="GB76" t="e">
        <f>#REF!+"$Cm=!%O$"</f>
        <v>#REF!</v>
      </c>
      <c r="GC76" t="e">
        <f>#REF!+"$Cm=!%O%"</f>
        <v>#REF!</v>
      </c>
      <c r="GD76" t="e">
        <f>#REF!+"$Cm=!%O&amp;"</f>
        <v>#REF!</v>
      </c>
      <c r="GE76" t="e">
        <f>#REF!+"$Cm=!%O'"</f>
        <v>#REF!</v>
      </c>
      <c r="GF76" t="e">
        <f>#REF!+"$Cm=!%O("</f>
        <v>#REF!</v>
      </c>
      <c r="GG76" t="e">
        <f>#REF!+"$Cm=!%O)"</f>
        <v>#REF!</v>
      </c>
      <c r="GH76" t="e">
        <f>#REF!+"$Cm=!%O."</f>
        <v>#REF!</v>
      </c>
      <c r="GI76" t="e">
        <f>#REF!+"$Cm=!%O/"</f>
        <v>#REF!</v>
      </c>
      <c r="GJ76" t="e">
        <f>#REF!+"$Cm=!%O0"</f>
        <v>#REF!</v>
      </c>
      <c r="GK76" t="e">
        <f>#REF!+"$Cm=!%O1"</f>
        <v>#REF!</v>
      </c>
      <c r="GL76" t="e">
        <f>#REF!+"$Cm=!%O2"</f>
        <v>#REF!</v>
      </c>
      <c r="GM76" t="e">
        <f>#REF!+"$Cm=!%O3"</f>
        <v>#REF!</v>
      </c>
      <c r="GN76" t="e">
        <f>#REF!+"$Cm=!%O4"</f>
        <v>#REF!</v>
      </c>
      <c r="GO76" t="e">
        <f>#REF!+"$Cm=!%O5"</f>
        <v>#REF!</v>
      </c>
      <c r="GP76" t="e">
        <f>#REF!+"$Cm=!%O6"</f>
        <v>#REF!</v>
      </c>
      <c r="GQ76" t="e">
        <f>#REF!+"$Cm=!%O7"</f>
        <v>#REF!</v>
      </c>
      <c r="GR76" t="e">
        <f>#REF!+"$Cm=!%O8"</f>
        <v>#REF!</v>
      </c>
      <c r="GS76" t="e">
        <f>#REF!+"$Cm=!%O9"</f>
        <v>#REF!</v>
      </c>
      <c r="GT76" t="e">
        <f>#REF!+"$Cm=!%O:"</f>
        <v>#REF!</v>
      </c>
      <c r="GU76" t="e">
        <f>#REF!+"$Cm=!%O;"</f>
        <v>#REF!</v>
      </c>
      <c r="GV76" t="e">
        <f>#REF!+"$Cm=!%O&lt;"</f>
        <v>#REF!</v>
      </c>
      <c r="GW76" t="e">
        <f>#REF!+"$Cm=!%O="</f>
        <v>#REF!</v>
      </c>
      <c r="GX76" t="e">
        <f>#REF!+"$Cm=!%O&gt;"</f>
        <v>#REF!</v>
      </c>
      <c r="GY76" t="e">
        <f>#REF!+"$Cm=!%O?"</f>
        <v>#REF!</v>
      </c>
      <c r="GZ76" t="e">
        <f>#REF!+"$Cm=!%O@"</f>
        <v>#REF!</v>
      </c>
      <c r="HA76" t="e">
        <f>#REF!+"$Cm=!%OA"</f>
        <v>#REF!</v>
      </c>
      <c r="HB76" t="e">
        <f>#REF!+"$Cm=!%OB"</f>
        <v>#REF!</v>
      </c>
      <c r="HC76" t="e">
        <f>#REF!+"$Cm=!%OC"</f>
        <v>#REF!</v>
      </c>
      <c r="HD76" t="e">
        <f>#REF!+"$Cm=!%OD"</f>
        <v>#REF!</v>
      </c>
      <c r="HE76" t="e">
        <f>#REF!+"$Cm=!%OE"</f>
        <v>#REF!</v>
      </c>
      <c r="HF76" t="e">
        <f>#REF!+"$Cm=!%OF"</f>
        <v>#REF!</v>
      </c>
      <c r="HG76" t="e">
        <f>#REF!+"$Cm=!%OG"</f>
        <v>#REF!</v>
      </c>
      <c r="HH76" t="e">
        <f>#REF!+"$Cm=!%OH"</f>
        <v>#REF!</v>
      </c>
      <c r="HI76" t="e">
        <f>#REF!+"$Cm=!%OI"</f>
        <v>#REF!</v>
      </c>
      <c r="HJ76" t="e">
        <f>#REF!+"$Cm=!%OJ"</f>
        <v>#REF!</v>
      </c>
      <c r="HK76" t="e">
        <f>#REF!+"$Cm=!%OK"</f>
        <v>#REF!</v>
      </c>
      <c r="HL76" t="e">
        <f>#REF!+"$Cm=!%OL"</f>
        <v>#REF!</v>
      </c>
      <c r="HM76" t="e">
        <f>#REF!+"$Cm=!%OM"</f>
        <v>#REF!</v>
      </c>
      <c r="HN76" t="e">
        <f>#REF!+"$Cm=!%ON"</f>
        <v>#REF!</v>
      </c>
      <c r="HO76" t="e">
        <f>#REF!+"$Cm=!%OO"</f>
        <v>#REF!</v>
      </c>
      <c r="HP76" t="e">
        <f>#REF!+"$Cm=!%OP"</f>
        <v>#REF!</v>
      </c>
      <c r="HQ76" t="e">
        <f>#REF!+"$Cm=!%OQ"</f>
        <v>#REF!</v>
      </c>
      <c r="HR76" t="e">
        <f>#REF!+"$Cm=!%OR"</f>
        <v>#REF!</v>
      </c>
      <c r="HS76" t="e">
        <f>#REF!+"$Cm=!%OS"</f>
        <v>#REF!</v>
      </c>
      <c r="HT76" t="e">
        <f>#REF!+"$Cm=!%OT"</f>
        <v>#REF!</v>
      </c>
      <c r="HU76" t="e">
        <f>#REF!+"$Cm=!%OU"</f>
        <v>#REF!</v>
      </c>
      <c r="HV76" t="e">
        <f>#REF!+"$Cm=!%OV"</f>
        <v>#REF!</v>
      </c>
      <c r="HW76" t="e">
        <f>#REF!+"$Cm=!%OW"</f>
        <v>#REF!</v>
      </c>
      <c r="HX76" t="e">
        <f>#REF!+"$Cm=!%OX"</f>
        <v>#REF!</v>
      </c>
      <c r="HY76" t="e">
        <f>#REF!+"$Cm=!%OY"</f>
        <v>#REF!</v>
      </c>
      <c r="HZ76" t="e">
        <f>#REF!+"$Cm=!%OZ"</f>
        <v>#REF!</v>
      </c>
      <c r="IA76" t="e">
        <f>#REF!+"$Cm=!%O["</f>
        <v>#REF!</v>
      </c>
      <c r="IB76" t="e">
        <f>#REF!+"$Cm=!%O\"</f>
        <v>#REF!</v>
      </c>
      <c r="IC76" t="e">
        <f>#REF!+"$Cm=!%O]"</f>
        <v>#REF!</v>
      </c>
      <c r="ID76" t="e">
        <f>#REF!+"$Cm=!%O^"</f>
        <v>#REF!</v>
      </c>
      <c r="IE76" t="e">
        <f>#REF!+"$Cm=!%O_"</f>
        <v>#REF!</v>
      </c>
      <c r="IF76" t="e">
        <f>#REF!+"$Cm=!%O`"</f>
        <v>#REF!</v>
      </c>
      <c r="IG76" t="e">
        <f>#REF!+"$Cm=!%Oa"</f>
        <v>#REF!</v>
      </c>
      <c r="IH76" t="e">
        <f>#REF!+"$Cm=!%Ob"</f>
        <v>#REF!</v>
      </c>
      <c r="II76" t="e">
        <f>#REF!+"$Cm=!%Oc"</f>
        <v>#REF!</v>
      </c>
      <c r="IJ76" t="e">
        <f>#REF!+"$Cm=!%Od"</f>
        <v>#REF!</v>
      </c>
      <c r="IK76" t="e">
        <f>#REF!+"$Cm=!%Oe"</f>
        <v>#REF!</v>
      </c>
      <c r="IL76" t="e">
        <f>#REF!+"$Cm=!%Of"</f>
        <v>#REF!</v>
      </c>
      <c r="IM76" t="e">
        <f>#REF!+"$Cm=!%Og"</f>
        <v>#REF!</v>
      </c>
      <c r="IN76" t="e">
        <f>#REF!+"$Cm=!%Oh"</f>
        <v>#REF!</v>
      </c>
      <c r="IO76" t="e">
        <f>#REF!+"$Cm=!%Oi"</f>
        <v>#REF!</v>
      </c>
      <c r="IP76" t="e">
        <f>#REF!+"$Cm=!%Oj"</f>
        <v>#REF!</v>
      </c>
      <c r="IQ76" t="e">
        <f>#REF!+"$Cm=!%Ok"</f>
        <v>#REF!</v>
      </c>
      <c r="IR76" t="e">
        <f>#REF!+"$Cm=!%Ol"</f>
        <v>#REF!</v>
      </c>
      <c r="IS76" t="e">
        <f>#REF!+"$Cm=!%Om"</f>
        <v>#REF!</v>
      </c>
      <c r="IT76" t="e">
        <f>#REF!+"$Cm=!%On"</f>
        <v>#REF!</v>
      </c>
      <c r="IU76" t="e">
        <f>#REF!+"$Cm=!%Oo"</f>
        <v>#REF!</v>
      </c>
      <c r="IV76" t="e">
        <f>#REF!+"$Cm=!%Op"</f>
        <v>#REF!</v>
      </c>
    </row>
    <row r="77" spans="6:256">
      <c r="F77" t="e">
        <f>#REF!+"$Cm=!%Oq"</f>
        <v>#REF!</v>
      </c>
      <c r="G77" t="e">
        <f>#REF!+"$Cm=!%Or"</f>
        <v>#REF!</v>
      </c>
      <c r="H77" t="e">
        <f>#REF!+"$Cm=!%Os"</f>
        <v>#REF!</v>
      </c>
      <c r="I77" t="e">
        <f>#REF!+"$Cm=!%Ot"</f>
        <v>#REF!</v>
      </c>
      <c r="J77" t="e">
        <f>#REF!+"$Cm=!%Ou"</f>
        <v>#REF!</v>
      </c>
      <c r="K77" t="e">
        <f>#REF!+"$Cm=!%Ov"</f>
        <v>#REF!</v>
      </c>
      <c r="L77" t="e">
        <f>#REF!+"$Cm=!%Ow"</f>
        <v>#REF!</v>
      </c>
      <c r="M77" t="e">
        <f>#REF!+"$Cm=!%Ox"</f>
        <v>#REF!</v>
      </c>
      <c r="N77" t="e">
        <f>#REF!+"$Cm=!%Oy"</f>
        <v>#REF!</v>
      </c>
      <c r="O77" t="e">
        <f>#REF!+"$Cm=!%Oz"</f>
        <v>#REF!</v>
      </c>
      <c r="P77" t="e">
        <f>#REF!+"$Cm=!%O{"</f>
        <v>#REF!</v>
      </c>
      <c r="Q77" t="e">
        <f>#REF!+"$Cm=!%O|"</f>
        <v>#REF!</v>
      </c>
      <c r="R77" t="e">
        <f>#REF!+"$Cm=!%O}"</f>
        <v>#REF!</v>
      </c>
      <c r="S77" t="e">
        <f>#REF!+"$Cm=!%O~"</f>
        <v>#REF!</v>
      </c>
      <c r="T77" t="e">
        <f>#REF!+"$Cm=!%P#"</f>
        <v>#REF!</v>
      </c>
      <c r="U77" t="e">
        <f>#REF!+"$Cm=!%P$"</f>
        <v>#REF!</v>
      </c>
      <c r="V77" t="e">
        <f>#REF!+"$Cm=!%P%"</f>
        <v>#REF!</v>
      </c>
      <c r="W77" t="e">
        <f>#REF!+"$Cm=!%P&amp;"</f>
        <v>#REF!</v>
      </c>
      <c r="X77" t="e">
        <f>#REF!+"$Cm=!%P'"</f>
        <v>#REF!</v>
      </c>
      <c r="Y77" t="e">
        <f>#REF!+"$Cm=!%P("</f>
        <v>#REF!</v>
      </c>
      <c r="Z77" t="e">
        <f>#REF!+"$Cm=!%P)"</f>
        <v>#REF!</v>
      </c>
      <c r="AA77" t="e">
        <f>#REF!+"$Cm=!%P."</f>
        <v>#REF!</v>
      </c>
      <c r="AB77" t="e">
        <f>#REF!+"$Cm=!%P/"</f>
        <v>#REF!</v>
      </c>
      <c r="AC77" t="e">
        <f>#REF!+"$Cm=!%P0"</f>
        <v>#REF!</v>
      </c>
      <c r="AD77" t="e">
        <f>#REF!+"$Cm=!%P1"</f>
        <v>#REF!</v>
      </c>
      <c r="AE77" t="e">
        <f>#REF!+"$Cm=!%P2"</f>
        <v>#REF!</v>
      </c>
      <c r="AF77" t="e">
        <f>#REF!+"$Cm=!%P3"</f>
        <v>#REF!</v>
      </c>
      <c r="AG77" t="e">
        <f>#REF!+"$Cm=!%P4"</f>
        <v>#REF!</v>
      </c>
      <c r="AH77" t="e">
        <f>#REF!+"$Cm=!%P5"</f>
        <v>#REF!</v>
      </c>
      <c r="AI77" t="e">
        <f>#REF!+"$Cm=!%P6"</f>
        <v>#REF!</v>
      </c>
      <c r="AJ77" t="e">
        <f>#REF!+"$Cm=!%P7"</f>
        <v>#REF!</v>
      </c>
      <c r="AK77" t="e">
        <f>#REF!+"$Cm=!%P8"</f>
        <v>#REF!</v>
      </c>
      <c r="AL77" t="e">
        <f>#REF!+"$Cm=!%P9"</f>
        <v>#REF!</v>
      </c>
      <c r="AM77" t="e">
        <f>#REF!+"$Cm=!%P:"</f>
        <v>#REF!</v>
      </c>
      <c r="AN77" t="e">
        <f>#REF!+"$Cm=!%P;"</f>
        <v>#REF!</v>
      </c>
      <c r="AO77" t="e">
        <f>#REF!+"$Cm=!%P&lt;"</f>
        <v>#REF!</v>
      </c>
      <c r="AP77" t="e">
        <f>#REF!+"$Cm=!%P="</f>
        <v>#REF!</v>
      </c>
      <c r="AQ77" t="e">
        <f>#REF!+"$Cm=!%P&gt;"</f>
        <v>#REF!</v>
      </c>
      <c r="AR77" t="e">
        <f>#REF!+"$Cm=!%P?"</f>
        <v>#REF!</v>
      </c>
      <c r="AS77" t="e">
        <f>#REF!+"$Cm=!%P@"</f>
        <v>#REF!</v>
      </c>
      <c r="AT77" t="e">
        <f>#REF!+"$Cm=!%PA"</f>
        <v>#REF!</v>
      </c>
      <c r="AU77" t="e">
        <f>#REF!+"$Cm=!%PB"</f>
        <v>#REF!</v>
      </c>
      <c r="AV77" t="e">
        <f>#REF!+"$Cm=!%PC"</f>
        <v>#REF!</v>
      </c>
      <c r="AW77" t="e">
        <f>#REF!+"$Cm=!%PD"</f>
        <v>#REF!</v>
      </c>
      <c r="AX77" t="e">
        <f>#REF!+"$Cm=!%PE"</f>
        <v>#REF!</v>
      </c>
      <c r="AY77" t="e">
        <f>#REF!+"$Cm=!%PF"</f>
        <v>#REF!</v>
      </c>
      <c r="AZ77" t="e">
        <f>#REF!+"$Cm=!%PG"</f>
        <v>#REF!</v>
      </c>
      <c r="BA77" t="e">
        <f>#REF!+"$Cm=!%PH"</f>
        <v>#REF!</v>
      </c>
      <c r="BB77" t="e">
        <f>#REF!+"$Cm=!%PI"</f>
        <v>#REF!</v>
      </c>
      <c r="BC77" t="e">
        <f>#REF!+"$Cm=!%PJ"</f>
        <v>#REF!</v>
      </c>
      <c r="BD77" t="e">
        <f>#REF!+"$Cm=!%PK"</f>
        <v>#REF!</v>
      </c>
      <c r="BE77" t="e">
        <f>#REF!+"$Cm=!%PL"</f>
        <v>#REF!</v>
      </c>
      <c r="BF77" t="e">
        <f>#REF!+"$Cm=!%PM"</f>
        <v>#REF!</v>
      </c>
      <c r="BG77" t="e">
        <f>#REF!+"$Cm=!%PN"</f>
        <v>#REF!</v>
      </c>
      <c r="BH77" t="e">
        <f>#REF!+"$Cm=!%PO"</f>
        <v>#REF!</v>
      </c>
      <c r="BI77" t="e">
        <f>#REF!+"$Cm=!%PP"</f>
        <v>#REF!</v>
      </c>
      <c r="BJ77" t="e">
        <f>#REF!+"$Cm=!%PQ"</f>
        <v>#REF!</v>
      </c>
      <c r="BK77" t="e">
        <f>#REF!+"$Cm=!%PR"</f>
        <v>#REF!</v>
      </c>
      <c r="BL77" t="e">
        <f>#REF!+"$Cm=!%PS"</f>
        <v>#REF!</v>
      </c>
      <c r="BM77" t="e">
        <f>#REF!+"$Cm=!%PT"</f>
        <v>#REF!</v>
      </c>
      <c r="BN77" t="e">
        <f>#REF!+"$Cm=!%PU"</f>
        <v>#REF!</v>
      </c>
      <c r="BO77" t="e">
        <f>#REF!+"$Cm=!%PV"</f>
        <v>#REF!</v>
      </c>
      <c r="BP77" t="e">
        <f>#REF!+"$Cm=!%PW"</f>
        <v>#REF!</v>
      </c>
      <c r="BQ77" t="e">
        <f>#REF!+"$Cm=!%PX"</f>
        <v>#REF!</v>
      </c>
      <c r="BR77" t="e">
        <f>#REF!+"$Cm=!%PY"</f>
        <v>#REF!</v>
      </c>
      <c r="BS77" t="e">
        <f>#REF!+"$Cm=!%PZ"</f>
        <v>#REF!</v>
      </c>
      <c r="BT77" t="e">
        <f>#REF!+"$Cm=!%P["</f>
        <v>#REF!</v>
      </c>
      <c r="BU77" t="e">
        <f>#REF!+"$Cm=!%P\"</f>
        <v>#REF!</v>
      </c>
      <c r="BV77" t="e">
        <f>#REF!+"$Cm=!%P]"</f>
        <v>#REF!</v>
      </c>
      <c r="BW77" t="e">
        <f>#REF!+"$Cm=!%P^"</f>
        <v>#REF!</v>
      </c>
      <c r="BX77" t="e">
        <f>#REF!+"$Cm=!%P_"</f>
        <v>#REF!</v>
      </c>
      <c r="BY77" t="e">
        <f>#REF!+"$Cm=!%P`"</f>
        <v>#REF!</v>
      </c>
      <c r="BZ77" t="e">
        <f>#REF!+"$Cm=!%Pa"</f>
        <v>#REF!</v>
      </c>
      <c r="CA77" t="e">
        <f>#REF!+"$Cm=!%Pb"</f>
        <v>#REF!</v>
      </c>
      <c r="CB77" t="e">
        <f>#REF!+"$Cm=!%Pc"</f>
        <v>#REF!</v>
      </c>
      <c r="CC77" t="e">
        <f>#REF!+"$Cm=!%Pd"</f>
        <v>#REF!</v>
      </c>
      <c r="CD77" t="e">
        <f>#REF!+"$Cm=!%Pe"</f>
        <v>#REF!</v>
      </c>
      <c r="CE77" t="e">
        <f>#REF!+"$Cm=!%Pf"</f>
        <v>#REF!</v>
      </c>
      <c r="CF77" t="e">
        <f>#REF!+"$Cm=!%Pg"</f>
        <v>#REF!</v>
      </c>
      <c r="CG77" t="e">
        <f>#REF!+"$Cm=!%Ph"</f>
        <v>#REF!</v>
      </c>
      <c r="CH77" t="e">
        <f>#REF!+"$Cm=!%Pi"</f>
        <v>#REF!</v>
      </c>
      <c r="CI77" t="e">
        <f>#REF!+"$Cm=!%Pj"</f>
        <v>#REF!</v>
      </c>
      <c r="CJ77" t="e">
        <f>#REF!+"$Cm=!%Pk"</f>
        <v>#REF!</v>
      </c>
      <c r="CK77" t="e">
        <f>#REF!+"$Cm=!%Pl"</f>
        <v>#REF!</v>
      </c>
      <c r="CL77" t="e">
        <f>#REF!+"$Cm=!%Pm"</f>
        <v>#REF!</v>
      </c>
      <c r="CM77" t="e">
        <f>#REF!+"$Cm=!%Pn"</f>
        <v>#REF!</v>
      </c>
      <c r="CN77" t="e">
        <f>#REF!+"$Cm=!%Po"</f>
        <v>#REF!</v>
      </c>
      <c r="CO77" t="e">
        <f>#REF!+"$Cm=!%Pp"</f>
        <v>#REF!</v>
      </c>
      <c r="CP77" t="e">
        <f>#REF!+"$Cm=!%Pq"</f>
        <v>#REF!</v>
      </c>
      <c r="CQ77" t="e">
        <f>#REF!+"$Cm=!%Pr"</f>
        <v>#REF!</v>
      </c>
      <c r="CR77" t="e">
        <f>#REF!+"$Cm=!%Ps"</f>
        <v>#REF!</v>
      </c>
      <c r="CS77" t="e">
        <f>#REF!+"$Cm=!%Pt"</f>
        <v>#REF!</v>
      </c>
      <c r="CT77" t="e">
        <f>#REF!+"$Cm=!%Pu"</f>
        <v>#REF!</v>
      </c>
      <c r="CU77" t="e">
        <f>#REF!+"$Cm=!%Pv"</f>
        <v>#REF!</v>
      </c>
      <c r="CV77" t="e">
        <f>#REF!+"$Cm=!%Pw"</f>
        <v>#REF!</v>
      </c>
      <c r="CW77" t="e">
        <f>#REF!+"$Cm=!%Px"</f>
        <v>#REF!</v>
      </c>
      <c r="CX77" t="e">
        <f>#REF!+"$Cm=!%Py"</f>
        <v>#REF!</v>
      </c>
      <c r="CY77" t="e">
        <f>#REF!+"$Cm=!%Pz"</f>
        <v>#REF!</v>
      </c>
      <c r="CZ77" t="e">
        <f>#REF!+"$Cm=!%P{"</f>
        <v>#REF!</v>
      </c>
      <c r="DA77" t="e">
        <f>#REF!+"$Cm=!%P|"</f>
        <v>#REF!</v>
      </c>
      <c r="DB77" t="e">
        <f>#REF!+"$Cm=!%P}"</f>
        <v>#REF!</v>
      </c>
      <c r="DC77" t="e">
        <f>#REF!+"$Cm=!%P~"</f>
        <v>#REF!</v>
      </c>
      <c r="DD77" t="e">
        <f>#REF!+"$Cm=!%Q#"</f>
        <v>#REF!</v>
      </c>
      <c r="DE77" t="e">
        <f>#REF!+"$Cm=!%Q$"</f>
        <v>#REF!</v>
      </c>
      <c r="DF77" t="e">
        <f>#REF!+"$Cm=!%Q%"</f>
        <v>#REF!</v>
      </c>
      <c r="DG77" t="e">
        <f>#REF!+"$Cm=!%Q&amp;"</f>
        <v>#REF!</v>
      </c>
      <c r="DH77" t="e">
        <f>#REF!+"$Cm=!%Q'"</f>
        <v>#REF!</v>
      </c>
      <c r="DI77" t="e">
        <f>#REF!+"$Cm=!%Q("</f>
        <v>#REF!</v>
      </c>
      <c r="DJ77" t="e">
        <f>#REF!+"$Cm=!%Q)"</f>
        <v>#REF!</v>
      </c>
      <c r="DK77" t="e">
        <f>#REF!+"$Cm=!%Q."</f>
        <v>#REF!</v>
      </c>
      <c r="DL77" t="e">
        <f>#REF!+"$Cm=!%Q/"</f>
        <v>#REF!</v>
      </c>
      <c r="DM77" t="e">
        <f>#REF!+"$Cm=!%Q0"</f>
        <v>#REF!</v>
      </c>
      <c r="DN77" t="e">
        <f>#REF!+"$Cm=!%Q1"</f>
        <v>#REF!</v>
      </c>
      <c r="DO77" t="e">
        <f>#REF!+"$Cm=!%Q2"</f>
        <v>#REF!</v>
      </c>
      <c r="DP77" t="e">
        <f>#REF!+"$Cm=!%Q3"</f>
        <v>#REF!</v>
      </c>
      <c r="DQ77" t="e">
        <f>#REF!+"$Cm=!%Q4"</f>
        <v>#REF!</v>
      </c>
      <c r="DR77" t="e">
        <f>#REF!+"$Cm=!%Q5"</f>
        <v>#REF!</v>
      </c>
      <c r="DS77" t="e">
        <f>#REF!+"$Cm=!%Q6"</f>
        <v>#REF!</v>
      </c>
      <c r="DT77" t="e">
        <f>#REF!+"$Cm=!%Q7"</f>
        <v>#REF!</v>
      </c>
      <c r="DU77" t="e">
        <f>#REF!+"$Cm=!%Q8"</f>
        <v>#REF!</v>
      </c>
      <c r="DV77" t="e">
        <f>#REF!+"$Cm=!%Q9"</f>
        <v>#REF!</v>
      </c>
      <c r="DW77" t="e">
        <f>#REF!+"$Cm=!%Q:"</f>
        <v>#REF!</v>
      </c>
      <c r="DX77" t="e">
        <f>#REF!+"$Cm=!%Q;"</f>
        <v>#REF!</v>
      </c>
      <c r="DY77" t="e">
        <f>#REF!+"$Cm=!%Q&lt;"</f>
        <v>#REF!</v>
      </c>
      <c r="DZ77" t="e">
        <f>#REF!+"$Cm=!%Q="</f>
        <v>#REF!</v>
      </c>
      <c r="EA77" t="e">
        <f>#REF!+"$Cm=!%Q&gt;"</f>
        <v>#REF!</v>
      </c>
      <c r="EB77" t="e">
        <f>#REF!+"$Cm=!%Q?"</f>
        <v>#REF!</v>
      </c>
      <c r="EC77" t="e">
        <f>#REF!+"$Cm=!%Q@"</f>
        <v>#REF!</v>
      </c>
      <c r="ED77" t="e">
        <f>#REF!+"$Cm=!%QA"</f>
        <v>#REF!</v>
      </c>
      <c r="EE77" t="e">
        <f>#REF!+"$Cm=!%QB"</f>
        <v>#REF!</v>
      </c>
      <c r="EF77" t="e">
        <f>#REF!+"$Cm=!%QC"</f>
        <v>#REF!</v>
      </c>
      <c r="EG77" t="e">
        <f>#REF!+"$Cm=!%QD"</f>
        <v>#REF!</v>
      </c>
      <c r="EH77" t="e">
        <f>#REF!+"$Cm=!%QE"</f>
        <v>#REF!</v>
      </c>
      <c r="EI77" t="e">
        <f>#REF!+"$Cm=!%QF"</f>
        <v>#REF!</v>
      </c>
      <c r="EJ77" t="e">
        <f>#REF!+"$Cm=!%QG"</f>
        <v>#REF!</v>
      </c>
      <c r="EK77" t="e">
        <f>#REF!+"$Cm=!%QH"</f>
        <v>#REF!</v>
      </c>
      <c r="EL77" t="e">
        <f>#REF!+"$Cm=!%QI"</f>
        <v>#REF!</v>
      </c>
      <c r="EM77" t="e">
        <f>#REF!+"$Cm=!%QJ"</f>
        <v>#REF!</v>
      </c>
      <c r="EN77" t="e">
        <f>#REF!+"$Cm=!%QK"</f>
        <v>#REF!</v>
      </c>
      <c r="EO77" t="e">
        <f>#REF!+"$Cm=!%QL"</f>
        <v>#REF!</v>
      </c>
      <c r="EP77" t="e">
        <f>#REF!+"$Cm=!%QM"</f>
        <v>#REF!</v>
      </c>
      <c r="EQ77" t="e">
        <f>#REF!+"$Cm=!%QN"</f>
        <v>#REF!</v>
      </c>
      <c r="ER77" t="e">
        <f>#REF!+"$Cm=!%QO"</f>
        <v>#REF!</v>
      </c>
      <c r="ES77" t="e">
        <f>#REF!+"$Cm=!%QP"</f>
        <v>#REF!</v>
      </c>
      <c r="ET77" t="e">
        <f>#REF!+"$Cm=!%QQ"</f>
        <v>#REF!</v>
      </c>
      <c r="EU77" t="e">
        <f>#REF!+"$Cm=!%QR"</f>
        <v>#REF!</v>
      </c>
      <c r="EV77" t="e">
        <f>#REF!+"$Cm=!%QS"</f>
        <v>#REF!</v>
      </c>
      <c r="EW77" t="e">
        <f>#REF!+"$Cm=!%QT"</f>
        <v>#REF!</v>
      </c>
      <c r="EX77" t="e">
        <f>#REF!+"$Cm=!%QU"</f>
        <v>#REF!</v>
      </c>
      <c r="EY77" t="e">
        <f>#REF!+"$Cm=!%QV"</f>
        <v>#REF!</v>
      </c>
      <c r="EZ77" t="e">
        <f>#REF!+"$Cm=!%QW"</f>
        <v>#REF!</v>
      </c>
      <c r="FA77" t="e">
        <f>#REF!+"$Cm=!%QX"</f>
        <v>#REF!</v>
      </c>
      <c r="FB77" t="e">
        <f>#REF!+"$Cm=!%QY"</f>
        <v>#REF!</v>
      </c>
      <c r="FC77" t="e">
        <f>#REF!+"$Cm=!%QZ"</f>
        <v>#REF!</v>
      </c>
      <c r="FD77" t="e">
        <f>#REF!+"$Cm=!%Q["</f>
        <v>#REF!</v>
      </c>
      <c r="FE77" t="e">
        <f>#REF!+"$Cm=!%Q\"</f>
        <v>#REF!</v>
      </c>
      <c r="FF77" t="e">
        <f>#REF!+"$Cm=!%Q]"</f>
        <v>#REF!</v>
      </c>
      <c r="FG77" t="e">
        <f>#REF!+"$Cm=!%Q^"</f>
        <v>#REF!</v>
      </c>
      <c r="FH77" t="e">
        <f>#REF!+"$Cm=!%Q_"</f>
        <v>#REF!</v>
      </c>
      <c r="FI77" t="e">
        <f>#REF!+"$Cm=!%Q`"</f>
        <v>#REF!</v>
      </c>
      <c r="FJ77" t="e">
        <f>#REF!+"$Cm=!%Qa"</f>
        <v>#REF!</v>
      </c>
      <c r="FK77" t="e">
        <f>#REF!+"$Cm=!%Qb"</f>
        <v>#REF!</v>
      </c>
      <c r="FL77" t="e">
        <f>#REF!+"$Cm=!%Qc"</f>
        <v>#REF!</v>
      </c>
      <c r="FM77" t="e">
        <f>#REF!+"$Cm=!%Qd"</f>
        <v>#REF!</v>
      </c>
      <c r="FN77" t="e">
        <f>#REF!+"$Cm=!%Qe"</f>
        <v>#REF!</v>
      </c>
      <c r="FO77" t="e">
        <f>#REF!+"$Cm=!%Qf"</f>
        <v>#REF!</v>
      </c>
      <c r="FP77" t="e">
        <f>#REF!+"$Cm=!%Qg"</f>
        <v>#REF!</v>
      </c>
      <c r="FQ77" t="e">
        <f>#REF!+"$Cm=!%Qh"</f>
        <v>#REF!</v>
      </c>
      <c r="FR77" t="e">
        <f>#REF!+"$Cm=!%Qi"</f>
        <v>#REF!</v>
      </c>
      <c r="FS77" t="e">
        <f>#REF!+"$Cm=!%Qj"</f>
        <v>#REF!</v>
      </c>
      <c r="FT77" t="e">
        <f>#REF!+"$Cm=!%Qk"</f>
        <v>#REF!</v>
      </c>
      <c r="FU77" t="e">
        <f>#REF!+"$Cm=!%Ql"</f>
        <v>#REF!</v>
      </c>
      <c r="FV77" t="e">
        <f>#REF!+"$Cm=!%Qm"</f>
        <v>#REF!</v>
      </c>
      <c r="FW77" t="e">
        <f>#REF!+"$Cm=!%Qn"</f>
        <v>#REF!</v>
      </c>
      <c r="FX77" t="e">
        <f>#REF!+"$Cm=!%Qo"</f>
        <v>#REF!</v>
      </c>
      <c r="FY77" t="e">
        <f>#REF!+"$Cm=!%Qp"</f>
        <v>#REF!</v>
      </c>
      <c r="FZ77" t="e">
        <f>#REF!+"$Cm=!%Qq"</f>
        <v>#REF!</v>
      </c>
      <c r="GA77" t="e">
        <f>#REF!+"$Cm=!%Qr"</f>
        <v>#REF!</v>
      </c>
      <c r="GB77" t="e">
        <f>#REF!+"$Cm=!%Qs"</f>
        <v>#REF!</v>
      </c>
      <c r="GC77" t="e">
        <f>#REF!+"$Cm=!%Qt"</f>
        <v>#REF!</v>
      </c>
      <c r="GD77" t="e">
        <f>#REF!+"$Cm=!%Qu"</f>
        <v>#REF!</v>
      </c>
      <c r="GE77" t="e">
        <f>#REF!+"$Cm=!%Qv"</f>
        <v>#REF!</v>
      </c>
      <c r="GF77" t="e">
        <f>#REF!+"$Cm=!%Qw"</f>
        <v>#REF!</v>
      </c>
      <c r="GG77" t="e">
        <f>#REF!+"$Cm=!%Qx"</f>
        <v>#REF!</v>
      </c>
      <c r="GH77" t="e">
        <f>#REF!+"$Cm=!%Qy"</f>
        <v>#REF!</v>
      </c>
      <c r="GI77" t="e">
        <f>#REF!+"$Cm=!%Qz"</f>
        <v>#REF!</v>
      </c>
      <c r="GJ77" t="e">
        <f>#REF!+"$Cm=!%Q{"</f>
        <v>#REF!</v>
      </c>
      <c r="GK77" t="e">
        <f>#REF!+"$Cm=!%Q|"</f>
        <v>#REF!</v>
      </c>
      <c r="GL77" t="e">
        <f>#REF!+"$Cm=!%Q}"</f>
        <v>#REF!</v>
      </c>
      <c r="GM77" t="e">
        <f>#REF!+"$Cm=!%Q~"</f>
        <v>#REF!</v>
      </c>
      <c r="GN77" t="e">
        <f>#REF!+"$Cm=!%R#"</f>
        <v>#REF!</v>
      </c>
      <c r="GO77" t="e">
        <f>#REF!+"$Cm=!%R$"</f>
        <v>#REF!</v>
      </c>
      <c r="GP77" t="e">
        <f>#REF!+"$Cm=!%R%"</f>
        <v>#REF!</v>
      </c>
      <c r="GQ77" t="e">
        <f>#REF!+"$Cm=!%R&amp;"</f>
        <v>#REF!</v>
      </c>
      <c r="GR77" t="e">
        <f>#REF!+"$Cm=!%R'"</f>
        <v>#REF!</v>
      </c>
      <c r="GS77" t="e">
        <f>#REF!+"$Cm=!%R("</f>
        <v>#REF!</v>
      </c>
      <c r="GT77" t="e">
        <f>#REF!+"$Cm=!%R)"</f>
        <v>#REF!</v>
      </c>
      <c r="GU77" t="e">
        <f>#REF!+"$Cm=!%R."</f>
        <v>#REF!</v>
      </c>
      <c r="GV77" t="e">
        <f>#REF!+"$Cm=!%R/"</f>
        <v>#REF!</v>
      </c>
      <c r="GW77" t="e">
        <f>#REF!+"$Cm=!%R0"</f>
        <v>#REF!</v>
      </c>
      <c r="GX77" t="e">
        <f>#REF!+"$Cm=!%R1"</f>
        <v>#REF!</v>
      </c>
      <c r="GY77" t="e">
        <f>#REF!+"$Cm=!%R2"</f>
        <v>#REF!</v>
      </c>
      <c r="GZ77" t="e">
        <f>#REF!+"$Cm=!%R3"</f>
        <v>#REF!</v>
      </c>
      <c r="HA77" t="e">
        <f>#REF!+"$Cm=!%R4"</f>
        <v>#REF!</v>
      </c>
      <c r="HB77" t="e">
        <f>#REF!+"$Cm=!%R5"</f>
        <v>#REF!</v>
      </c>
      <c r="HC77" t="e">
        <f>#REF!+"$Cm=!%R6"</f>
        <v>#REF!</v>
      </c>
      <c r="HD77" t="e">
        <f>#REF!+"$Cm=!%R7"</f>
        <v>#REF!</v>
      </c>
      <c r="HE77" t="e">
        <f>#REF!+"$Cm=!%R8"</f>
        <v>#REF!</v>
      </c>
      <c r="HF77" t="e">
        <f>#REF!+"$Cm=!%R9"</f>
        <v>#REF!</v>
      </c>
      <c r="HG77" t="e">
        <f>#REF!+"$Cm=!%R:"</f>
        <v>#REF!</v>
      </c>
      <c r="HH77" t="e">
        <f>#REF!+"$Cm=!%R;"</f>
        <v>#REF!</v>
      </c>
      <c r="HI77" t="e">
        <f>#REF!+"$Cm=!%R&lt;"</f>
        <v>#REF!</v>
      </c>
      <c r="HJ77" t="e">
        <f>#REF!+"$Cm=!%R="</f>
        <v>#REF!</v>
      </c>
      <c r="HK77" t="e">
        <f>#REF!+"$Cm=!%R&gt;"</f>
        <v>#REF!</v>
      </c>
      <c r="HL77" t="e">
        <f>#REF!+"$Cm=!%R?"</f>
        <v>#REF!</v>
      </c>
      <c r="HM77" t="e">
        <f>#REF!+"$Cm=!%R@"</f>
        <v>#REF!</v>
      </c>
      <c r="HN77" t="e">
        <f>#REF!+"$Cm=!%RA"</f>
        <v>#REF!</v>
      </c>
      <c r="HO77" t="e">
        <f>#REF!+"$Cm=!%RB"</f>
        <v>#REF!</v>
      </c>
      <c r="HP77" t="e">
        <f>#REF!+"$Cm=!%RC"</f>
        <v>#REF!</v>
      </c>
      <c r="HQ77" t="e">
        <f>#REF!+"$Cm=!%RD"</f>
        <v>#REF!</v>
      </c>
      <c r="HR77" t="e">
        <f>#REF!+"$Cm=!%RE"</f>
        <v>#REF!</v>
      </c>
      <c r="HS77" t="e">
        <f>#REF!+"$Cm=!%RF"</f>
        <v>#REF!</v>
      </c>
      <c r="HT77" t="e">
        <f>#REF!+"$Cm=!%RG"</f>
        <v>#REF!</v>
      </c>
      <c r="HU77" t="e">
        <f>#REF!+"$Cm=!%RH"</f>
        <v>#REF!</v>
      </c>
      <c r="HV77" t="e">
        <f>#REF!+"$Cm=!%RI"</f>
        <v>#REF!</v>
      </c>
      <c r="HW77" t="e">
        <f>#REF!+"$Cm=!%RJ"</f>
        <v>#REF!</v>
      </c>
      <c r="HX77" t="e">
        <f>#REF!+"$Cm=!%RK"</f>
        <v>#REF!</v>
      </c>
      <c r="HY77" t="e">
        <f>#REF!+"$Cm=!%RL"</f>
        <v>#REF!</v>
      </c>
      <c r="HZ77" t="e">
        <f>#REF!+"$Cm=!%RM"</f>
        <v>#REF!</v>
      </c>
      <c r="IA77" t="e">
        <f>#REF!+"$Cm=!%RN"</f>
        <v>#REF!</v>
      </c>
      <c r="IB77" t="e">
        <f>#REF!+"$Cm=!%RO"</f>
        <v>#REF!</v>
      </c>
      <c r="IC77" t="e">
        <f>#REF!+"$Cm=!%RP"</f>
        <v>#REF!</v>
      </c>
      <c r="ID77" t="e">
        <f>#REF!+"$Cm=!%RQ"</f>
        <v>#REF!</v>
      </c>
      <c r="IE77" t="e">
        <f>#REF!+"$Cm=!%RR"</f>
        <v>#REF!</v>
      </c>
      <c r="IF77" t="e">
        <f>#REF!+"$Cm=!%RS"</f>
        <v>#REF!</v>
      </c>
      <c r="IG77" t="e">
        <f>#REF!+"$Cm=!%RT"</f>
        <v>#REF!</v>
      </c>
      <c r="IH77" t="e">
        <f>#REF!+"$Cm=!%RU"</f>
        <v>#REF!</v>
      </c>
      <c r="II77" t="e">
        <f>#REF!+"$Cm=!%RV"</f>
        <v>#REF!</v>
      </c>
      <c r="IJ77" t="e">
        <f>#REF!+"$Cm=!%RW"</f>
        <v>#REF!</v>
      </c>
      <c r="IK77" t="e">
        <f>#REF!+"$Cm=!%RX"</f>
        <v>#REF!</v>
      </c>
      <c r="IL77" t="e">
        <f>#REF!+"$Cm=!%RY"</f>
        <v>#REF!</v>
      </c>
      <c r="IM77" t="e">
        <f>#REF!+"$Cm=!%RZ"</f>
        <v>#REF!</v>
      </c>
      <c r="IN77" t="e">
        <f>#REF!+"$Cm=!%R["</f>
        <v>#REF!</v>
      </c>
      <c r="IO77" t="e">
        <f>#REF!+"$Cm=!%R\"</f>
        <v>#REF!</v>
      </c>
      <c r="IP77" t="e">
        <f>#REF!+"$Cm=!%R]"</f>
        <v>#REF!</v>
      </c>
      <c r="IQ77" t="e">
        <f>#REF!+"$Cm=!%R^"</f>
        <v>#REF!</v>
      </c>
      <c r="IR77" t="e">
        <f>#REF!+"$Cm=!%R_"</f>
        <v>#REF!</v>
      </c>
      <c r="IS77" t="e">
        <f>#REF!+"$Cm=!%R`"</f>
        <v>#REF!</v>
      </c>
      <c r="IT77" t="e">
        <f>#REF!+"$Cm=!%Ra"</f>
        <v>#REF!</v>
      </c>
      <c r="IU77" t="e">
        <f>#REF!+"$Cm=!%Rb"</f>
        <v>#REF!</v>
      </c>
      <c r="IV77" t="e">
        <f>#REF!+"$Cm=!%Rc"</f>
        <v>#REF!</v>
      </c>
    </row>
    <row r="78" spans="6:256">
      <c r="F78" t="e">
        <f>#REF!+"$Cm=!%Rd"</f>
        <v>#REF!</v>
      </c>
      <c r="G78" t="e">
        <f>#REF!+"$Cm=!%Re"</f>
        <v>#REF!</v>
      </c>
      <c r="H78" t="e">
        <f>#REF!+"$Cm=!%Rf"</f>
        <v>#REF!</v>
      </c>
      <c r="I78" t="e">
        <f>#REF!+"$Cm=!%Rg"</f>
        <v>#REF!</v>
      </c>
      <c r="J78" t="e">
        <f>#REF!+"$Cm=!%Rh"</f>
        <v>#REF!</v>
      </c>
      <c r="K78" t="e">
        <f>#REF!+"$Cm=!%Ri"</f>
        <v>#REF!</v>
      </c>
      <c r="L78" t="e">
        <f>#REF!+"$Cm=!%Rj"</f>
        <v>#REF!</v>
      </c>
      <c r="M78" t="e">
        <f>#REF!+"$Cm=!%Rk"</f>
        <v>#REF!</v>
      </c>
      <c r="N78" t="e">
        <f>#REF!+"$Cm=!%Rl"</f>
        <v>#REF!</v>
      </c>
      <c r="O78" t="e">
        <f>#REF!+"$Cm=!%Rm"</f>
        <v>#REF!</v>
      </c>
      <c r="P78" t="e">
        <f>#REF!+"$Cm=!%Rn"</f>
        <v>#REF!</v>
      </c>
      <c r="Q78" t="e">
        <f>#REF!+"$Cm=!%Ro"</f>
        <v>#REF!</v>
      </c>
      <c r="R78" t="e">
        <f>#REF!+"$Cm=!%Rp"</f>
        <v>#REF!</v>
      </c>
      <c r="S78" t="e">
        <f>#REF!+"$Cm=!%Rq"</f>
        <v>#REF!</v>
      </c>
      <c r="T78" t="e">
        <f>#REF!+"$Cm=!%Rr"</f>
        <v>#REF!</v>
      </c>
      <c r="U78" t="e">
        <f>#REF!+"$Cm=!%Rs"</f>
        <v>#REF!</v>
      </c>
      <c r="V78" t="e">
        <f>#REF!+"$Cm=!%Rt"</f>
        <v>#REF!</v>
      </c>
      <c r="W78" t="e">
        <f>#REF!+"$Cm=!%Ru"</f>
        <v>#REF!</v>
      </c>
      <c r="X78" t="e">
        <f>#REF!+"$Cm=!%Rv"</f>
        <v>#REF!</v>
      </c>
      <c r="Y78" t="e">
        <f>#REF!+"$Cm=!%Rw"</f>
        <v>#REF!</v>
      </c>
      <c r="Z78" t="e">
        <f>#REF!+"$Cm=!%Rx"</f>
        <v>#REF!</v>
      </c>
      <c r="AA78" t="e">
        <f>#REF!+"$Cm=!%Ry"</f>
        <v>#REF!</v>
      </c>
      <c r="AB78" t="e">
        <f>#REF!+"$Cm=!%Rz"</f>
        <v>#REF!</v>
      </c>
      <c r="AC78" t="e">
        <f>#REF!+"$Cm=!%R{"</f>
        <v>#REF!</v>
      </c>
      <c r="AD78" t="e">
        <f>#REF!+"$Cm=!%R|"</f>
        <v>#REF!</v>
      </c>
      <c r="AE78" t="e">
        <f>#REF!+"$Cm=!%R}"</f>
        <v>#REF!</v>
      </c>
      <c r="AF78" t="e">
        <f>#REF!+"$Cm=!%R~"</f>
        <v>#REF!</v>
      </c>
      <c r="AG78" t="e">
        <f>#REF!+"$Cm=!%S#"</f>
        <v>#REF!</v>
      </c>
      <c r="AH78" t="e">
        <f>#REF!+"$Cm=!%S$"</f>
        <v>#REF!</v>
      </c>
      <c r="AI78" t="e">
        <f>#REF!+"$Cm=!%S%"</f>
        <v>#REF!</v>
      </c>
      <c r="AJ78" t="e">
        <f>#REF!+"$Cm=!%S&amp;"</f>
        <v>#REF!</v>
      </c>
      <c r="AK78" t="e">
        <f>#REF!+"$Cm=!%S'"</f>
        <v>#REF!</v>
      </c>
      <c r="AL78" t="e">
        <f>#REF!+"$Cm=!%S("</f>
        <v>#REF!</v>
      </c>
      <c r="AM78" t="e">
        <f>#REF!+"$Cm=!%S)"</f>
        <v>#REF!</v>
      </c>
      <c r="AN78" t="e">
        <f>#REF!+"$Cm=!%S."</f>
        <v>#REF!</v>
      </c>
      <c r="AO78" t="e">
        <f>#REF!+"$Cm=!%S/"</f>
        <v>#REF!</v>
      </c>
      <c r="AP78" t="e">
        <f>#REF!+"$Cm=!%S0"</f>
        <v>#REF!</v>
      </c>
      <c r="AQ78" t="e">
        <f>#REF!+"$Cm=!%S1"</f>
        <v>#REF!</v>
      </c>
      <c r="AR78" t="e">
        <f>#REF!+"$Cm=!%S2"</f>
        <v>#REF!</v>
      </c>
      <c r="AS78" t="e">
        <f>#REF!+"$Cm=!%S3"</f>
        <v>#REF!</v>
      </c>
      <c r="AT78" t="e">
        <f>#REF!+"$Cm=!%S4"</f>
        <v>#REF!</v>
      </c>
      <c r="AU78" t="e">
        <f>#REF!+"$Cm=!%S5"</f>
        <v>#REF!</v>
      </c>
      <c r="AV78" t="e">
        <f>#REF!+"$Cm=!%S6"</f>
        <v>#REF!</v>
      </c>
      <c r="AW78" t="e">
        <f>#REF!+"$Cm=!%S7"</f>
        <v>#REF!</v>
      </c>
      <c r="AX78" t="e">
        <f>#REF!+"$Cm=!%S8"</f>
        <v>#REF!</v>
      </c>
      <c r="AY78" t="e">
        <f>#REF!+"$Cm=!%S9"</f>
        <v>#REF!</v>
      </c>
      <c r="AZ78" t="e">
        <f>#REF!+"$Cm=!%S:"</f>
        <v>#REF!</v>
      </c>
      <c r="BA78" t="e">
        <f>#REF!+"$Cm=!%S;"</f>
        <v>#REF!</v>
      </c>
      <c r="BB78" t="e">
        <f>#REF!+"$Cm=!%S&lt;"</f>
        <v>#REF!</v>
      </c>
      <c r="BC78" t="e">
        <f>#REF!+"$Cm=!%S="</f>
        <v>#REF!</v>
      </c>
      <c r="BD78" t="e">
        <f>#REF!+"$Cm=!%S&gt;"</f>
        <v>#REF!</v>
      </c>
      <c r="BE78" t="e">
        <f>#REF!+"$Cm=!%S?"</f>
        <v>#REF!</v>
      </c>
      <c r="BF78" t="e">
        <f>#REF!+"$Cm=!%S@"</f>
        <v>#REF!</v>
      </c>
      <c r="BG78" t="e">
        <f>#REF!+"$Cm=!%SA"</f>
        <v>#REF!</v>
      </c>
      <c r="BH78" t="e">
        <f>#REF!+"$Cm=!%SB"</f>
        <v>#REF!</v>
      </c>
      <c r="BI78" t="e">
        <f>#REF!+"$Cm=!%SC"</f>
        <v>#REF!</v>
      </c>
      <c r="BJ78" t="e">
        <f>#REF!+"$Cm=!%SD"</f>
        <v>#REF!</v>
      </c>
      <c r="BK78" t="e">
        <f>#REF!+"$Cm=!%SE"</f>
        <v>#REF!</v>
      </c>
      <c r="BL78" t="e">
        <f>#REF!+"$Cm=!%SF"</f>
        <v>#REF!</v>
      </c>
      <c r="BM78" t="e">
        <f>#REF!+"$Cm=!%SG"</f>
        <v>#REF!</v>
      </c>
      <c r="BN78" t="e">
        <f>#REF!+"$Cm=!%SH"</f>
        <v>#REF!</v>
      </c>
      <c r="BO78" t="e">
        <f>#REF!+"$Cm=!%SI"</f>
        <v>#REF!</v>
      </c>
      <c r="BP78" t="e">
        <f>#REF!+"$Cm=!%SJ"</f>
        <v>#REF!</v>
      </c>
      <c r="BQ78" t="e">
        <f>#REF!+"$Cm=!%SK"</f>
        <v>#REF!</v>
      </c>
      <c r="BR78" t="e">
        <f>#REF!+"$Cm=!%SL"</f>
        <v>#REF!</v>
      </c>
      <c r="BS78" t="e">
        <f>#REF!+"$Cm=!%SM"</f>
        <v>#REF!</v>
      </c>
      <c r="BT78" t="e">
        <f>#REF!+"$Cm=!%SN"</f>
        <v>#REF!</v>
      </c>
      <c r="BU78" t="e">
        <f>#REF!+"$Cm=!%SO"</f>
        <v>#REF!</v>
      </c>
      <c r="BV78" t="e">
        <f>#REF!+"$Cm=!%SP"</f>
        <v>#REF!</v>
      </c>
      <c r="BW78" t="e">
        <f>#REF!+"$Cm=!%SQ"</f>
        <v>#REF!</v>
      </c>
      <c r="BX78" t="e">
        <f>#REF!+"$Cm=!%SR"</f>
        <v>#REF!</v>
      </c>
      <c r="BY78" t="e">
        <f>#REF!+"$Cm=!%SS"</f>
        <v>#REF!</v>
      </c>
      <c r="BZ78" t="e">
        <f>#REF!+"$Cm=!%ST"</f>
        <v>#REF!</v>
      </c>
      <c r="CA78" t="e">
        <f>#REF!+"$Cm=!%SU"</f>
        <v>#REF!</v>
      </c>
      <c r="CB78" t="e">
        <f>#REF!+"$Cm=!%SV"</f>
        <v>#REF!</v>
      </c>
      <c r="CC78" t="e">
        <f>#REF!+"$Cm=!%SW"</f>
        <v>#REF!</v>
      </c>
      <c r="CD78" t="e">
        <f>#REF!+"$Cm=!%SX"</f>
        <v>#REF!</v>
      </c>
      <c r="CE78" t="e">
        <f>#REF!+"$Cm=!%SY"</f>
        <v>#REF!</v>
      </c>
      <c r="CF78" t="e">
        <f>#REF!+"$Cm=!%SZ"</f>
        <v>#REF!</v>
      </c>
      <c r="CG78" t="e">
        <f>#REF!+"$Cm=!%S["</f>
        <v>#REF!</v>
      </c>
      <c r="CH78" t="e">
        <f>#REF!+"$Cm=!%S\"</f>
        <v>#REF!</v>
      </c>
      <c r="CI78" t="e">
        <f>#REF!+"$Cm=!%S]"</f>
        <v>#REF!</v>
      </c>
      <c r="CJ78" t="e">
        <f>#REF!+"$Cm=!%S^"</f>
        <v>#REF!</v>
      </c>
      <c r="CK78" t="e">
        <f>#REF!+"$Cm=!%S_"</f>
        <v>#REF!</v>
      </c>
      <c r="CL78" t="e">
        <f>#REF!+"$Cm=!%S`"</f>
        <v>#REF!</v>
      </c>
      <c r="CM78" t="e">
        <f>#REF!+"$Cm=!%Sa"</f>
        <v>#REF!</v>
      </c>
      <c r="CN78" t="e">
        <f>#REF!+"$Cm=!%Sb"</f>
        <v>#REF!</v>
      </c>
      <c r="CO78" t="e">
        <f>#REF!+"$Cm=!%Sc"</f>
        <v>#REF!</v>
      </c>
      <c r="CP78" t="e">
        <f>#REF!+"$Cm=!%Sd"</f>
        <v>#REF!</v>
      </c>
      <c r="CQ78" t="e">
        <f>#REF!+"$Cm=!%Se"</f>
        <v>#REF!</v>
      </c>
      <c r="CR78" t="e">
        <f>#REF!+"$Cm=!%Sf"</f>
        <v>#REF!</v>
      </c>
      <c r="CS78" t="e">
        <f>#REF!+"$Cm=!%Sg"</f>
        <v>#REF!</v>
      </c>
      <c r="CT78" t="e">
        <f>#REF!+"$Cm=!%Sh"</f>
        <v>#REF!</v>
      </c>
      <c r="CU78" t="e">
        <f>#REF!+"$Cm=!%Si"</f>
        <v>#REF!</v>
      </c>
      <c r="CV78" t="e">
        <f>#REF!+"$Cm=!%Sj"</f>
        <v>#REF!</v>
      </c>
      <c r="CW78" t="e">
        <f>#REF!+"$Cm=!%Sk"</f>
        <v>#REF!</v>
      </c>
      <c r="CX78" t="e">
        <f>#REF!+"$Cm=!%Sl"</f>
        <v>#REF!</v>
      </c>
      <c r="CY78" t="e">
        <f>#REF!+"$Cm=!%Sm"</f>
        <v>#REF!</v>
      </c>
      <c r="CZ78" t="e">
        <f>#REF!+"$Cm=!%Sn"</f>
        <v>#REF!</v>
      </c>
      <c r="DA78" t="e">
        <f>#REF!+"$Cm=!%So"</f>
        <v>#REF!</v>
      </c>
      <c r="DB78" t="e">
        <f>#REF!+"$Cm=!%Sp"</f>
        <v>#REF!</v>
      </c>
      <c r="DC78" t="e">
        <f>#REF!+"$Cm=!%Sq"</f>
        <v>#REF!</v>
      </c>
      <c r="DD78" t="e">
        <f>#REF!+"$Cm=!%Sr"</f>
        <v>#REF!</v>
      </c>
      <c r="DE78" t="e">
        <f>#REF!+"$Cm=!%Ss"</f>
        <v>#REF!</v>
      </c>
      <c r="DF78" t="e">
        <f>#REF!+"$Cm=!%St"</f>
        <v>#REF!</v>
      </c>
      <c r="DG78" t="e">
        <f>#REF!+"$Cm=!%Su"</f>
        <v>#REF!</v>
      </c>
      <c r="DH78" t="e">
        <f>#REF!+"$Cm=!%Sv"</f>
        <v>#REF!</v>
      </c>
      <c r="DI78" t="e">
        <f>#REF!+"$Cm=!%Sw"</f>
        <v>#REF!</v>
      </c>
      <c r="DJ78" t="e">
        <f>#REF!+"$Cm=!%Sx"</f>
        <v>#REF!</v>
      </c>
      <c r="DK78" t="e">
        <f>#REF!+"$Cm=!%Sy"</f>
        <v>#REF!</v>
      </c>
      <c r="DL78" t="e">
        <f>#REF!+"$Cm=!%Sz"</f>
        <v>#REF!</v>
      </c>
      <c r="DM78" t="e">
        <f>#REF!+"$Cm=!%S{"</f>
        <v>#REF!</v>
      </c>
      <c r="DN78" t="e">
        <f>#REF!+"$Cm=!%S|"</f>
        <v>#REF!</v>
      </c>
      <c r="DO78" t="e">
        <f>#REF!+"$Cm=!%S}"</f>
        <v>#REF!</v>
      </c>
      <c r="DP78" t="e">
        <f>#REF!+"$Cm=!%S~"</f>
        <v>#REF!</v>
      </c>
      <c r="DQ78" t="e">
        <f>#REF!+"$Cm=!%T#"</f>
        <v>#REF!</v>
      </c>
      <c r="DR78" t="e">
        <f>#REF!+"$Cm=!%T$"</f>
        <v>#REF!</v>
      </c>
      <c r="DS78" t="e">
        <f>#REF!+"$Cm=!%T%"</f>
        <v>#REF!</v>
      </c>
      <c r="DT78" t="e">
        <f>#REF!+"$Cm=!%T&amp;"</f>
        <v>#REF!</v>
      </c>
      <c r="DU78" t="e">
        <f>#REF!+"$Cm=!%T'"</f>
        <v>#REF!</v>
      </c>
      <c r="DV78" t="e">
        <f>#REF!+"$Cm=!%T("</f>
        <v>#REF!</v>
      </c>
      <c r="DW78" t="e">
        <f>#REF!+"$Cm=!%T)"</f>
        <v>#REF!</v>
      </c>
      <c r="DX78" t="e">
        <f>#REF!+"$Cm=!%T."</f>
        <v>#REF!</v>
      </c>
      <c r="DY78" t="e">
        <f>#REF!+"$Cm=!%T/"</f>
        <v>#REF!</v>
      </c>
      <c r="DZ78" t="e">
        <f>#REF!+"$Cm=!%T0"</f>
        <v>#REF!</v>
      </c>
      <c r="EA78" t="e">
        <f>#REF!+"$Cm=!%T1"</f>
        <v>#REF!</v>
      </c>
      <c r="EB78" t="e">
        <f>#REF!+"$Cm=!%T2"</f>
        <v>#REF!</v>
      </c>
      <c r="EC78" t="e">
        <f>#REF!+"$Cm=!%T3"</f>
        <v>#REF!</v>
      </c>
      <c r="ED78" t="e">
        <f>#REF!+"$Cm=!%T4"</f>
        <v>#REF!</v>
      </c>
      <c r="EE78" t="e">
        <f>#REF!+"$Cm=!%T5"</f>
        <v>#REF!</v>
      </c>
      <c r="EF78" t="e">
        <f>#REF!+"$Cm=!%T6"</f>
        <v>#REF!</v>
      </c>
      <c r="EG78" t="e">
        <f>#REF!+"$Cm=!%T7"</f>
        <v>#REF!</v>
      </c>
      <c r="EH78" t="e">
        <f>#REF!+"$Cm=!%T8"</f>
        <v>#REF!</v>
      </c>
      <c r="EI78" t="e">
        <f>#REF!+"$Cm=!%T9"</f>
        <v>#REF!</v>
      </c>
      <c r="EJ78" t="e">
        <f>#REF!+"$Cm=!%T:"</f>
        <v>#REF!</v>
      </c>
      <c r="EK78" t="e">
        <f>#REF!+"$Cm=!%T;"</f>
        <v>#REF!</v>
      </c>
      <c r="EL78" t="e">
        <f>#REF!+"$Cm=!%T&lt;"</f>
        <v>#REF!</v>
      </c>
      <c r="EM78" t="e">
        <f>#REF!+"$Cm=!%T="</f>
        <v>#REF!</v>
      </c>
      <c r="EN78" t="e">
        <f>#REF!+"$Cm=!%T&gt;"</f>
        <v>#REF!</v>
      </c>
      <c r="EO78" t="e">
        <f>#REF!+"$Cm=!%T?"</f>
        <v>#REF!</v>
      </c>
      <c r="EP78" t="e">
        <f>#REF!+"$Cm=!%T@"</f>
        <v>#REF!</v>
      </c>
      <c r="EQ78" t="e">
        <f>#REF!+"$Cm=!%TA"</f>
        <v>#REF!</v>
      </c>
      <c r="ER78" t="e">
        <f>#REF!+"$Cm=!%TB"</f>
        <v>#REF!</v>
      </c>
      <c r="ES78" t="e">
        <f>#REF!+"$Cm=!%TC"</f>
        <v>#REF!</v>
      </c>
      <c r="ET78" t="e">
        <f>#REF!+"$Cm=!%TD"</f>
        <v>#REF!</v>
      </c>
      <c r="EU78" t="e">
        <f>#REF!+"$Cm=!%TE"</f>
        <v>#REF!</v>
      </c>
      <c r="EV78" t="e">
        <f>#REF!+"$Cm=!%TF"</f>
        <v>#REF!</v>
      </c>
      <c r="EW78" t="e">
        <f>#REF!+"$Cm=!%TG"</f>
        <v>#REF!</v>
      </c>
      <c r="EX78" t="e">
        <f>#REF!+"$Cm=!%TH"</f>
        <v>#REF!</v>
      </c>
      <c r="EY78" t="e">
        <f>#REF!+"$Cm=!%TI"</f>
        <v>#REF!</v>
      </c>
      <c r="EZ78" t="e">
        <f>#REF!+"$Cm=!%TJ"</f>
        <v>#REF!</v>
      </c>
      <c r="FA78" t="e">
        <f>#REF!+"$Cm=!%TK"</f>
        <v>#REF!</v>
      </c>
      <c r="FB78" t="e">
        <f>#REF!+"$Cm=!%TL"</f>
        <v>#REF!</v>
      </c>
      <c r="FC78" t="e">
        <f>#REF!+"$Cm=!%TM"</f>
        <v>#REF!</v>
      </c>
      <c r="FD78" t="e">
        <f>#REF!+"$Cm=!%TN"</f>
        <v>#REF!</v>
      </c>
      <c r="FE78" t="e">
        <f>#REF!+"$Cm=!%TO"</f>
        <v>#REF!</v>
      </c>
      <c r="FF78" t="e">
        <f>#REF!+"$Cm=!%TP"</f>
        <v>#REF!</v>
      </c>
      <c r="FG78" t="e">
        <f>#REF!+"$Cm=!%TQ"</f>
        <v>#REF!</v>
      </c>
      <c r="FH78" t="e">
        <f>#REF!+"$Cm=!%TR"</f>
        <v>#REF!</v>
      </c>
      <c r="FI78" t="e">
        <f>#REF!+"$Cm=!%TS"</f>
        <v>#REF!</v>
      </c>
      <c r="FJ78" t="e">
        <f>#REF!+"$Cm=!%TT"</f>
        <v>#REF!</v>
      </c>
      <c r="FK78" t="e">
        <f>#REF!+"$Cm=!%TU"</f>
        <v>#REF!</v>
      </c>
      <c r="FL78" t="e">
        <f>#REF!+"$Cm=!%TV"</f>
        <v>#REF!</v>
      </c>
      <c r="FM78" t="e">
        <f>#REF!+"$Cm=!%TW"</f>
        <v>#REF!</v>
      </c>
      <c r="FN78" t="e">
        <f>#REF!+"$Cm=!%TX"</f>
        <v>#REF!</v>
      </c>
      <c r="FO78" t="e">
        <f>#REF!+"$Cm=!%TY"</f>
        <v>#REF!</v>
      </c>
      <c r="FP78" t="e">
        <f>#REF!+"$Cm=!%TZ"</f>
        <v>#REF!</v>
      </c>
      <c r="FQ78" t="e">
        <f>#REF!+"$Cm=!%T["</f>
        <v>#REF!</v>
      </c>
      <c r="FR78" t="e">
        <f>#REF!+"$Cm=!%T\"</f>
        <v>#REF!</v>
      </c>
      <c r="FS78" t="e">
        <f>#REF!+"$Cm=!%T]"</f>
        <v>#REF!</v>
      </c>
      <c r="FT78" t="e">
        <f>#REF!+"$Cm=!%T^"</f>
        <v>#REF!</v>
      </c>
      <c r="FU78" t="e">
        <f>#REF!+"$Cm=!%T_"</f>
        <v>#REF!</v>
      </c>
      <c r="FV78" t="e">
        <f>#REF!+"$Cm=!%T`"</f>
        <v>#REF!</v>
      </c>
      <c r="FW78" t="e">
        <f>#REF!+"$Cm=!%Ta"</f>
        <v>#REF!</v>
      </c>
      <c r="FX78" t="e">
        <f>#REF!+"$Cm=!%Tb"</f>
        <v>#REF!</v>
      </c>
      <c r="FY78" t="e">
        <f>#REF!+"$Cm=!%Tc"</f>
        <v>#REF!</v>
      </c>
      <c r="FZ78" t="e">
        <f>#REF!+"$Cm=!%Td"</f>
        <v>#REF!</v>
      </c>
      <c r="GA78" t="e">
        <f>#REF!+"$Cm=!%Te"</f>
        <v>#REF!</v>
      </c>
      <c r="GB78" t="e">
        <f>#REF!+"$Cm=!%Tf"</f>
        <v>#REF!</v>
      </c>
      <c r="GC78" t="e">
        <f>#REF!+"$Cm=!%Tg"</f>
        <v>#REF!</v>
      </c>
      <c r="GD78" t="e">
        <f>#REF!+"$Cm=!%Th"</f>
        <v>#REF!</v>
      </c>
      <c r="GE78" t="e">
        <f>#REF!+"$Cm=!%Ti"</f>
        <v>#REF!</v>
      </c>
      <c r="GF78" t="e">
        <f>#REF!+"$Cm=!%Tj"</f>
        <v>#REF!</v>
      </c>
      <c r="GG78" t="e">
        <f>#REF!+"$Cm=!%Tk"</f>
        <v>#REF!</v>
      </c>
      <c r="GH78" t="e">
        <f>#REF!+"$Cm=!%Tl"</f>
        <v>#REF!</v>
      </c>
      <c r="GI78" t="e">
        <f>#REF!+"$Cm=!%Tm"</f>
        <v>#REF!</v>
      </c>
      <c r="GJ78" t="e">
        <f>#REF!+"$Cm=!%Tn"</f>
        <v>#REF!</v>
      </c>
      <c r="GK78" t="e">
        <f>#REF!+"$Cm=!%To"</f>
        <v>#REF!</v>
      </c>
      <c r="GL78" t="e">
        <f>#REF!+"$Cm=!%Tp"</f>
        <v>#REF!</v>
      </c>
      <c r="GM78" t="e">
        <f>#REF!+"$Cm=!%Tq"</f>
        <v>#REF!</v>
      </c>
      <c r="GN78" t="e">
        <f>#REF!+"$Cm=!%Tr"</f>
        <v>#REF!</v>
      </c>
      <c r="GO78" t="e">
        <f>#REF!+"$Cm=!%Ts"</f>
        <v>#REF!</v>
      </c>
      <c r="GP78" t="e">
        <f>#REF!+"$Cm=!%Tt"</f>
        <v>#REF!</v>
      </c>
      <c r="GQ78" t="e">
        <f>#REF!+"$Cm=!%Tu"</f>
        <v>#REF!</v>
      </c>
      <c r="GR78" t="e">
        <f>#REF!+"$Cm=!%Tv"</f>
        <v>#REF!</v>
      </c>
      <c r="GS78" t="e">
        <f>#REF!+"$Cm=!%Tw"</f>
        <v>#REF!</v>
      </c>
      <c r="GT78" t="e">
        <f>#REF!+"$Cm=!%Tx"</f>
        <v>#REF!</v>
      </c>
      <c r="GU78" t="e">
        <f>#REF!+"$Cm=!%Ty"</f>
        <v>#REF!</v>
      </c>
      <c r="GV78" t="e">
        <f>#REF!+"$Cm=!%Tz"</f>
        <v>#REF!</v>
      </c>
      <c r="GW78" t="e">
        <f>#REF!+"$Cm=!%T{"</f>
        <v>#REF!</v>
      </c>
      <c r="GX78" t="e">
        <f>#REF!+"$Cm=!%T|"</f>
        <v>#REF!</v>
      </c>
      <c r="GY78" t="e">
        <f>#REF!+"$Cm=!%T}"</f>
        <v>#REF!</v>
      </c>
      <c r="GZ78" t="e">
        <f>#REF!+"$Cm=!%T~"</f>
        <v>#REF!</v>
      </c>
      <c r="HA78" t="e">
        <f>#REF!+"$Cm=!%U#"</f>
        <v>#REF!</v>
      </c>
      <c r="HB78" t="e">
        <f>#REF!+"$Cm=!%U$"</f>
        <v>#REF!</v>
      </c>
      <c r="HC78" t="e">
        <f>#REF!+"$Cm=!%U%"</f>
        <v>#REF!</v>
      </c>
      <c r="HD78" t="e">
        <f>#REF!+"$Cm=!%U&amp;"</f>
        <v>#REF!</v>
      </c>
      <c r="HE78" t="e">
        <f>#REF!+"$Cm=!%U'"</f>
        <v>#REF!</v>
      </c>
      <c r="HF78" t="e">
        <f>#REF!+"$Cm=!%U("</f>
        <v>#REF!</v>
      </c>
      <c r="HG78" t="e">
        <f>#REF!+"$Cm=!%U)"</f>
        <v>#REF!</v>
      </c>
      <c r="HH78" t="e">
        <f>#REF!+"$Cm=!%U."</f>
        <v>#REF!</v>
      </c>
      <c r="HI78" t="e">
        <f>#REF!+"$Cm=!%U/"</f>
        <v>#REF!</v>
      </c>
      <c r="HJ78" t="e">
        <f>#REF!+"$Cm=!%U0"</f>
        <v>#REF!</v>
      </c>
      <c r="HK78" t="e">
        <f>#REF!+"$Cm=!%U1"</f>
        <v>#REF!</v>
      </c>
      <c r="HL78" t="e">
        <f>#REF!+"$Cm=!%U2"</f>
        <v>#REF!</v>
      </c>
      <c r="HM78" t="e">
        <f>#REF!+"$Cm=!%U3"</f>
        <v>#REF!</v>
      </c>
      <c r="HN78" t="e">
        <f>#REF!+"$Cm=!%U4"</f>
        <v>#REF!</v>
      </c>
      <c r="HO78" t="e">
        <f>#REF!+"$Cm=!%U5"</f>
        <v>#REF!</v>
      </c>
      <c r="HP78" t="e">
        <f>#REF!+"$Cm=!%U6"</f>
        <v>#REF!</v>
      </c>
      <c r="HQ78" t="e">
        <f>#REF!+"$Cm=!%U7"</f>
        <v>#REF!</v>
      </c>
      <c r="HR78" t="e">
        <f>#REF!+"$Cm=!%U8"</f>
        <v>#REF!</v>
      </c>
      <c r="HS78" t="e">
        <f>#REF!+"$Cm=!%U9"</f>
        <v>#REF!</v>
      </c>
      <c r="HT78" t="e">
        <f>#REF!+"$Cm=!%U:"</f>
        <v>#REF!</v>
      </c>
      <c r="HU78" t="e">
        <f>#REF!+"$Cm=!%U;"</f>
        <v>#REF!</v>
      </c>
      <c r="HV78" t="e">
        <f>#REF!+"$Cm=!%U&lt;"</f>
        <v>#REF!</v>
      </c>
      <c r="HW78" t="e">
        <f>#REF!+"$Cm=!%U="</f>
        <v>#REF!</v>
      </c>
      <c r="HX78" t="e">
        <f>#REF!+"$Cm=!%U&gt;"</f>
        <v>#REF!</v>
      </c>
      <c r="HY78" t="e">
        <f>#REF!+"$Cm=!%U?"</f>
        <v>#REF!</v>
      </c>
      <c r="HZ78" t="e">
        <f>#REF!+"$Cm=!%U@"</f>
        <v>#REF!</v>
      </c>
      <c r="IA78" t="e">
        <f>#REF!+"$Cm=!%UA"</f>
        <v>#REF!</v>
      </c>
      <c r="IB78" t="e">
        <f>#REF!+"$Cm=!%UB"</f>
        <v>#REF!</v>
      </c>
      <c r="IC78" t="e">
        <f>#REF!+"$Cm=!%UC"</f>
        <v>#REF!</v>
      </c>
      <c r="ID78" t="e">
        <f>#REF!+"$Cm=!%UD"</f>
        <v>#REF!</v>
      </c>
      <c r="IE78" t="e">
        <f>#REF!+"$Cm=!%UE"</f>
        <v>#REF!</v>
      </c>
      <c r="IF78" t="e">
        <f>#REF!+"$Cm=!%UF"</f>
        <v>#REF!</v>
      </c>
      <c r="IG78" t="e">
        <f>#REF!+"$Cm=!%UG"</f>
        <v>#REF!</v>
      </c>
      <c r="IH78" t="e">
        <f>#REF!+"$Cm=!%UH"</f>
        <v>#REF!</v>
      </c>
      <c r="II78" t="e">
        <f>#REF!+"$Cm=!%UI"</f>
        <v>#REF!</v>
      </c>
      <c r="IJ78" t="e">
        <f>#REF!+"$Cm=!%UJ"</f>
        <v>#REF!</v>
      </c>
      <c r="IK78" t="e">
        <f>#REF!+"$Cm=!%UK"</f>
        <v>#REF!</v>
      </c>
      <c r="IL78" t="e">
        <f>#REF!+"$Cm=!%UL"</f>
        <v>#REF!</v>
      </c>
      <c r="IM78" t="e">
        <f>#REF!+"$Cm=!%UM"</f>
        <v>#REF!</v>
      </c>
      <c r="IN78" t="e">
        <f>#REF!+"$Cm=!%UN"</f>
        <v>#REF!</v>
      </c>
      <c r="IO78" t="e">
        <f>#REF!+"$Cm=!%UO"</f>
        <v>#REF!</v>
      </c>
      <c r="IP78" t="e">
        <f>#REF!+"$Cm=!%UP"</f>
        <v>#REF!</v>
      </c>
      <c r="IQ78" t="e">
        <f>#REF!+"$Cm=!%UQ"</f>
        <v>#REF!</v>
      </c>
      <c r="IR78" t="e">
        <f>#REF!+"$Cm=!%UR"</f>
        <v>#REF!</v>
      </c>
      <c r="IS78" t="e">
        <f>#REF!+"$Cm=!%US"</f>
        <v>#REF!</v>
      </c>
      <c r="IT78" t="e">
        <f>#REF!+"$Cm=!%UT"</f>
        <v>#REF!</v>
      </c>
      <c r="IU78" t="e">
        <f>#REF!+"$Cm=!%UU"</f>
        <v>#REF!</v>
      </c>
      <c r="IV78" t="e">
        <f>#REF!+"$Cm=!%UV"</f>
        <v>#REF!</v>
      </c>
    </row>
    <row r="79" spans="6:256">
      <c r="F79" t="e">
        <f>#REF!+"$Cm=!%UW"</f>
        <v>#REF!</v>
      </c>
      <c r="G79" t="e">
        <f>#REF!+"$Cm=!%UX"</f>
        <v>#REF!</v>
      </c>
      <c r="H79" t="e">
        <f>#REF!+"$Cm=!%UY"</f>
        <v>#REF!</v>
      </c>
      <c r="I79" t="e">
        <f>#REF!+"$Cm=!%UZ"</f>
        <v>#REF!</v>
      </c>
      <c r="J79" t="e">
        <f>#REF!+"$Cm=!%U["</f>
        <v>#REF!</v>
      </c>
      <c r="K79" t="e">
        <f>#REF!+"$Cm=!%U\"</f>
        <v>#REF!</v>
      </c>
      <c r="L79" t="e">
        <f>#REF!+"$Cm=!%U]"</f>
        <v>#REF!</v>
      </c>
      <c r="M79" t="e">
        <f>#REF!+"$Cm=!%U^"</f>
        <v>#REF!</v>
      </c>
      <c r="N79" t="e">
        <f>#REF!+"$Cm=!%U_"</f>
        <v>#REF!</v>
      </c>
      <c r="O79" t="e">
        <f>#REF!+"$Cm=!%U`"</f>
        <v>#REF!</v>
      </c>
      <c r="P79" t="e">
        <f>#REF!+"$Cm=!%Ua"</f>
        <v>#REF!</v>
      </c>
      <c r="Q79" t="e">
        <f>#REF!+"$Cm=!%Ub"</f>
        <v>#REF!</v>
      </c>
      <c r="R79" t="e">
        <f>#REF!+"$Cm=!%Uc"</f>
        <v>#REF!</v>
      </c>
      <c r="S79" t="e">
        <f>#REF!+"$Cm=!%Ud"</f>
        <v>#REF!</v>
      </c>
      <c r="T79" t="e">
        <f>#REF!+"$Cm=!%Ue"</f>
        <v>#REF!</v>
      </c>
      <c r="U79" t="e">
        <f>#REF!+"$Cm=!%Uf"</f>
        <v>#REF!</v>
      </c>
      <c r="V79" t="e">
        <f>#REF!+"$Cm=!%Ug"</f>
        <v>#REF!</v>
      </c>
      <c r="W79" t="e">
        <f>#REF!+"$Cm=!%Uh"</f>
        <v>#REF!</v>
      </c>
      <c r="X79" t="e">
        <f>#REF!+"$Cm=!%Ui"</f>
        <v>#REF!</v>
      </c>
      <c r="Y79" t="e">
        <f>#REF!+"$Cm=!%Uj"</f>
        <v>#REF!</v>
      </c>
      <c r="Z79" t="e">
        <f>#REF!+"$Cm=!%Uk"</f>
        <v>#REF!</v>
      </c>
      <c r="AA79" t="e">
        <f>#REF!+"$Cm=!%Ul"</f>
        <v>#REF!</v>
      </c>
      <c r="AB79" t="e">
        <f>#REF!+"$Cm=!%Um"</f>
        <v>#REF!</v>
      </c>
      <c r="AC79" t="e">
        <f>#REF!+"$Cm=!%Un"</f>
        <v>#REF!</v>
      </c>
      <c r="AD79" t="e">
        <f>#REF!+"$Cm=!%Uo"</f>
        <v>#REF!</v>
      </c>
      <c r="AE79" t="e">
        <f>#REF!+"$Cm=!%Up"</f>
        <v>#REF!</v>
      </c>
      <c r="AF79" t="e">
        <f>#REF!+"$Cm=!%Uq"</f>
        <v>#REF!</v>
      </c>
      <c r="AG79" t="e">
        <f>#REF!+"$Cm=!%Ur"</f>
        <v>#REF!</v>
      </c>
      <c r="AH79" t="e">
        <f>#REF!+"$Cm=!%Us"</f>
        <v>#REF!</v>
      </c>
      <c r="AI79" t="e">
        <f>#REF!+"$Cm=!%Ut"</f>
        <v>#REF!</v>
      </c>
      <c r="AJ79" t="e">
        <f>#REF!+"$Cm=!%Uu"</f>
        <v>#REF!</v>
      </c>
      <c r="AK79" t="e">
        <f>#REF!+"$Cm=!%Uv"</f>
        <v>#REF!</v>
      </c>
      <c r="AL79" t="e">
        <f>#REF!+"$Cm=!%Uw"</f>
        <v>#REF!</v>
      </c>
      <c r="AM79" t="e">
        <f>#REF!+"$Cm=!%Ux"</f>
        <v>#REF!</v>
      </c>
      <c r="AN79" t="e">
        <f>#REF!+"$Cm=!%Uy"</f>
        <v>#REF!</v>
      </c>
      <c r="AO79" t="e">
        <f>#REF!+"$Cm=!%Uz"</f>
        <v>#REF!</v>
      </c>
      <c r="AP79" t="e">
        <f>#REF!+"$Cm=!%U{"</f>
        <v>#REF!</v>
      </c>
      <c r="AQ79" t="e">
        <f>#REF!+"$Cm=!%U|"</f>
        <v>#REF!</v>
      </c>
      <c r="AR79" t="e">
        <f>#REF!+"$Cm=!%U}"</f>
        <v>#REF!</v>
      </c>
      <c r="AS79" t="e">
        <f>#REF!+"$Cm=!%U~"</f>
        <v>#REF!</v>
      </c>
      <c r="AT79" t="e">
        <f>#REF!+"$Cm=!%V#"</f>
        <v>#REF!</v>
      </c>
      <c r="AU79" t="e">
        <f>#REF!+"$Cm=!%V$"</f>
        <v>#REF!</v>
      </c>
      <c r="AV79" t="e">
        <f>#REF!+"$Cm=!%V%"</f>
        <v>#REF!</v>
      </c>
      <c r="AW79" t="e">
        <f>#REF!+"$Cm=!%V&amp;"</f>
        <v>#REF!</v>
      </c>
      <c r="AX79" t="e">
        <f>#REF!+"$Cm=!%V'"</f>
        <v>#REF!</v>
      </c>
      <c r="AY79" t="e">
        <f>#REF!+"$Cm=!%V("</f>
        <v>#REF!</v>
      </c>
      <c r="AZ79" t="e">
        <f>#REF!+"$Cm=!%V)"</f>
        <v>#REF!</v>
      </c>
      <c r="BA79" t="e">
        <f>#REF!+"$Cm=!%V."</f>
        <v>#REF!</v>
      </c>
      <c r="BB79" t="e">
        <f>#REF!+"$Cm=!%V/"</f>
        <v>#REF!</v>
      </c>
      <c r="BC79" t="e">
        <f>#REF!+"$Cm=!%V0"</f>
        <v>#REF!</v>
      </c>
      <c r="BD79" t="e">
        <f>#REF!+"$Cm=!%V1"</f>
        <v>#REF!</v>
      </c>
      <c r="BE79" t="e">
        <f>#REF!+"$Cm=!%V2"</f>
        <v>#REF!</v>
      </c>
      <c r="BF79" t="e">
        <f>#REF!+"$Cm=!%V3"</f>
        <v>#REF!</v>
      </c>
      <c r="BG79" t="e">
        <f>#REF!+"$Cm=!%V4"</f>
        <v>#REF!</v>
      </c>
      <c r="BH79" t="e">
        <f>#REF!+"$Cm=!%V5"</f>
        <v>#REF!</v>
      </c>
      <c r="BI79" t="e">
        <f>#REF!+"$Cm=!%V6"</f>
        <v>#REF!</v>
      </c>
      <c r="BJ79" t="e">
        <f>#REF!+"$Cm=!%V7"</f>
        <v>#REF!</v>
      </c>
      <c r="BK79" t="e">
        <f>#REF!+"$Cm=!%V8"</f>
        <v>#REF!</v>
      </c>
      <c r="BL79" t="e">
        <f>#REF!+"$Cm=!%V9"</f>
        <v>#REF!</v>
      </c>
      <c r="BM79" t="e">
        <f>#REF!+"$Cm=!%V:"</f>
        <v>#REF!</v>
      </c>
      <c r="BN79" t="e">
        <f>#REF!+"$Cm=!%V;"</f>
        <v>#REF!</v>
      </c>
      <c r="BO79" t="e">
        <f>#REF!+"$Cm=!%V&lt;"</f>
        <v>#REF!</v>
      </c>
      <c r="BP79" t="e">
        <f>#REF!+"$Cm=!%V="</f>
        <v>#REF!</v>
      </c>
      <c r="BQ79" t="e">
        <f>#REF!+"$Cm=!%V&gt;"</f>
        <v>#REF!</v>
      </c>
      <c r="BR79" t="e">
        <f>#REF!+"$Cm=!%V?"</f>
        <v>#REF!</v>
      </c>
      <c r="BS79" t="e">
        <f>#REF!+"$Cm=!%V@"</f>
        <v>#REF!</v>
      </c>
      <c r="BT79" t="e">
        <f>#REF!+"$Cm=!%VA"</f>
        <v>#REF!</v>
      </c>
      <c r="BU79" t="e">
        <f>#REF!+"$Cm=!%VB"</f>
        <v>#REF!</v>
      </c>
      <c r="BV79" t="e">
        <f>#REF!+"$Cm=!%VC"</f>
        <v>#REF!</v>
      </c>
      <c r="BW79" t="e">
        <f>#REF!+"$Cm=!%VD"</f>
        <v>#REF!</v>
      </c>
      <c r="BX79" t="e">
        <f>#REF!+"$Cm=!%VE"</f>
        <v>#REF!</v>
      </c>
      <c r="BY79" t="e">
        <f>#REF!+"$Cm=!%VF"</f>
        <v>#REF!</v>
      </c>
      <c r="BZ79" t="e">
        <f>#REF!+"$Cm=!%VG"</f>
        <v>#REF!</v>
      </c>
      <c r="CA79" t="e">
        <f>#REF!+"$Cm=!%VH"</f>
        <v>#REF!</v>
      </c>
      <c r="CB79" t="e">
        <f>#REF!+"$Cm=!%VI"</f>
        <v>#REF!</v>
      </c>
      <c r="CC79" t="e">
        <f>#REF!+"$Cm=!%VJ"</f>
        <v>#REF!</v>
      </c>
      <c r="CD79" t="e">
        <f>#REF!+"$Cm=!%VK"</f>
        <v>#REF!</v>
      </c>
      <c r="CE79" t="e">
        <f>#REF!+"$Cm=!%VL"</f>
        <v>#REF!</v>
      </c>
      <c r="CF79" t="e">
        <f>#REF!+"$Cm=!%VM"</f>
        <v>#REF!</v>
      </c>
      <c r="CG79" t="e">
        <f>#REF!+"$Cm=!%VN"</f>
        <v>#REF!</v>
      </c>
      <c r="CH79" t="e">
        <f>#REF!+"$Cm=!%VO"</f>
        <v>#REF!</v>
      </c>
      <c r="CI79" t="e">
        <f>#REF!+"$Cm=!%VP"</f>
        <v>#REF!</v>
      </c>
      <c r="CJ79" t="e">
        <f>#REF!+"$Cm=!%VQ"</f>
        <v>#REF!</v>
      </c>
      <c r="CK79" t="e">
        <f>#REF!+"$Cm=!%VR"</f>
        <v>#REF!</v>
      </c>
      <c r="CL79" t="e">
        <f>#REF!+"$Cm=!%VS"</f>
        <v>#REF!</v>
      </c>
      <c r="CM79" t="e">
        <f>#REF!+"$Cm=!%VT"</f>
        <v>#REF!</v>
      </c>
      <c r="CN79" t="e">
        <f>#REF!+"$Cm=!%VU"</f>
        <v>#REF!</v>
      </c>
      <c r="CO79" t="e">
        <f>#REF!+"$Cm=!%VV"</f>
        <v>#REF!</v>
      </c>
      <c r="CP79" t="e">
        <f>#REF!+"$Cm=!%VW"</f>
        <v>#REF!</v>
      </c>
      <c r="CQ79" t="e">
        <f>#REF!+"$Cm=!%VX"</f>
        <v>#REF!</v>
      </c>
      <c r="CR79" t="e">
        <f>#REF!+"$Cm=!%VY"</f>
        <v>#REF!</v>
      </c>
      <c r="CS79" t="e">
        <f>#REF!+"$Cm=!%VZ"</f>
        <v>#REF!</v>
      </c>
      <c r="CT79" t="e">
        <f>#REF!+"$Cm=!%V["</f>
        <v>#REF!</v>
      </c>
      <c r="CU79" t="e">
        <f>#REF!+"$Cm=!%V\"</f>
        <v>#REF!</v>
      </c>
      <c r="CV79" t="e">
        <f>#REF!+"$Cm=!%V]"</f>
        <v>#REF!</v>
      </c>
      <c r="CW79" t="e">
        <f>#REF!+"$Cm=!%V^"</f>
        <v>#REF!</v>
      </c>
      <c r="CX79" t="e">
        <f>#REF!+"$Cm=!%V_"</f>
        <v>#REF!</v>
      </c>
      <c r="CY79" t="e">
        <f>#REF!+"$Cm=!%V`"</f>
        <v>#REF!</v>
      </c>
      <c r="CZ79" t="e">
        <f>#REF!+"$Cm=!%Va"</f>
        <v>#REF!</v>
      </c>
      <c r="DA79" t="e">
        <f>#REF!+"$Cm=!%Vb"</f>
        <v>#REF!</v>
      </c>
      <c r="DB79" t="e">
        <f>#REF!+"$Cm=!%Vc"</f>
        <v>#REF!</v>
      </c>
      <c r="DC79" t="e">
        <f>#REF!+"$Cm=!%Vd"</f>
        <v>#REF!</v>
      </c>
      <c r="DD79" t="e">
        <f>#REF!+"$Cm=!%Ve"</f>
        <v>#REF!</v>
      </c>
      <c r="DE79" t="e">
        <f>#REF!+"$Cm=!%Vf"</f>
        <v>#REF!</v>
      </c>
      <c r="DF79" t="e">
        <f>#REF!+"$Cm=!%Vg"</f>
        <v>#REF!</v>
      </c>
      <c r="DG79" t="e">
        <f>#REF!+"$Cm=!%Vh"</f>
        <v>#REF!</v>
      </c>
      <c r="DH79" t="e">
        <f>#REF!+"$Cm=!%Vi"</f>
        <v>#REF!</v>
      </c>
      <c r="DI79" t="e">
        <f>#REF!+"$Cm=!%Vj"</f>
        <v>#REF!</v>
      </c>
      <c r="DJ79" t="e">
        <f>#REF!+"$Cm=!%Vk"</f>
        <v>#REF!</v>
      </c>
      <c r="DK79" t="e">
        <f>#REF!+"$Cm=!%Vl"</f>
        <v>#REF!</v>
      </c>
      <c r="DL79" t="e">
        <f>#REF!+"$Cm=!%Vm"</f>
        <v>#REF!</v>
      </c>
      <c r="DM79" t="e">
        <f>#REF!+"$Cm=!%Vn"</f>
        <v>#REF!</v>
      </c>
      <c r="DN79" t="e">
        <f>#REF!+"$Cm=!%Vo"</f>
        <v>#REF!</v>
      </c>
      <c r="DO79" t="e">
        <f>#REF!+"$Cm=!%Vp"</f>
        <v>#REF!</v>
      </c>
      <c r="DP79" t="e">
        <f>#REF!+"$Cm=!%Vq"</f>
        <v>#REF!</v>
      </c>
      <c r="DQ79" t="e">
        <f>#REF!+"$Cm=!%Vr"</f>
        <v>#REF!</v>
      </c>
      <c r="DR79" t="e">
        <f>#REF!+"$Cm=!%Vs"</f>
        <v>#REF!</v>
      </c>
      <c r="DS79" t="e">
        <f>#REF!+"$Cm=!%Vt"</f>
        <v>#REF!</v>
      </c>
      <c r="DT79" t="e">
        <f>#REF!+"$Cm=!%Vu"</f>
        <v>#REF!</v>
      </c>
      <c r="DU79" t="e">
        <f>#REF!+"$Cm=!%Vv"</f>
        <v>#REF!</v>
      </c>
      <c r="DV79" t="e">
        <f>#REF!+"$Cm=!%Vw"</f>
        <v>#REF!</v>
      </c>
      <c r="DW79" t="e">
        <f>#REF!+"$Cm=!%Vx"</f>
        <v>#REF!</v>
      </c>
      <c r="DX79" t="e">
        <f>#REF!+"$Cm=!%Vy"</f>
        <v>#REF!</v>
      </c>
      <c r="DY79" t="e">
        <f>#REF!+"$Cm=!%Vz"</f>
        <v>#REF!</v>
      </c>
      <c r="DZ79" t="e">
        <f>#REF!+"$Cm=!%V{"</f>
        <v>#REF!</v>
      </c>
      <c r="EA79" t="e">
        <f>#REF!+"$Cm=!%V|"</f>
        <v>#REF!</v>
      </c>
      <c r="EB79" t="e">
        <f>#REF!+"$Cm=!%V}"</f>
        <v>#REF!</v>
      </c>
      <c r="EC79" t="e">
        <f>#REF!+"$Cm=!%V~"</f>
        <v>#REF!</v>
      </c>
      <c r="ED79" t="e">
        <f>#REF!+"$Cm=!%W#"</f>
        <v>#REF!</v>
      </c>
      <c r="EE79" t="e">
        <f>#REF!+"$Cm=!%W$"</f>
        <v>#REF!</v>
      </c>
      <c r="EF79" t="e">
        <f>#REF!+"$Cm=!%W%"</f>
        <v>#REF!</v>
      </c>
      <c r="EG79" t="e">
        <f>#REF!+"$Cm=!%W&amp;"</f>
        <v>#REF!</v>
      </c>
      <c r="EH79" t="e">
        <f>#REF!+"$Cm=!%W'"</f>
        <v>#REF!</v>
      </c>
      <c r="EI79" t="e">
        <f>#REF!+"$Cm=!%W("</f>
        <v>#REF!</v>
      </c>
      <c r="EJ79" t="e">
        <f>#REF!+"$Cm=!%W)"</f>
        <v>#REF!</v>
      </c>
      <c r="EK79" t="e">
        <f>#REF!+"$Cm=!%W."</f>
        <v>#REF!</v>
      </c>
      <c r="EL79" t="e">
        <f>#REF!+"$Cm=!%W/"</f>
        <v>#REF!</v>
      </c>
      <c r="EM79" t="e">
        <f>#REF!+"$Cm=!%W0"</f>
        <v>#REF!</v>
      </c>
      <c r="EN79" t="e">
        <f>#REF!+"$Cm=!%W1"</f>
        <v>#REF!</v>
      </c>
      <c r="EO79" t="e">
        <f>#REF!+"$Cm=!%W2"</f>
        <v>#REF!</v>
      </c>
      <c r="EP79" t="e">
        <f>#REF!+"$Cm=!%W3"</f>
        <v>#REF!</v>
      </c>
      <c r="EQ79" t="e">
        <f>#REF!+"$Cm=!%W4"</f>
        <v>#REF!</v>
      </c>
      <c r="ER79" t="e">
        <f>#REF!+"$Cm=!%W5"</f>
        <v>#REF!</v>
      </c>
      <c r="ES79" t="e">
        <f>#REF!+"$Cm=!%W6"</f>
        <v>#REF!</v>
      </c>
      <c r="ET79" t="e">
        <f>#REF!+"$Cm=!%W7"</f>
        <v>#REF!</v>
      </c>
      <c r="EU79" t="e">
        <f>#REF!+"$Cm=!%W8"</f>
        <v>#REF!</v>
      </c>
      <c r="EV79" t="e">
        <f>#REF!+"$Cm=!%W9"</f>
        <v>#REF!</v>
      </c>
      <c r="EW79" t="e">
        <f>#REF!+"$Cm=!%W:"</f>
        <v>#REF!</v>
      </c>
      <c r="EX79" t="e">
        <f>#REF!+"$Cm=!%W;"</f>
        <v>#REF!</v>
      </c>
      <c r="EY79" t="e">
        <f>#REF!+"$Cm=!%W&lt;"</f>
        <v>#REF!</v>
      </c>
      <c r="EZ79" t="e">
        <f>#REF!+"$Cm=!%W="</f>
        <v>#REF!</v>
      </c>
      <c r="FA79" t="e">
        <f>#REF!+"$Cm=!%W&gt;"</f>
        <v>#REF!</v>
      </c>
      <c r="FB79" t="e">
        <f>#REF!+"$Cm=!%W?"</f>
        <v>#REF!</v>
      </c>
      <c r="FC79" t="e">
        <f>#REF!+"$Cm=!%W@"</f>
        <v>#REF!</v>
      </c>
      <c r="FD79" t="e">
        <f>#REF!+"$Cm=!%WA"</f>
        <v>#REF!</v>
      </c>
      <c r="FE79" t="e">
        <f>#REF!+"$Cm=!%WB"</f>
        <v>#REF!</v>
      </c>
      <c r="FF79" t="e">
        <f>#REF!+"$Cm=!%WC"</f>
        <v>#REF!</v>
      </c>
      <c r="FG79" t="e">
        <f>#REF!+"$Cm=!%WD"</f>
        <v>#REF!</v>
      </c>
      <c r="FH79" t="e">
        <f>#REF!+"$Cm=!%WE"</f>
        <v>#REF!</v>
      </c>
      <c r="FI79" t="e">
        <f>#REF!+"$Cm=!%WF"</f>
        <v>#REF!</v>
      </c>
      <c r="FJ79" t="e">
        <f>#REF!+"$Cm=!%WG"</f>
        <v>#REF!</v>
      </c>
      <c r="FK79" t="e">
        <f>#REF!+"$Cm=!%WH"</f>
        <v>#REF!</v>
      </c>
      <c r="FL79" t="e">
        <f>#REF!+"$Cm=!%WI"</f>
        <v>#REF!</v>
      </c>
      <c r="FM79" t="e">
        <f>#REF!+"$Cm=!%WJ"</f>
        <v>#REF!</v>
      </c>
      <c r="FN79" t="e">
        <f>#REF!+"$Cm=!%WK"</f>
        <v>#REF!</v>
      </c>
      <c r="FO79" t="e">
        <f>#REF!+"$Cm=!%WL"</f>
        <v>#REF!</v>
      </c>
      <c r="FP79" t="e">
        <f>#REF!+"$Cm=!%WM"</f>
        <v>#REF!</v>
      </c>
      <c r="FQ79" t="e">
        <f>#REF!+"$Cm=!%WN"</f>
        <v>#REF!</v>
      </c>
      <c r="FR79" t="e">
        <f>#REF!+"$Cm=!%WO"</f>
        <v>#REF!</v>
      </c>
      <c r="FS79" t="e">
        <f>#REF!+"$Cm=!%WP"</f>
        <v>#REF!</v>
      </c>
      <c r="FT79" t="e">
        <f>#REF!+"$Cm=!%WQ"</f>
        <v>#REF!</v>
      </c>
      <c r="FU79" t="e">
        <f>#REF!+"$Cm=!%WR"</f>
        <v>#REF!</v>
      </c>
      <c r="FV79" t="e">
        <f>#REF!+"$Cm=!%WS"</f>
        <v>#REF!</v>
      </c>
      <c r="FW79" t="e">
        <f>#REF!+"$Cm=!%WT"</f>
        <v>#REF!</v>
      </c>
      <c r="FX79" t="e">
        <f>#REF!+"$Cm=!%WU"</f>
        <v>#REF!</v>
      </c>
      <c r="FY79" t="e">
        <f>#REF!+"$Cm=!%WV"</f>
        <v>#REF!</v>
      </c>
      <c r="FZ79" t="e">
        <f>#REF!+"$Cm=!%WW"</f>
        <v>#REF!</v>
      </c>
      <c r="GA79" t="e">
        <f>#REF!+"$Cm=!%WX"</f>
        <v>#REF!</v>
      </c>
      <c r="GB79" t="e">
        <f>#REF!+"$Cm=!%WY"</f>
        <v>#REF!</v>
      </c>
      <c r="GC79" t="e">
        <f>#REF!+"$Cm=!%WZ"</f>
        <v>#REF!</v>
      </c>
      <c r="GD79" t="e">
        <f>#REF!+"$Cm=!%W["</f>
        <v>#REF!</v>
      </c>
      <c r="GE79" t="e">
        <f>#REF!+"$Cm=!%W\"</f>
        <v>#REF!</v>
      </c>
      <c r="GF79" t="e">
        <f>#REF!+"$Cm=!%W]"</f>
        <v>#REF!</v>
      </c>
      <c r="GG79" t="e">
        <f>#REF!+"$Cm=!%W^"</f>
        <v>#REF!</v>
      </c>
      <c r="GH79" t="e">
        <f>#REF!+"$Cm=!%W_"</f>
        <v>#REF!</v>
      </c>
      <c r="GI79" t="e">
        <f>#REF!+"$Cm=!%W`"</f>
        <v>#REF!</v>
      </c>
      <c r="GJ79" t="e">
        <f>#REF!+"$Cm=!%Wa"</f>
        <v>#REF!</v>
      </c>
      <c r="GK79" t="e">
        <f>#REF!+"$Cm=!%Wb"</f>
        <v>#REF!</v>
      </c>
      <c r="GL79" t="e">
        <f>#REF!+"$Cm=!%Wc"</f>
        <v>#REF!</v>
      </c>
      <c r="GM79" t="e">
        <f>#REF!+"$Cm=!%Wd"</f>
        <v>#REF!</v>
      </c>
      <c r="GN79" t="e">
        <f>#REF!+"$Cm=!%We"</f>
        <v>#REF!</v>
      </c>
      <c r="GO79" t="e">
        <f>#REF!+"$Cm=!%Wf"</f>
        <v>#REF!</v>
      </c>
      <c r="GP79" t="e">
        <f>#REF!+"$Cm=!%Wg"</f>
        <v>#REF!</v>
      </c>
      <c r="GQ79" t="e">
        <f>#REF!+"$Cm=!%Wh"</f>
        <v>#REF!</v>
      </c>
      <c r="GR79" t="e">
        <f>#REF!+"$Cm=!%Wi"</f>
        <v>#REF!</v>
      </c>
      <c r="GS79" t="e">
        <f>#REF!+"$Cm=!%Wj"</f>
        <v>#REF!</v>
      </c>
      <c r="GT79" t="e">
        <f>#REF!+"$Cm=!%Wk"</f>
        <v>#REF!</v>
      </c>
      <c r="GU79" t="e">
        <f>#REF!+"$Cm=!%Wl"</f>
        <v>#REF!</v>
      </c>
      <c r="GV79" t="e">
        <f>#REF!+"$Cm=!%Wm"</f>
        <v>#REF!</v>
      </c>
      <c r="GW79" t="e">
        <f>#REF!+"$Cm=!%Wn"</f>
        <v>#REF!</v>
      </c>
      <c r="GX79" t="e">
        <f>#REF!+"$Cm=!%Wo"</f>
        <v>#REF!</v>
      </c>
      <c r="GY79" t="e">
        <f>#REF!+"$Cm=!%Wp"</f>
        <v>#REF!</v>
      </c>
      <c r="GZ79" t="e">
        <f>#REF!+"$Cm=!%Wq"</f>
        <v>#REF!</v>
      </c>
      <c r="HA79" t="e">
        <f>#REF!+"$Cm=!%Wr"</f>
        <v>#REF!</v>
      </c>
      <c r="HB79" t="e">
        <f>#REF!+"$Cm=!%Ws"</f>
        <v>#REF!</v>
      </c>
      <c r="HC79" t="e">
        <f>#REF!+"$Cm=!%Wt"</f>
        <v>#REF!</v>
      </c>
      <c r="HD79" t="e">
        <f>#REF!+"$Cm=!%Wu"</f>
        <v>#REF!</v>
      </c>
      <c r="HE79" t="e">
        <f>#REF!+"$Cm=!%Wv"</f>
        <v>#REF!</v>
      </c>
      <c r="HF79" t="e">
        <f>#REF!+"$Cm=!%Ww"</f>
        <v>#REF!</v>
      </c>
      <c r="HG79" t="e">
        <f>#REF!+"$Cm=!%Wx"</f>
        <v>#REF!</v>
      </c>
      <c r="HH79" t="e">
        <f>#REF!+"$Cm=!%Wy"</f>
        <v>#REF!</v>
      </c>
      <c r="HI79" t="e">
        <f>#REF!+"$Cm=!%Wz"</f>
        <v>#REF!</v>
      </c>
      <c r="HJ79" t="e">
        <f>#REF!+"$Cm=!%W{"</f>
        <v>#REF!</v>
      </c>
      <c r="HK79" t="e">
        <f>#REF!+"$Cm=!%W|"</f>
        <v>#REF!</v>
      </c>
      <c r="HL79" t="e">
        <f>#REF!+"$Cm=!%W}"</f>
        <v>#REF!</v>
      </c>
      <c r="HM79" t="e">
        <f>#REF!+"$Cm=!%W~"</f>
        <v>#REF!</v>
      </c>
      <c r="HN79" t="e">
        <f>#REF!+"$Cm=!%X#"</f>
        <v>#REF!</v>
      </c>
      <c r="HO79" t="e">
        <f>#REF!+"$Cm=!%X$"</f>
        <v>#REF!</v>
      </c>
      <c r="HP79" t="e">
        <f>#REF!+"$Cm=!%X%"</f>
        <v>#REF!</v>
      </c>
      <c r="HQ79" t="e">
        <f>#REF!+"$Cm=!%X&amp;"</f>
        <v>#REF!</v>
      </c>
      <c r="HR79" t="e">
        <f>#REF!+"$Cm=!%X'"</f>
        <v>#REF!</v>
      </c>
      <c r="HS79" t="e">
        <f>#REF!+"$Cm=!%X("</f>
        <v>#REF!</v>
      </c>
      <c r="HT79" t="e">
        <f>#REF!+"$Cm=!%X)"</f>
        <v>#REF!</v>
      </c>
      <c r="HU79" t="e">
        <f>#REF!+"$Cm=!%X."</f>
        <v>#REF!</v>
      </c>
      <c r="HV79" t="e">
        <f>#REF!+"$Cm=!%X/"</f>
        <v>#REF!</v>
      </c>
      <c r="HW79" t="e">
        <f>#REF!+"$Cm=!%X0"</f>
        <v>#REF!</v>
      </c>
      <c r="HX79" t="e">
        <f>#REF!+"$Cm=!%X1"</f>
        <v>#REF!</v>
      </c>
      <c r="HY79" t="e">
        <f>#REF!+"$Cm=!%X2"</f>
        <v>#REF!</v>
      </c>
      <c r="HZ79" t="e">
        <f>#REF!+"$Cm=!%X3"</f>
        <v>#REF!</v>
      </c>
      <c r="IA79" t="e">
        <f>#REF!+"$Cm=!%X4"</f>
        <v>#REF!</v>
      </c>
      <c r="IB79" t="e">
        <f>#REF!+"$Cm=!%X5"</f>
        <v>#REF!</v>
      </c>
      <c r="IC79" t="e">
        <f>#REF!+"$Cm=!%X6"</f>
        <v>#REF!</v>
      </c>
      <c r="ID79" t="e">
        <f>#REF!+"$Cm=!%X7"</f>
        <v>#REF!</v>
      </c>
      <c r="IE79" t="e">
        <f>#REF!+"$Cm=!%X8"</f>
        <v>#REF!</v>
      </c>
      <c r="IF79" t="e">
        <f>#REF!+"$Cm=!%X9"</f>
        <v>#REF!</v>
      </c>
      <c r="IG79" t="e">
        <f>#REF!+"$Cm=!%X:"</f>
        <v>#REF!</v>
      </c>
      <c r="IH79" t="e">
        <f>#REF!+"$Cm=!%X;"</f>
        <v>#REF!</v>
      </c>
      <c r="II79" t="e">
        <f>#REF!+"$Cm=!%X&lt;"</f>
        <v>#REF!</v>
      </c>
      <c r="IJ79" t="e">
        <f>#REF!+"$Cm=!%X="</f>
        <v>#REF!</v>
      </c>
      <c r="IK79" t="e">
        <f>#REF!+"$Cm=!%X&gt;"</f>
        <v>#REF!</v>
      </c>
      <c r="IL79" t="e">
        <f>#REF!+"$Cm=!%X?"</f>
        <v>#REF!</v>
      </c>
      <c r="IM79" t="e">
        <f>#REF!+"$Cm=!%X@"</f>
        <v>#REF!</v>
      </c>
      <c r="IN79" t="e">
        <f>#REF!+"$Cm=!%XA"</f>
        <v>#REF!</v>
      </c>
      <c r="IO79" t="e">
        <f>#REF!+"$Cm=!%XB"</f>
        <v>#REF!</v>
      </c>
      <c r="IP79" t="e">
        <f>#REF!+"$Cm=!%XC"</f>
        <v>#REF!</v>
      </c>
      <c r="IQ79" t="e">
        <f>#REF!+"$Cm=!%XD"</f>
        <v>#REF!</v>
      </c>
      <c r="IR79" t="e">
        <f>#REF!+"$Cm=!%XE"</f>
        <v>#REF!</v>
      </c>
      <c r="IS79" t="e">
        <f>#REF!+"$Cm=!%XF"</f>
        <v>#REF!</v>
      </c>
      <c r="IT79" t="e">
        <f>#REF!+"$Cm=!%XG"</f>
        <v>#REF!</v>
      </c>
      <c r="IU79" t="e">
        <f>#REF!+"$Cm=!%XH"</f>
        <v>#REF!</v>
      </c>
      <c r="IV79" t="e">
        <f>#REF!+"$Cm=!%XI"</f>
        <v>#REF!</v>
      </c>
    </row>
    <row r="80" spans="6:256">
      <c r="F80" t="e">
        <f>#REF!+"$Cm=!%XJ"</f>
        <v>#REF!</v>
      </c>
      <c r="G80" t="e">
        <f>#REF!+"$Cm=!%XK"</f>
        <v>#REF!</v>
      </c>
      <c r="H80" t="e">
        <f>#REF!+"$Cm=!%XL"</f>
        <v>#REF!</v>
      </c>
      <c r="I80" t="e">
        <f>#REF!+"$Cm=!%XM"</f>
        <v>#REF!</v>
      </c>
      <c r="J80" t="e">
        <f>#REF!+"$Cm=!%XN"</f>
        <v>#REF!</v>
      </c>
      <c r="K80" t="e">
        <f>#REF!+"$Cm=!%XO"</f>
        <v>#REF!</v>
      </c>
      <c r="L80" t="e">
        <f>#REF!+"$Cm=!%XP"</f>
        <v>#REF!</v>
      </c>
      <c r="M80" t="e">
        <f>#REF!+"$Cm=!%XQ"</f>
        <v>#REF!</v>
      </c>
      <c r="N80" t="e">
        <f>#REF!+"$Cm=!%XR"</f>
        <v>#REF!</v>
      </c>
      <c r="O80" t="e">
        <f>#REF!+"$Cm=!%XS"</f>
        <v>#REF!</v>
      </c>
      <c r="P80" t="e">
        <f>#REF!+"$Cm=!%XT"</f>
        <v>#REF!</v>
      </c>
      <c r="Q80" t="e">
        <f>#REF!+"$Cm=!%XU"</f>
        <v>#REF!</v>
      </c>
      <c r="R80" t="e">
        <f>#REF!+"$Cm=!%XV"</f>
        <v>#REF!</v>
      </c>
      <c r="S80" t="e">
        <f>#REF!+"$Cm=!%XW"</f>
        <v>#REF!</v>
      </c>
      <c r="T80" t="e">
        <f>#REF!+"$Cm=!%XX"</f>
        <v>#REF!</v>
      </c>
      <c r="U80" t="e">
        <f>#REF!+"$Cm=!%XY"</f>
        <v>#REF!</v>
      </c>
      <c r="V80" t="e">
        <f>#REF!+"$Cm=!%XZ"</f>
        <v>#REF!</v>
      </c>
      <c r="W80" t="e">
        <f>#REF!+"$Cm=!%X["</f>
        <v>#REF!</v>
      </c>
      <c r="X80" t="e">
        <f>#REF!+"$Cm=!%X\"</f>
        <v>#REF!</v>
      </c>
      <c r="Y80" t="e">
        <f>#REF!+"$Cm=!%X]"</f>
        <v>#REF!</v>
      </c>
      <c r="Z80" t="e">
        <f>#REF!+"$Cm=!%X^"</f>
        <v>#REF!</v>
      </c>
      <c r="AA80" t="e">
        <f>#REF!+"$Cm=!%X_"</f>
        <v>#REF!</v>
      </c>
      <c r="AB80" t="e">
        <f>#REF!+"$Cm=!%X`"</f>
        <v>#REF!</v>
      </c>
      <c r="AC80" t="e">
        <f>#REF!+"$Cm=!%Xa"</f>
        <v>#REF!</v>
      </c>
      <c r="AD80" t="e">
        <f>#REF!+"$Cm=!%Xb"</f>
        <v>#REF!</v>
      </c>
      <c r="AE80" t="e">
        <f>#REF!+"$Cm=!%Xc"</f>
        <v>#REF!</v>
      </c>
      <c r="AF80" t="e">
        <f>#REF!+"$Cm=!%Xd"</f>
        <v>#REF!</v>
      </c>
      <c r="AG80" t="e">
        <f>#REF!+"$Cm=!%Xe"</f>
        <v>#REF!</v>
      </c>
      <c r="AH80" t="e">
        <f>#REF!+"$Cm=!%Xf"</f>
        <v>#REF!</v>
      </c>
      <c r="AI80" t="e">
        <f>#REF!+"$Cm=!%Xg"</f>
        <v>#REF!</v>
      </c>
      <c r="AJ80" t="e">
        <f>#REF!+"$Cm=!%Xh"</f>
        <v>#REF!</v>
      </c>
      <c r="AK80" t="e">
        <f>#REF!+"$Cm=!%Xi"</f>
        <v>#REF!</v>
      </c>
      <c r="AL80" t="e">
        <f>#REF!+"$Cm=!%Xj"</f>
        <v>#REF!</v>
      </c>
      <c r="AM80" t="e">
        <f>#REF!+"$Cm=!%Xk"</f>
        <v>#REF!</v>
      </c>
      <c r="AN80" t="e">
        <f>#REF!+"$Cm=!%Xl"</f>
        <v>#REF!</v>
      </c>
      <c r="AO80" t="e">
        <f>#REF!+"$Cm=!%Xm"</f>
        <v>#REF!</v>
      </c>
      <c r="AP80" t="e">
        <f>#REF!+"$Cm=!%Xn"</f>
        <v>#REF!</v>
      </c>
      <c r="AQ80" t="e">
        <f>#REF!+"$Cm=!%Xo"</f>
        <v>#REF!</v>
      </c>
      <c r="AR80" t="e">
        <f>#REF!+"$Cm=!%Xp"</f>
        <v>#REF!</v>
      </c>
      <c r="AS80" t="e">
        <f>#REF!+"$Cm=!%Xq"</f>
        <v>#REF!</v>
      </c>
      <c r="AT80" t="e">
        <f>#REF!+"$Cm=!%Xr"</f>
        <v>#REF!</v>
      </c>
      <c r="AU80" t="e">
        <f>#REF!+"$Cm=!%Xs"</f>
        <v>#REF!</v>
      </c>
      <c r="AV80" t="e">
        <f>#REF!+"$Cm=!%Xt"</f>
        <v>#REF!</v>
      </c>
      <c r="AW80" t="e">
        <f>#REF!+"$Cm=!%Xu"</f>
        <v>#REF!</v>
      </c>
      <c r="AX80" t="e">
        <f>#REF!+"$Cm=!%Xv"</f>
        <v>#REF!</v>
      </c>
      <c r="AY80" t="e">
        <f>#REF!+"$Cm=!%Xw"</f>
        <v>#REF!</v>
      </c>
      <c r="AZ80" t="e">
        <f>#REF!+"$Cm=!%Xx"</f>
        <v>#REF!</v>
      </c>
      <c r="BA80" t="e">
        <f>#REF!+"$Cm=!%Xy"</f>
        <v>#REF!</v>
      </c>
      <c r="BB80" t="e">
        <f>#REF!+"$Cm=!%Xz"</f>
        <v>#REF!</v>
      </c>
      <c r="BC80" t="e">
        <f>#REF!+"$Cm=!%X{"</f>
        <v>#REF!</v>
      </c>
      <c r="BD80" t="e">
        <f>#REF!+"$Cm=!%X|"</f>
        <v>#REF!</v>
      </c>
      <c r="BE80" t="e">
        <f>#REF!+"$Cm=!%X}"</f>
        <v>#REF!</v>
      </c>
      <c r="BF80" t="e">
        <f>#REF!+"$Cm=!%X~"</f>
        <v>#REF!</v>
      </c>
      <c r="BG80" t="e">
        <f>#REF!+"$Cm=!%Y#"</f>
        <v>#REF!</v>
      </c>
      <c r="BH80" t="e">
        <f>#REF!+"$Cm=!%Y$"</f>
        <v>#REF!</v>
      </c>
      <c r="BI80" t="e">
        <f>#REF!+"$Cm=!%Y%"</f>
        <v>#REF!</v>
      </c>
      <c r="BJ80" t="e">
        <f>#REF!+"$Cm=!%Y&amp;"</f>
        <v>#REF!</v>
      </c>
      <c r="BK80" t="e">
        <f>#REF!+"$Cm=!%Y'"</f>
        <v>#REF!</v>
      </c>
      <c r="BL80" t="e">
        <f>#REF!+"$Cm=!%Y("</f>
        <v>#REF!</v>
      </c>
      <c r="BM80" t="e">
        <f>#REF!+"$Cm=!%Y)"</f>
        <v>#REF!</v>
      </c>
      <c r="BN80" t="e">
        <f>#REF!+"$Cm=!%Y."</f>
        <v>#REF!</v>
      </c>
      <c r="BO80" t="e">
        <f>#REF!+"$Cm=!%Y/"</f>
        <v>#REF!</v>
      </c>
      <c r="BP80" t="e">
        <f>#REF!+"$Cm=!%Y0"</f>
        <v>#REF!</v>
      </c>
      <c r="BQ80" t="e">
        <f>#REF!+"$Cm=!%Y1"</f>
        <v>#REF!</v>
      </c>
      <c r="BR80" t="e">
        <f>#REF!+"$Cm=!%Y2"</f>
        <v>#REF!</v>
      </c>
      <c r="BS80" t="e">
        <f>#REF!+"$Cm=!%Y3"</f>
        <v>#REF!</v>
      </c>
      <c r="BT80" t="e">
        <f>#REF!+"$Cm=!%Y4"</f>
        <v>#REF!</v>
      </c>
      <c r="BU80" t="e">
        <f>#REF!+"$Cm=!%Y5"</f>
        <v>#REF!</v>
      </c>
      <c r="BV80" t="e">
        <f>#REF!+"$Cm=!%Y6"</f>
        <v>#REF!</v>
      </c>
      <c r="BW80" t="e">
        <f>#REF!+"$Cm=!%Y7"</f>
        <v>#REF!</v>
      </c>
      <c r="BX80" t="e">
        <f>#REF!+"$Cm=!%Y8"</f>
        <v>#REF!</v>
      </c>
      <c r="BY80" t="e">
        <f>#REF!+"$Cm=!%Y9"</f>
        <v>#REF!</v>
      </c>
      <c r="BZ80" t="e">
        <f>#REF!+"$Cm=!%Y:"</f>
        <v>#REF!</v>
      </c>
      <c r="CA80" t="e">
        <f>#REF!+"$Cm=!%Y;"</f>
        <v>#REF!</v>
      </c>
      <c r="CB80" t="e">
        <f>#REF!+"$Cm=!%Y&lt;"</f>
        <v>#REF!</v>
      </c>
      <c r="CC80" t="e">
        <f>#REF!+"$Cm=!%Y="</f>
        <v>#REF!</v>
      </c>
      <c r="CD80" t="e">
        <f>#REF!+"$Cm=!%Y&gt;"</f>
        <v>#REF!</v>
      </c>
      <c r="CE80" t="e">
        <f>#REF!+"$Cm=!%Y?"</f>
        <v>#REF!</v>
      </c>
      <c r="CF80" t="e">
        <f>#REF!+"$Cm=!%Y@"</f>
        <v>#REF!</v>
      </c>
      <c r="CG80" t="e">
        <f>#REF!+"$Cm=!%YA"</f>
        <v>#REF!</v>
      </c>
      <c r="CH80" t="e">
        <f>#REF!+"$Cm=!%YB"</f>
        <v>#REF!</v>
      </c>
      <c r="CI80" t="e">
        <f>#REF!+"$Cm=!%YC"</f>
        <v>#REF!</v>
      </c>
      <c r="CJ80" t="e">
        <f>#REF!+"$Cm=!%YD"</f>
        <v>#REF!</v>
      </c>
      <c r="CK80" t="e">
        <f>#REF!+"$Cm=!%YE"</f>
        <v>#REF!</v>
      </c>
      <c r="CL80" t="e">
        <f>#REF!+"$Cm=!%YF"</f>
        <v>#REF!</v>
      </c>
      <c r="CM80" t="e">
        <f>#REF!+"$Cm=!%YG"</f>
        <v>#REF!</v>
      </c>
      <c r="CN80" t="e">
        <f>#REF!+"$Cm=!%YH"</f>
        <v>#REF!</v>
      </c>
      <c r="CO80" t="e">
        <f>#REF!+"$Cm=!%YI"</f>
        <v>#REF!</v>
      </c>
      <c r="CP80" t="e">
        <f>#REF!+"$Cm=!%YJ"</f>
        <v>#REF!</v>
      </c>
      <c r="CQ80" t="e">
        <f>#REF!+"$Cm=!%YK"</f>
        <v>#REF!</v>
      </c>
      <c r="CR80" t="e">
        <f>#REF!+"$Cm=!%YL"</f>
        <v>#REF!</v>
      </c>
      <c r="CS80" t="e">
        <f>#REF!+"$Cm=!%YM"</f>
        <v>#REF!</v>
      </c>
      <c r="CT80" t="e">
        <f>#REF!+"$Cm=!%YN"</f>
        <v>#REF!</v>
      </c>
      <c r="CU80" t="e">
        <f>#REF!+"$Cm=!%YO"</f>
        <v>#REF!</v>
      </c>
      <c r="CV80" t="e">
        <f>#REF!+"$Cm=!%YP"</f>
        <v>#REF!</v>
      </c>
      <c r="CW80" t="e">
        <f>#REF!+"$Cm=!%YQ"</f>
        <v>#REF!</v>
      </c>
      <c r="CX80" t="e">
        <f>#REF!+"$Cm=!%YR"</f>
        <v>#REF!</v>
      </c>
      <c r="CY80" t="e">
        <f>#REF!+"$Cm=!%YS"</f>
        <v>#REF!</v>
      </c>
      <c r="CZ80" t="e">
        <f>#REF!+"$Cm=!%YT"</f>
        <v>#REF!</v>
      </c>
      <c r="DA80" t="e">
        <f>#REF!+"$Cm=!%YU"</f>
        <v>#REF!</v>
      </c>
      <c r="DB80" t="e">
        <f>#REF!+"$Cm=!%YV"</f>
        <v>#REF!</v>
      </c>
      <c r="DC80" t="e">
        <f>#REF!+"$Cm=!%YW"</f>
        <v>#REF!</v>
      </c>
      <c r="DD80" t="e">
        <f>#REF!+"$Cm=!%YX"</f>
        <v>#REF!</v>
      </c>
      <c r="DE80" t="e">
        <f>#REF!+"$Cm=!%YY"</f>
        <v>#REF!</v>
      </c>
      <c r="DF80" t="e">
        <f>#REF!+"$Cm=!%YZ"</f>
        <v>#REF!</v>
      </c>
      <c r="DG80" t="e">
        <f>#REF!+"$Cm=!%Y["</f>
        <v>#REF!</v>
      </c>
      <c r="DH80" t="e">
        <f>#REF!+"$Cm=!%Y\"</f>
        <v>#REF!</v>
      </c>
      <c r="DI80" t="e">
        <f>#REF!+"$Cm=!%Y]"</f>
        <v>#REF!</v>
      </c>
      <c r="DJ80" t="e">
        <f>#REF!+"$Cm=!%Y^"</f>
        <v>#REF!</v>
      </c>
      <c r="DK80" t="e">
        <f>#REF!+"$Cm=!%Y_"</f>
        <v>#REF!</v>
      </c>
      <c r="DL80" t="e">
        <f>#REF!+"$Cm=!%Y`"</f>
        <v>#REF!</v>
      </c>
      <c r="DM80" t="e">
        <f>#REF!+"$Cm=!%Ya"</f>
        <v>#REF!</v>
      </c>
      <c r="DN80" t="e">
        <f>#REF!+"$Cm=!%Yb"</f>
        <v>#REF!</v>
      </c>
      <c r="DO80" t="e">
        <f>#REF!+"$Cm=!%Yc"</f>
        <v>#REF!</v>
      </c>
      <c r="DP80" t="e">
        <f>#REF!+"$Cm=!%Yd"</f>
        <v>#REF!</v>
      </c>
      <c r="DQ80" t="e">
        <f>#REF!+"$Cm=!%Ye"</f>
        <v>#REF!</v>
      </c>
      <c r="DR80" t="e">
        <f>#REF!+"$Cm=!%Yf"</f>
        <v>#REF!</v>
      </c>
      <c r="DS80" t="e">
        <f>#REF!+"$Cm=!%Yg"</f>
        <v>#REF!</v>
      </c>
      <c r="DT80" t="e">
        <f>#REF!+"$Cm=!%Yh"</f>
        <v>#REF!</v>
      </c>
      <c r="DU80" t="e">
        <f>#REF!+"$Cm=!%Yi"</f>
        <v>#REF!</v>
      </c>
      <c r="DV80" t="e">
        <f>#REF!+"$Cm=!%Yj"</f>
        <v>#REF!</v>
      </c>
      <c r="DW80" t="e">
        <f>#REF!+"$Cm=!%Yk"</f>
        <v>#REF!</v>
      </c>
      <c r="DX80" t="e">
        <f>#REF!+"$Cm=!%Yl"</f>
        <v>#REF!</v>
      </c>
      <c r="DY80" t="e">
        <f>#REF!+"$Cm=!%Ym"</f>
        <v>#REF!</v>
      </c>
      <c r="DZ80" t="e">
        <f>#REF!+"$Cm=!%Yn"</f>
        <v>#REF!</v>
      </c>
      <c r="EA80" t="e">
        <f>#REF!+"$Cm=!%Yo"</f>
        <v>#REF!</v>
      </c>
      <c r="EB80" t="e">
        <f>#REF!+"$Cm=!%Yp"</f>
        <v>#REF!</v>
      </c>
      <c r="EC80" t="e">
        <f>#REF!+"$Cm=!%Yq"</f>
        <v>#REF!</v>
      </c>
      <c r="ED80" t="e">
        <f>#REF!+"$Cm=!%Yr"</f>
        <v>#REF!</v>
      </c>
      <c r="EE80" t="e">
        <f>#REF!+"$Cm=!%Ys"</f>
        <v>#REF!</v>
      </c>
      <c r="EF80" t="e">
        <f>#REF!+"$Cm=!%Yt"</f>
        <v>#REF!</v>
      </c>
      <c r="EG80" t="e">
        <f>#REF!+"$Cm=!%Yu"</f>
        <v>#REF!</v>
      </c>
      <c r="EH80" t="e">
        <f>#REF!+"$Cm=!%Yv"</f>
        <v>#REF!</v>
      </c>
      <c r="EI80" t="e">
        <f>#REF!+"$Cm=!%Yw"</f>
        <v>#REF!</v>
      </c>
      <c r="EJ80" t="e">
        <f>#REF!+"$Cm=!%Yx"</f>
        <v>#REF!</v>
      </c>
      <c r="EK80" t="e">
        <f>#REF!+"$Cm=!%Yy"</f>
        <v>#REF!</v>
      </c>
      <c r="EL80" t="e">
        <f>#REF!+"$Cm=!%Yz"</f>
        <v>#REF!</v>
      </c>
      <c r="EM80" t="e">
        <f>#REF!+"$Cm=!%Y{"</f>
        <v>#REF!</v>
      </c>
      <c r="EN80" t="e">
        <f>#REF!+"$Cm=!%Y|"</f>
        <v>#REF!</v>
      </c>
      <c r="EO80" t="e">
        <f>#REF!+"$Cm=!%Y}"</f>
        <v>#REF!</v>
      </c>
      <c r="EP80" t="e">
        <f>#REF!+"$Cm=!%Y~"</f>
        <v>#REF!</v>
      </c>
      <c r="EQ80" t="e">
        <f>#REF!+"$Cm=!%Z#"</f>
        <v>#REF!</v>
      </c>
      <c r="ER80" t="e">
        <f>#REF!+"$Cm=!%Z$"</f>
        <v>#REF!</v>
      </c>
      <c r="ES80" t="e">
        <f>#REF!+"$Cm=!%Z%"</f>
        <v>#REF!</v>
      </c>
      <c r="ET80" t="e">
        <f>#REF!+"$Cm=!%Z&amp;"</f>
        <v>#REF!</v>
      </c>
      <c r="EU80" t="e">
        <f>#REF!+"$Cm=!%Z'"</f>
        <v>#REF!</v>
      </c>
      <c r="EV80" t="e">
        <f>#REF!+"$Cm=!%Z("</f>
        <v>#REF!</v>
      </c>
      <c r="EW80" t="e">
        <f>#REF!+"$Cm=!%Z)"</f>
        <v>#REF!</v>
      </c>
      <c r="EX80" t="e">
        <f>#REF!+"$Cm=!%Z."</f>
        <v>#REF!</v>
      </c>
      <c r="EY80" t="e">
        <f>#REF!+"$Cm=!%Z/"</f>
        <v>#REF!</v>
      </c>
      <c r="EZ80" t="e">
        <f>#REF!+"$Cm=!%Z0"</f>
        <v>#REF!</v>
      </c>
      <c r="FA80" t="e">
        <f>#REF!+"$Cm=!%Z1"</f>
        <v>#REF!</v>
      </c>
      <c r="FB80" t="e">
        <f>#REF!+"$Cm=!%Z2"</f>
        <v>#REF!</v>
      </c>
      <c r="FC80" t="e">
        <f>#REF!+"$Cm=!%Z3"</f>
        <v>#REF!</v>
      </c>
      <c r="FD80" t="e">
        <f>#REF!+"$Cm=!%Z4"</f>
        <v>#REF!</v>
      </c>
      <c r="FE80" t="e">
        <f>#REF!+"$Cm=!%Z5"</f>
        <v>#REF!</v>
      </c>
      <c r="FF80" t="e">
        <f>#REF!+"$Cm=!%Z6"</f>
        <v>#REF!</v>
      </c>
      <c r="FG80" t="e">
        <f>#REF!+"$Cm=!%Z7"</f>
        <v>#REF!</v>
      </c>
      <c r="FH80" t="e">
        <f>#REF!+"$Cm=!%Z8"</f>
        <v>#REF!</v>
      </c>
      <c r="FI80" t="e">
        <f>#REF!+"$Cm=!%Z9"</f>
        <v>#REF!</v>
      </c>
      <c r="FJ80" t="e">
        <f>#REF!+"$Cm=!%Z:"</f>
        <v>#REF!</v>
      </c>
      <c r="FK80" t="e">
        <f>#REF!+"$Cm=!%Z;"</f>
        <v>#REF!</v>
      </c>
      <c r="FL80" t="e">
        <f>#REF!+"$Cm=!%Z&lt;"</f>
        <v>#REF!</v>
      </c>
      <c r="FM80" t="e">
        <f>#REF!+"$Cm=!%Z="</f>
        <v>#REF!</v>
      </c>
      <c r="FN80" t="e">
        <f>#REF!+"$Cm=!%Z&gt;"</f>
        <v>#REF!</v>
      </c>
      <c r="FO80" t="e">
        <f>#REF!+"$Cm=!%Z?"</f>
        <v>#REF!</v>
      </c>
      <c r="FP80" t="e">
        <f>#REF!+"$Cm=!%Z@"</f>
        <v>#REF!</v>
      </c>
      <c r="FQ80" t="e">
        <f>#REF!+"$Cm=!%ZA"</f>
        <v>#REF!</v>
      </c>
      <c r="FR80" t="e">
        <f>#REF!+"$Cm=!%ZB"</f>
        <v>#REF!</v>
      </c>
      <c r="FS80" t="e">
        <f>#REF!+"$Cm=!%ZC"</f>
        <v>#REF!</v>
      </c>
      <c r="FT80" t="e">
        <f>#REF!+"$Cm=!%ZD"</f>
        <v>#REF!</v>
      </c>
      <c r="FU80" t="e">
        <f>#REF!+"$Cm=!%ZE"</f>
        <v>#REF!</v>
      </c>
      <c r="FV80" t="e">
        <f>#REF!+"$Cm=!%ZF"</f>
        <v>#REF!</v>
      </c>
      <c r="FW80" t="e">
        <f>#REF!+"$Cm=!%ZG"</f>
        <v>#REF!</v>
      </c>
      <c r="FX80" t="e">
        <f>#REF!+"$Cm=!%ZH"</f>
        <v>#REF!</v>
      </c>
      <c r="FY80" t="e">
        <f>#REF!+"$Cm=!%ZI"</f>
        <v>#REF!</v>
      </c>
      <c r="FZ80" t="e">
        <f>#REF!+"$Cm=!%ZJ"</f>
        <v>#REF!</v>
      </c>
      <c r="GA80" t="e">
        <f>#REF!+"$Cm=!%ZK"</f>
        <v>#REF!</v>
      </c>
      <c r="GB80" t="e">
        <f>#REF!+"$Cm=!%ZL"</f>
        <v>#REF!</v>
      </c>
      <c r="GC80" t="e">
        <f>#REF!+"$Cm=!%ZM"</f>
        <v>#REF!</v>
      </c>
      <c r="GD80" t="e">
        <f>#REF!+"$Cm=!%ZN"</f>
        <v>#REF!</v>
      </c>
      <c r="GE80" t="e">
        <f>#REF!+"$Cm=!%ZO"</f>
        <v>#REF!</v>
      </c>
      <c r="GF80" t="e">
        <f>#REF!+"$Cm=!%ZP"</f>
        <v>#REF!</v>
      </c>
      <c r="GG80" t="e">
        <f>#REF!+"$Cm=!%ZQ"</f>
        <v>#REF!</v>
      </c>
      <c r="GH80" t="e">
        <f>#REF!+"$Cm=!%ZR"</f>
        <v>#REF!</v>
      </c>
      <c r="GI80" t="e">
        <f>#REF!+"$Cm=!%ZS"</f>
        <v>#REF!</v>
      </c>
      <c r="GJ80" t="e">
        <f>#REF!+"$Cm=!%ZT"</f>
        <v>#REF!</v>
      </c>
      <c r="GK80" t="e">
        <f>#REF!+"$Cm=!%ZU"</f>
        <v>#REF!</v>
      </c>
      <c r="GL80" t="e">
        <f>#REF!+"$Cm=!%ZV"</f>
        <v>#REF!</v>
      </c>
      <c r="GM80" t="e">
        <f>#REF!+"$Cm=!%ZW"</f>
        <v>#REF!</v>
      </c>
      <c r="GN80" t="e">
        <f>#REF!+"$Cm=!%ZX"</f>
        <v>#REF!</v>
      </c>
      <c r="GO80" t="e">
        <f>#REF!+"$Cm=!%ZY"</f>
        <v>#REF!</v>
      </c>
      <c r="GP80" t="e">
        <f>#REF!+"$Cm=!%ZZ"</f>
        <v>#REF!</v>
      </c>
      <c r="GQ80" t="e">
        <f>#REF!+"$Cm=!%Z["</f>
        <v>#REF!</v>
      </c>
      <c r="GR80" t="e">
        <f>#REF!+"$Cm=!%Z\"</f>
        <v>#REF!</v>
      </c>
      <c r="GS80" t="e">
        <f>#REF!+"$Cm=!%Z]"</f>
        <v>#REF!</v>
      </c>
      <c r="GT80" t="e">
        <f>#REF!+"$Cm=!%Z^"</f>
        <v>#REF!</v>
      </c>
      <c r="GU80" t="e">
        <f>#REF!+"$Cm=!%Z_"</f>
        <v>#REF!</v>
      </c>
      <c r="GV80" t="e">
        <f>#REF!+"$Cm=!%Z`"</f>
        <v>#REF!</v>
      </c>
      <c r="GW80" t="e">
        <f>#REF!+"$Cm=!%Za"</f>
        <v>#REF!</v>
      </c>
      <c r="GX80" t="e">
        <f>#REF!+"$Cm=!%Zb"</f>
        <v>#REF!</v>
      </c>
      <c r="GY80" t="e">
        <f>#REF!+"$Cm=!%Zc"</f>
        <v>#REF!</v>
      </c>
      <c r="GZ80" t="e">
        <f>#REF!+"$Cm=!%Zd"</f>
        <v>#REF!</v>
      </c>
      <c r="HA80" t="e">
        <f>#REF!+"$Cm=!%Ze"</f>
        <v>#REF!</v>
      </c>
      <c r="HB80" t="e">
        <f>#REF!+"$Cm=!%Zf"</f>
        <v>#REF!</v>
      </c>
      <c r="HC80" t="e">
        <f>#REF!+"$Cm=!%Zg"</f>
        <v>#REF!</v>
      </c>
      <c r="HD80" t="e">
        <f>#REF!+"$Cm=!%Zh"</f>
        <v>#REF!</v>
      </c>
      <c r="HE80" t="e">
        <f>#REF!+"$Cm=!%Zi"</f>
        <v>#REF!</v>
      </c>
      <c r="HF80" t="e">
        <f>#REF!+"$Cm=!%Zj"</f>
        <v>#REF!</v>
      </c>
      <c r="HG80" t="e">
        <f>#REF!+"$Cm=!%Zk"</f>
        <v>#REF!</v>
      </c>
      <c r="HH80" t="e">
        <f>#REF!+"$Cm=!%Zl"</f>
        <v>#REF!</v>
      </c>
      <c r="HI80" t="e">
        <f>#REF!+"$Cm=!%Zm"</f>
        <v>#REF!</v>
      </c>
      <c r="HJ80" t="e">
        <f>#REF!+"$Cm=!%Zn"</f>
        <v>#REF!</v>
      </c>
      <c r="HK80" t="e">
        <f>#REF!+"$Cm=!%Zo"</f>
        <v>#REF!</v>
      </c>
      <c r="HL80" t="e">
        <f>#REF!+"$Cm=!%Zp"</f>
        <v>#REF!</v>
      </c>
      <c r="HM80" t="e">
        <f>#REF!+"$Cm=!%Zq"</f>
        <v>#REF!</v>
      </c>
      <c r="HN80" t="e">
        <f>#REF!+"$Cm=!%Zr"</f>
        <v>#REF!</v>
      </c>
      <c r="HO80" t="e">
        <f>#REF!+"$Cm=!%Zs"</f>
        <v>#REF!</v>
      </c>
      <c r="HP80" t="e">
        <f>#REF!+"$Cm=!%Zt"</f>
        <v>#REF!</v>
      </c>
      <c r="HQ80" t="e">
        <f>#REF!+"$Cm=!%Zu"</f>
        <v>#REF!</v>
      </c>
      <c r="HR80" t="e">
        <f>#REF!+"$Cm=!%Zv"</f>
        <v>#REF!</v>
      </c>
      <c r="HS80" t="e">
        <f>#REF!+"$Cm=!%Zw"</f>
        <v>#REF!</v>
      </c>
      <c r="HT80" t="e">
        <f>#REF!+"$Cm=!%Zx"</f>
        <v>#REF!</v>
      </c>
      <c r="HU80" t="e">
        <f>#REF!+"$Cm=!%Zy"</f>
        <v>#REF!</v>
      </c>
      <c r="HV80" t="e">
        <f>#REF!+"$Cm=!%Zz"</f>
        <v>#REF!</v>
      </c>
      <c r="HW80" t="e">
        <f>#REF!+"$Cm=!%Z{"</f>
        <v>#REF!</v>
      </c>
      <c r="HX80" t="e">
        <f>#REF!+"$Cm=!%Z|"</f>
        <v>#REF!</v>
      </c>
      <c r="HY80" t="e">
        <f>#REF!+"$Cm=!%Z}"</f>
        <v>#REF!</v>
      </c>
      <c r="HZ80" t="e">
        <f>#REF!+"$Cm=!%Z~"</f>
        <v>#REF!</v>
      </c>
      <c r="IA80" t="e">
        <f>#REF!+"$Cm=!%[#"</f>
        <v>#REF!</v>
      </c>
      <c r="IB80" t="e">
        <f>#REF!+"$Cm=!%[$"</f>
        <v>#REF!</v>
      </c>
      <c r="IC80" t="e">
        <f>#REF!+"$Cm=!%[%"</f>
        <v>#REF!</v>
      </c>
      <c r="ID80" t="e">
        <f>#REF!+"$Cm=!%[&amp;"</f>
        <v>#REF!</v>
      </c>
      <c r="IE80" t="e">
        <f>#REF!+"$Cm=!%['"</f>
        <v>#REF!</v>
      </c>
      <c r="IF80" t="e">
        <f>#REF!+"$Cm=!%[("</f>
        <v>#REF!</v>
      </c>
      <c r="IG80" t="e">
        <f>#REF!+"$Cm=!%[)"</f>
        <v>#REF!</v>
      </c>
      <c r="IH80" t="e">
        <f>#REF!+"$Cm=!%[."</f>
        <v>#REF!</v>
      </c>
      <c r="II80" t="e">
        <f>#REF!+"$Cm=!%[/"</f>
        <v>#REF!</v>
      </c>
      <c r="IJ80" t="e">
        <f>#REF!+"$Cm=!%[0"</f>
        <v>#REF!</v>
      </c>
      <c r="IK80" t="e">
        <f>#REF!+"$Cm=!%[1"</f>
        <v>#REF!</v>
      </c>
      <c r="IL80" t="e">
        <f>#REF!+"$Cm=!%[2"</f>
        <v>#REF!</v>
      </c>
      <c r="IM80" t="e">
        <f>#REF!+"$Cm=!%[3"</f>
        <v>#REF!</v>
      </c>
      <c r="IN80" t="e">
        <f>#REF!+"$Cm=!%[4"</f>
        <v>#REF!</v>
      </c>
      <c r="IO80" t="e">
        <f>#REF!+"$Cm=!%[5"</f>
        <v>#REF!</v>
      </c>
      <c r="IP80" t="e">
        <f>#REF!+"$Cm=!%[6"</f>
        <v>#REF!</v>
      </c>
      <c r="IQ80" t="e">
        <f>#REF!+"$Cm=!%[7"</f>
        <v>#REF!</v>
      </c>
      <c r="IR80" t="e">
        <f>#REF!+"$Cm=!%[8"</f>
        <v>#REF!</v>
      </c>
      <c r="IS80" t="e">
        <f>#REF!+"$Cm=!%[9"</f>
        <v>#REF!</v>
      </c>
      <c r="IT80" t="e">
        <f>#REF!+"$Cm=!%[:"</f>
        <v>#REF!</v>
      </c>
      <c r="IU80" t="e">
        <f>#REF!+"$Cm=!%[;"</f>
        <v>#REF!</v>
      </c>
      <c r="IV80" t="e">
        <f>#REF!+"$Cm=!%[&lt;"</f>
        <v>#REF!</v>
      </c>
    </row>
    <row r="81" spans="6:256">
      <c r="F81" t="e">
        <f>#REF!+"$Cm=!%[="</f>
        <v>#REF!</v>
      </c>
      <c r="G81" t="e">
        <f>#REF!+"$Cm=!%[&gt;"</f>
        <v>#REF!</v>
      </c>
      <c r="H81" t="e">
        <f>#REF!+"$Cm=!%[?"</f>
        <v>#REF!</v>
      </c>
      <c r="I81" t="e">
        <f>#REF!+"$Cm=!%[@"</f>
        <v>#REF!</v>
      </c>
      <c r="J81" t="e">
        <f>#REF!+"$Cm=!%[A"</f>
        <v>#REF!</v>
      </c>
      <c r="K81" t="e">
        <f>#REF!+"$Cm=!%[B"</f>
        <v>#REF!</v>
      </c>
      <c r="L81" t="e">
        <f>#REF!+"$Cm=!%[C"</f>
        <v>#REF!</v>
      </c>
      <c r="M81" t="e">
        <f>#REF!+"$Cm=!%[D"</f>
        <v>#REF!</v>
      </c>
      <c r="N81" t="e">
        <f>#REF!+"$Cm=!%[E"</f>
        <v>#REF!</v>
      </c>
      <c r="O81" t="e">
        <f>#REF!+"$Cm=!%[F"</f>
        <v>#REF!</v>
      </c>
      <c r="P81" t="e">
        <f>#REF!+"$Cm=!%[G"</f>
        <v>#REF!</v>
      </c>
      <c r="Q81" t="e">
        <f>#REF!+"$Cm=!%[H"</f>
        <v>#REF!</v>
      </c>
      <c r="R81" t="e">
        <f>#REF!+"$Cm=!%[I"</f>
        <v>#REF!</v>
      </c>
      <c r="S81" t="e">
        <f>#REF!+"$Cm=!%[J"</f>
        <v>#REF!</v>
      </c>
      <c r="T81" t="e">
        <f>#REF!+"$Cm=!%[K"</f>
        <v>#REF!</v>
      </c>
      <c r="U81" t="e">
        <f>#REF!+"$Cm=!%[L"</f>
        <v>#REF!</v>
      </c>
      <c r="V81" t="e">
        <f>#REF!+"$Cm=!%[M"</f>
        <v>#REF!</v>
      </c>
      <c r="W81" t="e">
        <f>#REF!+"$Cm=!%[N"</f>
        <v>#REF!</v>
      </c>
      <c r="X81" t="e">
        <f>#REF!+"$Cm=!%[O"</f>
        <v>#REF!</v>
      </c>
      <c r="Y81" t="e">
        <f>#REF!+"$Cm=!%[P"</f>
        <v>#REF!</v>
      </c>
      <c r="Z81" t="e">
        <f>#REF!+"$Cm=!%[Q"</f>
        <v>#REF!</v>
      </c>
      <c r="AA81" t="e">
        <f>#REF!+"$Cm=!%[R"</f>
        <v>#REF!</v>
      </c>
      <c r="AB81" t="e">
        <f>#REF!+"$Cm=!%[S"</f>
        <v>#REF!</v>
      </c>
      <c r="AC81" t="e">
        <f>#REF!+"$Cm=!%[T"</f>
        <v>#REF!</v>
      </c>
      <c r="AD81" t="e">
        <f>#REF!+"$Cm=!%[U"</f>
        <v>#REF!</v>
      </c>
      <c r="AE81" t="e">
        <f>#REF!+"$Cm=!%[V"</f>
        <v>#REF!</v>
      </c>
      <c r="AF81" t="e">
        <f>#REF!+"$Cm=!%[W"</f>
        <v>#REF!</v>
      </c>
      <c r="AG81" t="e">
        <f>#REF!+"$Cm=!%[X"</f>
        <v>#REF!</v>
      </c>
      <c r="AH81" t="e">
        <f>#REF!+"$Cm=!%[Y"</f>
        <v>#REF!</v>
      </c>
      <c r="AI81" t="e">
        <f>#REF!+"$Cm=!%[Z"</f>
        <v>#REF!</v>
      </c>
      <c r="AJ81" t="e">
        <f>#REF!+"$Cm=!%[["</f>
        <v>#REF!</v>
      </c>
      <c r="AK81" t="e">
        <f>#REF!+"$Cm=!%[\"</f>
        <v>#REF!</v>
      </c>
      <c r="AL81" t="e">
        <f>#REF!+"$Cm=!%[]"</f>
        <v>#REF!</v>
      </c>
      <c r="AM81" t="e">
        <f>#REF!+"$Cm=!%[^"</f>
        <v>#REF!</v>
      </c>
      <c r="AN81" t="e">
        <f>#REF!+"$Cm=!%[_"</f>
        <v>#REF!</v>
      </c>
      <c r="AO81" t="e">
        <f>#REF!+"$Cm=!%[`"</f>
        <v>#REF!</v>
      </c>
      <c r="AP81" t="e">
        <f>#REF!+"$Cm=!%[a"</f>
        <v>#REF!</v>
      </c>
      <c r="AQ81" t="e">
        <f>#REF!+"$Cm=!%[b"</f>
        <v>#REF!</v>
      </c>
      <c r="AR81" t="e">
        <f>#REF!+"$Cm=!%[c"</f>
        <v>#REF!</v>
      </c>
      <c r="AS81" t="e">
        <f>#REF!+"$Cm=!%[d"</f>
        <v>#REF!</v>
      </c>
      <c r="AT81" t="e">
        <f>#REF!+"$Cm=!%[e"</f>
        <v>#REF!</v>
      </c>
      <c r="AU81" t="e">
        <f>#REF!+"$Cm=!%[f"</f>
        <v>#REF!</v>
      </c>
      <c r="AV81" t="e">
        <f>#REF!+"$Cm=!%[g"</f>
        <v>#REF!</v>
      </c>
      <c r="AW81" t="e">
        <f>#REF!+"$Cm=!%[h"</f>
        <v>#REF!</v>
      </c>
      <c r="AX81" t="e">
        <f>#REF!+"$Cm=!%[i"</f>
        <v>#REF!</v>
      </c>
      <c r="AY81" t="e">
        <f>#REF!+"$Cm=!%[j"</f>
        <v>#REF!</v>
      </c>
      <c r="AZ81" t="e">
        <f>#REF!+"$Cm=!%[k"</f>
        <v>#REF!</v>
      </c>
      <c r="BA81" t="e">
        <f>#REF!+"$Cm=!%[l"</f>
        <v>#REF!</v>
      </c>
      <c r="BB81" t="e">
        <f>#REF!+"$Cm=!%[m"</f>
        <v>#REF!</v>
      </c>
      <c r="BC81" t="e">
        <f>#REF!+"$Cm=!%[n"</f>
        <v>#REF!</v>
      </c>
      <c r="BD81" t="e">
        <f>#REF!+"$Cm=!%[o"</f>
        <v>#REF!</v>
      </c>
      <c r="BE81" t="e">
        <f>#REF!+"$Cm=!%[p"</f>
        <v>#REF!</v>
      </c>
      <c r="BF81" t="e">
        <f>#REF!+"$Cm=!%[q"</f>
        <v>#REF!</v>
      </c>
      <c r="BG81" t="e">
        <f>#REF!+"$Cm=!%[r"</f>
        <v>#REF!</v>
      </c>
      <c r="BH81" t="e">
        <f>#REF!+"$Cm=!%[s"</f>
        <v>#REF!</v>
      </c>
      <c r="BI81" t="e">
        <f>#REF!+"$Cm=!%[t"</f>
        <v>#REF!</v>
      </c>
      <c r="BJ81" t="e">
        <f>#REF!+"$Cm=!%[u"</f>
        <v>#REF!</v>
      </c>
      <c r="BK81" t="e">
        <f>#REF!+"$Cm=!%[v"</f>
        <v>#REF!</v>
      </c>
      <c r="BL81" t="e">
        <f>#REF!+"$Cm=!%[w"</f>
        <v>#REF!</v>
      </c>
      <c r="BM81" t="e">
        <f>#REF!+"$Cm=!%[x"</f>
        <v>#REF!</v>
      </c>
      <c r="BN81" t="e">
        <f>#REF!+"$Cm=!%[y"</f>
        <v>#REF!</v>
      </c>
      <c r="BO81" t="e">
        <f>#REF!+"$Cm=!%[z"</f>
        <v>#REF!</v>
      </c>
      <c r="BP81" t="e">
        <f>#REF!+"$Cm=!%[{"</f>
        <v>#REF!</v>
      </c>
      <c r="BQ81" t="e">
        <f>#REF!+"$Cm=!%[|"</f>
        <v>#REF!</v>
      </c>
      <c r="BR81" t="e">
        <f>#REF!+"$Cm=!%[}"</f>
        <v>#REF!</v>
      </c>
      <c r="BS81" t="e">
        <f>#REF!+"$Cm=!%[~"</f>
        <v>#REF!</v>
      </c>
      <c r="BT81" t="e">
        <f>#REF!+"$Cm=!%\#"</f>
        <v>#REF!</v>
      </c>
      <c r="BU81" t="e">
        <f>#REF!+"$Cm=!%\$"</f>
        <v>#REF!</v>
      </c>
      <c r="BV81" t="e">
        <f>#REF!+"$Cm=!%\%"</f>
        <v>#REF!</v>
      </c>
      <c r="BW81" t="e">
        <f>#REF!+"$Cm=!%\&amp;"</f>
        <v>#REF!</v>
      </c>
      <c r="BX81" t="e">
        <f>#REF!+"$Cm=!%\'"</f>
        <v>#REF!</v>
      </c>
      <c r="BY81" t="e">
        <f>#REF!+"$Cm=!%\("</f>
        <v>#REF!</v>
      </c>
      <c r="BZ81" t="e">
        <f>#REF!+"$Cm=!%\)"</f>
        <v>#REF!</v>
      </c>
      <c r="CA81" t="e">
        <f>#REF!+"$Cm=!%\."</f>
        <v>#REF!</v>
      </c>
      <c r="CB81" t="e">
        <f>#REF!+"$Cm=!%\/"</f>
        <v>#REF!</v>
      </c>
      <c r="CC81" t="e">
        <f>#REF!+"$Cm=!%\0"</f>
        <v>#REF!</v>
      </c>
      <c r="CD81" t="e">
        <f>#REF!+"$Cm=!%\1"</f>
        <v>#REF!</v>
      </c>
      <c r="CE81" t="e">
        <f>#REF!+"$Cm=!%\2"</f>
        <v>#REF!</v>
      </c>
      <c r="CF81" t="e">
        <f>#REF!+"$Cm=!%\3"</f>
        <v>#REF!</v>
      </c>
      <c r="CG81" t="e">
        <f>#REF!+"$Cm=!%\4"</f>
        <v>#REF!</v>
      </c>
      <c r="CH81" t="e">
        <f>#REF!+"$Cm=!%\5"</f>
        <v>#REF!</v>
      </c>
      <c r="CI81" t="e">
        <f>#REF!+"$Cm=!%\6"</f>
        <v>#REF!</v>
      </c>
      <c r="CJ81" t="e">
        <f>#REF!+"$Cm=!%\7"</f>
        <v>#REF!</v>
      </c>
      <c r="CK81" t="e">
        <f>#REF!+"$Cm=!%\8"</f>
        <v>#REF!</v>
      </c>
      <c r="CL81" t="e">
        <f>#REF!+"$Cm=!%\9"</f>
        <v>#REF!</v>
      </c>
      <c r="CM81" t="e">
        <f>#REF!+"$Cm=!%\:"</f>
        <v>#REF!</v>
      </c>
      <c r="CN81" t="e">
        <f>#REF!+"$Cm=!%\;"</f>
        <v>#REF!</v>
      </c>
      <c r="CO81" t="e">
        <f>#REF!+"$Cm=!%\&lt;"</f>
        <v>#REF!</v>
      </c>
      <c r="CP81" t="e">
        <f>#REF!+"$Cm=!%\="</f>
        <v>#REF!</v>
      </c>
      <c r="CQ81" t="e">
        <f>#REF!+"$Cm=!%\&gt;"</f>
        <v>#REF!</v>
      </c>
      <c r="CR81" t="e">
        <f>#REF!+"$Cm=!%\?"</f>
        <v>#REF!</v>
      </c>
      <c r="CS81" t="e">
        <f>#REF!+"$Cm=!%\@"</f>
        <v>#REF!</v>
      </c>
      <c r="CT81" t="e">
        <f>#REF!+"$Cm=!%\A"</f>
        <v>#REF!</v>
      </c>
      <c r="CU81" t="e">
        <f>#REF!+"$Cm=!%\B"</f>
        <v>#REF!</v>
      </c>
      <c r="CV81" t="e">
        <f>#REF!+"$Cm=!%\C"</f>
        <v>#REF!</v>
      </c>
      <c r="CW81" t="e">
        <f>#REF!+"$Cm=!%\D"</f>
        <v>#REF!</v>
      </c>
      <c r="CX81" t="e">
        <f>#REF!+"$Cm=!%\E"</f>
        <v>#REF!</v>
      </c>
      <c r="CY81" t="e">
        <f>#REF!+"$Cm=!%\F"</f>
        <v>#REF!</v>
      </c>
      <c r="CZ81" t="e">
        <f>#REF!+"$Cm=!%\G"</f>
        <v>#REF!</v>
      </c>
      <c r="DA81" t="e">
        <f>#REF!+"$Cm=!%\H"</f>
        <v>#REF!</v>
      </c>
      <c r="DB81" t="e">
        <f>#REF!+"$Cm=!%\I"</f>
        <v>#REF!</v>
      </c>
      <c r="DC81" t="e">
        <f>#REF!+"$Cm=!%\J"</f>
        <v>#REF!</v>
      </c>
      <c r="DD81" t="e">
        <f>#REF!+"$Cm=!%\K"</f>
        <v>#REF!</v>
      </c>
      <c r="DE81" t="e">
        <f>#REF!+"$Cm=!%\L"</f>
        <v>#REF!</v>
      </c>
      <c r="DF81" t="e">
        <f>#REF!+"$Cm=!%\M"</f>
        <v>#REF!</v>
      </c>
      <c r="DG81" t="e">
        <f>#REF!+"$Cm=!%\N"</f>
        <v>#REF!</v>
      </c>
      <c r="DH81" t="e">
        <f>#REF!+"$Cm=!%\O"</f>
        <v>#REF!</v>
      </c>
      <c r="DI81" t="e">
        <f>#REF!+"$Cm=!%\P"</f>
        <v>#REF!</v>
      </c>
      <c r="DJ81" t="e">
        <f>#REF!+"$Cm=!%\Q"</f>
        <v>#REF!</v>
      </c>
      <c r="DK81" t="e">
        <f>#REF!+"$Cm=!%\R"</f>
        <v>#REF!</v>
      </c>
      <c r="DL81" t="e">
        <f>#REF!+"$Cm=!%\S"</f>
        <v>#REF!</v>
      </c>
      <c r="DM81" t="e">
        <f>#REF!+"$Cm=!%\T"</f>
        <v>#REF!</v>
      </c>
      <c r="DN81" t="e">
        <f>#REF!+"$Cm=!%\U"</f>
        <v>#REF!</v>
      </c>
      <c r="DO81" t="e">
        <f>#REF!+"$Cm=!%\V"</f>
        <v>#REF!</v>
      </c>
      <c r="DP81" t="e">
        <f>#REF!+"$Cm=!%\W"</f>
        <v>#REF!</v>
      </c>
      <c r="DQ81" t="e">
        <f>#REF!+"$Cm=!%\X"</f>
        <v>#REF!</v>
      </c>
      <c r="DR81" t="e">
        <f>#REF!+"$Cm=!%\Y"</f>
        <v>#REF!</v>
      </c>
      <c r="DS81" t="e">
        <f>#REF!+"$Cm=!%\Z"</f>
        <v>#REF!</v>
      </c>
      <c r="DT81" t="e">
        <f>#REF!+"$Cm=!%\["</f>
        <v>#REF!</v>
      </c>
      <c r="DU81" t="e">
        <f>#REF!+"$Cm=!%\\"</f>
        <v>#REF!</v>
      </c>
      <c r="DV81" t="e">
        <f>#REF!+"$Cm=!%\]"</f>
        <v>#REF!</v>
      </c>
      <c r="DW81" t="e">
        <f>#REF!+"$Cm=!%\^"</f>
        <v>#REF!</v>
      </c>
      <c r="DX81" t="e">
        <f>#REF!+"$Cm=!%\_"</f>
        <v>#REF!</v>
      </c>
      <c r="DY81" t="e">
        <f>#REF!+"$Cm=!%\`"</f>
        <v>#REF!</v>
      </c>
      <c r="DZ81" t="e">
        <f>#REF!+"$Cm=!%\a"</f>
        <v>#REF!</v>
      </c>
      <c r="EA81" t="e">
        <f>#REF!+"$Cm=!%\b"</f>
        <v>#REF!</v>
      </c>
      <c r="EB81" t="e">
        <f>#REF!+"$Cm=!%\c"</f>
        <v>#REF!</v>
      </c>
      <c r="EC81" t="e">
        <f>#REF!+"$Cm=!%\d"</f>
        <v>#REF!</v>
      </c>
      <c r="ED81" t="e">
        <f>#REF!+"$Cm=!%\e"</f>
        <v>#REF!</v>
      </c>
      <c r="EE81" t="e">
        <f>#REF!+"$Cm=!%\f"</f>
        <v>#REF!</v>
      </c>
      <c r="EF81" t="e">
        <f>#REF!+"$Cm=!%\g"</f>
        <v>#REF!</v>
      </c>
      <c r="EG81" t="e">
        <f>#REF!+"$Cm=!%\h"</f>
        <v>#REF!</v>
      </c>
      <c r="EH81" t="e">
        <f>#REF!+"$Cm=!%\i"</f>
        <v>#REF!</v>
      </c>
      <c r="EI81" t="e">
        <f>#REF!+"$Cm=!%\j"</f>
        <v>#REF!</v>
      </c>
      <c r="EJ81" t="e">
        <f>#REF!+"$Cm=!%\k"</f>
        <v>#REF!</v>
      </c>
      <c r="EK81" t="e">
        <f>#REF!+"$Cm=!%\l"</f>
        <v>#REF!</v>
      </c>
      <c r="EL81" t="e">
        <f>#REF!+"$Cm=!%\m"</f>
        <v>#REF!</v>
      </c>
      <c r="EM81" t="e">
        <f>#REF!+"$Cm=!%\n"</f>
        <v>#REF!</v>
      </c>
      <c r="EN81" t="e">
        <f>#REF!+"$Cm=!%\o"</f>
        <v>#REF!</v>
      </c>
      <c r="EO81" t="e">
        <f>#REF!+"$Cm=!%\p"</f>
        <v>#REF!</v>
      </c>
      <c r="EP81" t="e">
        <f>#REF!+"$Cm=!%\q"</f>
        <v>#REF!</v>
      </c>
      <c r="EQ81" t="e">
        <f>#REF!+"$Cm=!%\r"</f>
        <v>#REF!</v>
      </c>
      <c r="ER81" t="e">
        <f>#REF!+"$Cm=!%\s"</f>
        <v>#REF!</v>
      </c>
      <c r="ES81" t="e">
        <f>#REF!+"$Cm=!%\t"</f>
        <v>#REF!</v>
      </c>
      <c r="ET81" t="e">
        <f>#REF!+"$Cm=!%\u"</f>
        <v>#REF!</v>
      </c>
      <c r="EU81" t="e">
        <f>#REF!+"$Cm=!%\v"</f>
        <v>#REF!</v>
      </c>
      <c r="EV81" t="e">
        <f>#REF!+"$Cm=!%\w"</f>
        <v>#REF!</v>
      </c>
      <c r="EW81" t="e">
        <f>#REF!+"$Cm=!%\x"</f>
        <v>#REF!</v>
      </c>
      <c r="EX81" t="e">
        <f>#REF!+"$Cm=!%\y"</f>
        <v>#REF!</v>
      </c>
      <c r="EY81" t="e">
        <f>#REF!+"$Cm=!%\z"</f>
        <v>#REF!</v>
      </c>
      <c r="EZ81" t="e">
        <f>#REF!+"$Cm=!%\{"</f>
        <v>#REF!</v>
      </c>
      <c r="FA81" t="e">
        <f>#REF!+"$Cm=!%\|"</f>
        <v>#REF!</v>
      </c>
      <c r="FB81" t="e">
        <f>#REF!+"$Cm=!%\}"</f>
        <v>#REF!</v>
      </c>
      <c r="FC81" t="e">
        <f>#REF!+"$Cm=!%\~"</f>
        <v>#REF!</v>
      </c>
      <c r="FD81" t="e">
        <f>#REF!+"$Cm=!%]#"</f>
        <v>#REF!</v>
      </c>
      <c r="FE81" t="e">
        <f>#REF!+"$Cm=!%]$"</f>
        <v>#REF!</v>
      </c>
      <c r="FF81" t="e">
        <f>#REF!+"$Cm=!%]%"</f>
        <v>#REF!</v>
      </c>
      <c r="FG81" t="e">
        <f>#REF!+"$Cm=!%]&amp;"</f>
        <v>#REF!</v>
      </c>
      <c r="FH81" t="e">
        <f>#REF!+"$Cm=!%]'"</f>
        <v>#REF!</v>
      </c>
      <c r="FI81" t="e">
        <f>#REF!+"$Cm=!%]("</f>
        <v>#REF!</v>
      </c>
      <c r="FJ81" t="e">
        <f>#REF!+"$Cm=!%])"</f>
        <v>#REF!</v>
      </c>
      <c r="FK81" t="e">
        <f>#REF!+"$Cm=!%]."</f>
        <v>#REF!</v>
      </c>
      <c r="FL81" t="e">
        <f>#REF!+"$Cm=!%]/"</f>
        <v>#REF!</v>
      </c>
      <c r="FM81" t="e">
        <f>#REF!+"$Cm=!%]0"</f>
        <v>#REF!</v>
      </c>
      <c r="FN81" t="e">
        <f>#REF!+"$Cm=!%]1"</f>
        <v>#REF!</v>
      </c>
      <c r="FO81" t="e">
        <f>#REF!+"$Cm=!%]2"</f>
        <v>#REF!</v>
      </c>
      <c r="FP81" t="e">
        <f>#REF!+"$Cm=!%]3"</f>
        <v>#REF!</v>
      </c>
      <c r="FQ81" t="e">
        <f>#REF!+"$Cm=!%]4"</f>
        <v>#REF!</v>
      </c>
      <c r="FR81" t="e">
        <f>#REF!+"$Cm=!%]5"</f>
        <v>#REF!</v>
      </c>
      <c r="FS81" t="e">
        <f>#REF!+"$Cm=!%]6"</f>
        <v>#REF!</v>
      </c>
      <c r="FT81" t="e">
        <f>#REF!+"$Cm=!%]7"</f>
        <v>#REF!</v>
      </c>
      <c r="FU81" t="e">
        <f>#REF!+"$Cm=!%]8"</f>
        <v>#REF!</v>
      </c>
      <c r="FV81" t="e">
        <f>#REF!+"$Cm=!%]9"</f>
        <v>#REF!</v>
      </c>
      <c r="FW81" t="e">
        <f>#REF!+"$Cm=!%]:"</f>
        <v>#REF!</v>
      </c>
      <c r="FX81" t="e">
        <f>#REF!+"$Cm=!%];"</f>
        <v>#REF!</v>
      </c>
      <c r="FY81" t="e">
        <f>#REF!+"$Cm=!%]&lt;"</f>
        <v>#REF!</v>
      </c>
      <c r="FZ81" t="e">
        <f>#REF!+"$Cm=!%]="</f>
        <v>#REF!</v>
      </c>
      <c r="GA81" t="e">
        <f>#REF!+"$Cm=!%]&gt;"</f>
        <v>#REF!</v>
      </c>
      <c r="GB81" t="e">
        <f>#REF!+"$Cm=!%]?"</f>
        <v>#REF!</v>
      </c>
      <c r="GC81" t="e">
        <f>#REF!+"$Cm=!%]@"</f>
        <v>#REF!</v>
      </c>
      <c r="GD81" t="e">
        <f>#REF!+"$Cm=!%]A"</f>
        <v>#REF!</v>
      </c>
      <c r="GE81" t="e">
        <f>#REF!+"$Cm=!%]B"</f>
        <v>#REF!</v>
      </c>
      <c r="GF81" t="e">
        <f>#REF!+"$Cm=!%]C"</f>
        <v>#REF!</v>
      </c>
      <c r="GG81" t="e">
        <f>#REF!+"$Cm=!%]D"</f>
        <v>#REF!</v>
      </c>
      <c r="GH81" t="e">
        <f>#REF!+"$Cm=!%]E"</f>
        <v>#REF!</v>
      </c>
      <c r="GI81" t="e">
        <f>#REF!+"$Cm=!%]F"</f>
        <v>#REF!</v>
      </c>
      <c r="GJ81" t="e">
        <f>#REF!+"$Cm=!%]G"</f>
        <v>#REF!</v>
      </c>
      <c r="GK81" t="e">
        <f>#REF!+"$Cm=!%]H"</f>
        <v>#REF!</v>
      </c>
      <c r="GL81" t="e">
        <f>#REF!+"$Cm=!%]I"</f>
        <v>#REF!</v>
      </c>
      <c r="GM81" t="e">
        <f>#REF!+"$Cm=!%]J"</f>
        <v>#REF!</v>
      </c>
      <c r="GN81" t="e">
        <f>#REF!+"$Cm=!%]K"</f>
        <v>#REF!</v>
      </c>
      <c r="GO81" t="e">
        <f>#REF!+"$Cm=!%]L"</f>
        <v>#REF!</v>
      </c>
      <c r="GP81" t="e">
        <f>#REF!+"$Cm=!%]M"</f>
        <v>#REF!</v>
      </c>
      <c r="GQ81" t="e">
        <f>#REF!+"$Cm=!%]N"</f>
        <v>#REF!</v>
      </c>
      <c r="GR81" t="e">
        <f>#REF!+"$Cm=!%]O"</f>
        <v>#REF!</v>
      </c>
      <c r="GS81" t="e">
        <f>#REF!+"$Cm=!%]P"</f>
        <v>#REF!</v>
      </c>
      <c r="GT81" t="e">
        <f>#REF!+"$Cm=!%]Q"</f>
        <v>#REF!</v>
      </c>
      <c r="GU81" t="e">
        <f>#REF!+"$Cm=!%]R"</f>
        <v>#REF!</v>
      </c>
      <c r="GV81" t="e">
        <f>#REF!+"$Cm=!%]S"</f>
        <v>#REF!</v>
      </c>
      <c r="GW81" t="e">
        <f>#REF!+"$Cm=!%]T"</f>
        <v>#REF!</v>
      </c>
      <c r="GX81" t="e">
        <f>#REF!+"$Cm=!%]U"</f>
        <v>#REF!</v>
      </c>
      <c r="GY81" t="e">
        <f>#REF!+"$Cm=!%]V"</f>
        <v>#REF!</v>
      </c>
      <c r="GZ81" t="e">
        <f>#REF!+"$Cm=!%]W"</f>
        <v>#REF!</v>
      </c>
      <c r="HA81" t="e">
        <f>#REF!+"$Cm=!%]X"</f>
        <v>#REF!</v>
      </c>
      <c r="HB81" t="e">
        <f>#REF!+"$Cm=!%]Y"</f>
        <v>#REF!</v>
      </c>
      <c r="HC81" t="e">
        <f>#REF!+"$Cm=!%]Z"</f>
        <v>#REF!</v>
      </c>
      <c r="HD81" t="e">
        <f>#REF!+"$Cm=!%]["</f>
        <v>#REF!</v>
      </c>
      <c r="HE81" t="e">
        <f>#REF!+"$Cm=!%]\"</f>
        <v>#REF!</v>
      </c>
      <c r="HF81" t="e">
        <f>#REF!+"$Cm=!%]]"</f>
        <v>#REF!</v>
      </c>
      <c r="HG81" t="e">
        <f>#REF!+"$Cm=!%]^"</f>
        <v>#REF!</v>
      </c>
      <c r="HH81" t="e">
        <f>#REF!+"$Cm=!%]_"</f>
        <v>#REF!</v>
      </c>
      <c r="HI81" t="e">
        <f>#REF!+"$Cm=!%]`"</f>
        <v>#REF!</v>
      </c>
      <c r="HJ81" t="e">
        <f>#REF!+"$Cm=!%]a"</f>
        <v>#REF!</v>
      </c>
      <c r="HK81" t="e">
        <f>#REF!+"$Cm=!%]b"</f>
        <v>#REF!</v>
      </c>
      <c r="HL81" t="e">
        <f>#REF!+"$Cm=!%]c"</f>
        <v>#REF!</v>
      </c>
      <c r="HM81" t="e">
        <f>#REF!+"$Cm=!%]d"</f>
        <v>#REF!</v>
      </c>
      <c r="HN81" t="e">
        <f>#REF!+"$Cm=!%]e"</f>
        <v>#REF!</v>
      </c>
      <c r="HO81" t="e">
        <f>#REF!+"$Cm=!%]f"</f>
        <v>#REF!</v>
      </c>
      <c r="HP81" t="e">
        <f>#REF!+"$Cm=!%]g"</f>
        <v>#REF!</v>
      </c>
      <c r="HQ81" t="e">
        <f>#REF!+"$Cm=!%]h"</f>
        <v>#REF!</v>
      </c>
      <c r="HR81" t="e">
        <f>#REF!+"$Cm=!%]i"</f>
        <v>#REF!</v>
      </c>
      <c r="HS81" t="e">
        <f>#REF!+"$Cm=!%]j"</f>
        <v>#REF!</v>
      </c>
      <c r="HT81" t="e">
        <f>#REF!+"$Cm=!%]k"</f>
        <v>#REF!</v>
      </c>
      <c r="HU81" t="e">
        <f>#REF!+"$Cm=!%]l"</f>
        <v>#REF!</v>
      </c>
      <c r="HV81" t="e">
        <f>#REF!+"$Cm=!%]m"</f>
        <v>#REF!</v>
      </c>
      <c r="HW81" t="e">
        <f>#REF!+"$Cm=!%]n"</f>
        <v>#REF!</v>
      </c>
      <c r="HX81" t="e">
        <f>#REF!+"$Cm=!%]o"</f>
        <v>#REF!</v>
      </c>
      <c r="HY81" t="e">
        <f>#REF!+"$Cm=!%]p"</f>
        <v>#REF!</v>
      </c>
      <c r="HZ81" t="e">
        <f>#REF!+"$Cm=!%]q"</f>
        <v>#REF!</v>
      </c>
      <c r="IA81" t="e">
        <f>#REF!+"$Cm=!%]r"</f>
        <v>#REF!</v>
      </c>
      <c r="IB81" t="e">
        <f>#REF!+"$Cm=!%]s"</f>
        <v>#REF!</v>
      </c>
      <c r="IC81" t="e">
        <f>#REF!+"$Cm=!%]t"</f>
        <v>#REF!</v>
      </c>
      <c r="ID81" t="e">
        <f>#REF!+"$Cm=!%]u"</f>
        <v>#REF!</v>
      </c>
      <c r="IE81" t="e">
        <f>#REF!+"$Cm=!%]v"</f>
        <v>#REF!</v>
      </c>
      <c r="IF81" t="e">
        <f>#REF!+"$Cm=!%]w"</f>
        <v>#REF!</v>
      </c>
      <c r="IG81" t="e">
        <f>#REF!+"$Cm=!%]x"</f>
        <v>#REF!</v>
      </c>
      <c r="IH81" t="e">
        <f>#REF!+"$Cm=!%]y"</f>
        <v>#REF!</v>
      </c>
      <c r="II81" t="e">
        <f>#REF!+"$Cm=!%]z"</f>
        <v>#REF!</v>
      </c>
      <c r="IJ81" t="e">
        <f>#REF!+"$Cm=!%]{"</f>
        <v>#REF!</v>
      </c>
      <c r="IK81" t="e">
        <f>#REF!+"$Cm=!%]|"</f>
        <v>#REF!</v>
      </c>
      <c r="IL81" t="e">
        <f>#REF!+"$Cm=!%]}"</f>
        <v>#REF!</v>
      </c>
      <c r="IM81" t="e">
        <f>#REF!+"$Cm=!%]~"</f>
        <v>#REF!</v>
      </c>
      <c r="IN81" t="e">
        <f>#REF!+"$Cm=!%^#"</f>
        <v>#REF!</v>
      </c>
      <c r="IO81" t="e">
        <f>#REF!+"$Cm=!%^$"</f>
        <v>#REF!</v>
      </c>
      <c r="IP81" t="e">
        <f>#REF!+"$Cm=!%^%"</f>
        <v>#REF!</v>
      </c>
      <c r="IQ81" t="e">
        <f>#REF!+"$Cm=!%^&amp;"</f>
        <v>#REF!</v>
      </c>
      <c r="IR81" t="e">
        <f>#REF!+"$Cm=!%^'"</f>
        <v>#REF!</v>
      </c>
      <c r="IS81" t="e">
        <f>#REF!+"$Cm=!%^("</f>
        <v>#REF!</v>
      </c>
      <c r="IT81" t="e">
        <f>#REF!+"$Cm=!%^)"</f>
        <v>#REF!</v>
      </c>
      <c r="IU81" t="e">
        <f>#REF!+"$Cm=!%^."</f>
        <v>#REF!</v>
      </c>
      <c r="IV81" t="e">
        <f>#REF!+"$Cm=!%^/"</f>
        <v>#REF!</v>
      </c>
    </row>
    <row r="82" spans="6:256">
      <c r="F82" t="e">
        <f>#REF!+"$Cm=!%^0"</f>
        <v>#REF!</v>
      </c>
      <c r="G82" t="e">
        <f>#REF!+"$Cm=!%^1"</f>
        <v>#REF!</v>
      </c>
      <c r="H82" t="e">
        <f>#REF!+"$Cm=!%^2"</f>
        <v>#REF!</v>
      </c>
      <c r="I82" t="e">
        <f>#REF!+"$Cm=!%^3"</f>
        <v>#REF!</v>
      </c>
      <c r="J82" t="e">
        <f>#REF!+"$Cm=!%^4"</f>
        <v>#REF!</v>
      </c>
      <c r="K82" t="e">
        <f>#REF!+"$Cm=!%^5"</f>
        <v>#REF!</v>
      </c>
      <c r="L82" t="e">
        <f>#REF!+"$Cm=!%^6"</f>
        <v>#REF!</v>
      </c>
      <c r="M82" t="e">
        <f>#REF!+"$Cm=!%^7"</f>
        <v>#REF!</v>
      </c>
      <c r="N82" t="e">
        <f>#REF!+"$Cm=!%^8"</f>
        <v>#REF!</v>
      </c>
      <c r="O82" t="e">
        <f>#REF!+"$Cm=!%^9"</f>
        <v>#REF!</v>
      </c>
      <c r="P82" t="e">
        <f>#REF!+"$Cm=!%^:"</f>
        <v>#REF!</v>
      </c>
      <c r="Q82" t="e">
        <f>#REF!+"$Cm=!%^;"</f>
        <v>#REF!</v>
      </c>
      <c r="R82" t="e">
        <f>#REF!+"$Cm=!%^&lt;"</f>
        <v>#REF!</v>
      </c>
      <c r="S82" t="e">
        <f>#REF!+"$Cm=!%^="</f>
        <v>#REF!</v>
      </c>
      <c r="T82" t="e">
        <f>#REF!+"$Cm=!%^&gt;"</f>
        <v>#REF!</v>
      </c>
      <c r="U82" t="e">
        <f>#REF!+"$Cm=!%^?"</f>
        <v>#REF!</v>
      </c>
      <c r="V82" t="e">
        <f>#REF!+"$Cm=!%^@"</f>
        <v>#REF!</v>
      </c>
      <c r="W82" t="e">
        <f>#REF!+"$Cm=!%^A"</f>
        <v>#REF!</v>
      </c>
      <c r="X82" t="e">
        <f>#REF!+"$Cm=!%^B"</f>
        <v>#REF!</v>
      </c>
      <c r="Y82" t="e">
        <f>#REF!+"$Cm=!%^C"</f>
        <v>#REF!</v>
      </c>
      <c r="Z82" t="e">
        <f>#REF!+"$Cm=!%^D"</f>
        <v>#REF!</v>
      </c>
      <c r="AA82" t="e">
        <f>#REF!+"$Cm=!%^E"</f>
        <v>#REF!</v>
      </c>
      <c r="AB82" t="e">
        <f>#REF!+"$Cm=!%^F"</f>
        <v>#REF!</v>
      </c>
      <c r="AC82" t="e">
        <f>#REF!+"$Cm=!%^G"</f>
        <v>#REF!</v>
      </c>
      <c r="AD82" t="e">
        <f>#REF!+"$Cm=!%^H"</f>
        <v>#REF!</v>
      </c>
      <c r="AE82" t="e">
        <f>#REF!+"$Cm=!%^I"</f>
        <v>#REF!</v>
      </c>
      <c r="AF82" t="e">
        <f>#REF!+"$Cm=!%^J"</f>
        <v>#REF!</v>
      </c>
      <c r="AG82" t="e">
        <f>#REF!+"$Cm=!%^K"</f>
        <v>#REF!</v>
      </c>
      <c r="AH82" t="e">
        <f>#REF!+"$Cm=!%^L"</f>
        <v>#REF!</v>
      </c>
      <c r="AI82" t="e">
        <f>#REF!+"$Cm=!%^M"</f>
        <v>#REF!</v>
      </c>
      <c r="AJ82" t="e">
        <f>#REF!+"$Cm=!%^N"</f>
        <v>#REF!</v>
      </c>
      <c r="AK82" t="e">
        <f>#REF!+"$Cm=!%^O"</f>
        <v>#REF!</v>
      </c>
      <c r="AL82" t="e">
        <f>#REF!+"$Cm=!%^P"</f>
        <v>#REF!</v>
      </c>
      <c r="AM82" t="e">
        <f>#REF!+"$Cm=!%^Q"</f>
        <v>#REF!</v>
      </c>
      <c r="AN82" t="e">
        <f>#REF!+"$Cm=!%^R"</f>
        <v>#REF!</v>
      </c>
      <c r="AO82" t="e">
        <f>#REF!+"$Cm=!%^S"</f>
        <v>#REF!</v>
      </c>
      <c r="AP82" t="e">
        <f>#REF!+"$Cm=!%^T"</f>
        <v>#REF!</v>
      </c>
      <c r="AQ82" t="e">
        <f>#REF!+"$Cm=!%^U"</f>
        <v>#REF!</v>
      </c>
      <c r="AR82" t="e">
        <f>#REF!+"$Cm=!%^V"</f>
        <v>#REF!</v>
      </c>
      <c r="AS82" t="e">
        <f>#REF!+"$Cm=!%^W"</f>
        <v>#REF!</v>
      </c>
      <c r="AT82" t="e">
        <f>#REF!+"$Cm=!%^X"</f>
        <v>#REF!</v>
      </c>
      <c r="AU82" t="e">
        <f>#REF!+"$Cm=!%^Y"</f>
        <v>#REF!</v>
      </c>
      <c r="AV82" t="e">
        <f>#REF!+"$Cm=!%^Z"</f>
        <v>#REF!</v>
      </c>
      <c r="AW82" t="e">
        <f>#REF!+"$Cm=!%^["</f>
        <v>#REF!</v>
      </c>
      <c r="AX82" t="e">
        <f>#REF!+"$Cm=!%^\"</f>
        <v>#REF!</v>
      </c>
      <c r="AY82" t="e">
        <f>#REF!+"$Cm=!%^]"</f>
        <v>#REF!</v>
      </c>
      <c r="AZ82" t="e">
        <f>#REF!+"$Cm=!%^^"</f>
        <v>#REF!</v>
      </c>
      <c r="BA82" t="e">
        <f>#REF!+"$Cm=!%^_"</f>
        <v>#REF!</v>
      </c>
      <c r="BB82" t="e">
        <f>#REF!+"$Cm=!%^`"</f>
        <v>#REF!</v>
      </c>
      <c r="BC82" t="e">
        <f>#REF!+"$Cm=!%^a"</f>
        <v>#REF!</v>
      </c>
      <c r="BD82" t="e">
        <f>#REF!+"$Cm=!%^b"</f>
        <v>#REF!</v>
      </c>
      <c r="BE82" t="e">
        <f>#REF!+"$Cm=!%^c"</f>
        <v>#REF!</v>
      </c>
      <c r="BF82" t="e">
        <f>#REF!+"$Cm=!%^d"</f>
        <v>#REF!</v>
      </c>
      <c r="BG82" t="e">
        <f>#REF!+"$Cm=!%^e"</f>
        <v>#REF!</v>
      </c>
      <c r="BH82" t="e">
        <f>#REF!+"$Cm=!%^f"</f>
        <v>#REF!</v>
      </c>
      <c r="BI82" t="e">
        <f>#REF!+"$Cm=!%^g"</f>
        <v>#REF!</v>
      </c>
      <c r="BJ82" t="e">
        <f>#REF!+"$Cm=!%^h"</f>
        <v>#REF!</v>
      </c>
      <c r="BK82" t="e">
        <f>#REF!+"$Cm=!%^i"</f>
        <v>#REF!</v>
      </c>
      <c r="BL82" t="e">
        <f>#REF!+"$Cm=!%^j"</f>
        <v>#REF!</v>
      </c>
      <c r="BM82" t="e">
        <f>#REF!+"$Cm=!%^k"</f>
        <v>#REF!</v>
      </c>
      <c r="BN82" t="e">
        <f>#REF!+"$Cm=!%^l"</f>
        <v>#REF!</v>
      </c>
      <c r="BO82" t="e">
        <f>#REF!+"$Cm=!%^m"</f>
        <v>#REF!</v>
      </c>
      <c r="BP82" t="e">
        <f>#REF!+"$Cm=!%^n"</f>
        <v>#REF!</v>
      </c>
      <c r="BQ82" t="e">
        <f>#REF!+"$Cm=!%^o"</f>
        <v>#REF!</v>
      </c>
      <c r="BR82" t="e">
        <f>#REF!+"$Cm=!%^p"</f>
        <v>#REF!</v>
      </c>
      <c r="BS82" t="e">
        <f>#REF!+"$Cm=!%^q"</f>
        <v>#REF!</v>
      </c>
      <c r="BT82" t="e">
        <f>#REF!+"$Cm=!%^r"</f>
        <v>#REF!</v>
      </c>
      <c r="BU82" t="e">
        <f>#REF!+"$Cm=!%^s"</f>
        <v>#REF!</v>
      </c>
      <c r="BV82" t="e">
        <f>#REF!+"$Cm=!%^t"</f>
        <v>#REF!</v>
      </c>
      <c r="BW82" t="e">
        <f>#REF!+"$Cm=!%^u"</f>
        <v>#REF!</v>
      </c>
      <c r="BX82" t="e">
        <f>#REF!+"$Cm=!%^v"</f>
        <v>#REF!</v>
      </c>
      <c r="BY82" t="e">
        <f>#REF!+"$Cm=!%^w"</f>
        <v>#REF!</v>
      </c>
      <c r="BZ82" t="e">
        <f>#REF!+"$Cm=!%^x"</f>
        <v>#REF!</v>
      </c>
      <c r="CA82" t="e">
        <f>#REF!+"$Cm=!%^y"</f>
        <v>#REF!</v>
      </c>
      <c r="CB82" t="e">
        <f>#REF!+"$Cm=!%^z"</f>
        <v>#REF!</v>
      </c>
      <c r="CC82" t="e">
        <f>#REF!+"$Cm=!%^{"</f>
        <v>#REF!</v>
      </c>
      <c r="CD82" t="e">
        <f>#REF!+"$Cm=!%^|"</f>
        <v>#REF!</v>
      </c>
      <c r="CE82" t="e">
        <f>#REF!+"$Cm=!%^}"</f>
        <v>#REF!</v>
      </c>
      <c r="CF82" t="e">
        <f>#REF!+"$Cm=!%^~"</f>
        <v>#REF!</v>
      </c>
      <c r="CG82" t="e">
        <f>#REF!+"$Cm=!%_#"</f>
        <v>#REF!</v>
      </c>
      <c r="CH82" t="e">
        <f>#REF!+"$Cm=!%_$"</f>
        <v>#REF!</v>
      </c>
      <c r="CI82" t="e">
        <f>#REF!+"$Cm=!%_%"</f>
        <v>#REF!</v>
      </c>
      <c r="CJ82" t="e">
        <f>#REF!+"$Cm=!%_&amp;"</f>
        <v>#REF!</v>
      </c>
      <c r="CK82" t="e">
        <f>#REF!+"$Cm=!%_'"</f>
        <v>#REF!</v>
      </c>
      <c r="CL82" t="e">
        <f>#REF!+"$Cm=!%_("</f>
        <v>#REF!</v>
      </c>
      <c r="CM82" t="e">
        <f>#REF!+"$Cm=!%_)"</f>
        <v>#REF!</v>
      </c>
      <c r="CN82" t="e">
        <f>#REF!+"$Cm=!%_."</f>
        <v>#REF!</v>
      </c>
      <c r="CO82" t="e">
        <f>#REF!+"$Cm=!%_/"</f>
        <v>#REF!</v>
      </c>
      <c r="CP82" t="e">
        <f>#REF!+"$Cm=!%_0"</f>
        <v>#REF!</v>
      </c>
      <c r="CQ82" t="e">
        <f>#REF!+"$Cm=!%_1"</f>
        <v>#REF!</v>
      </c>
      <c r="CR82" t="e">
        <f>#REF!+"$Cm=!%_2"</f>
        <v>#REF!</v>
      </c>
      <c r="CS82" t="e">
        <f>#REF!+"$Cm=!%_3"</f>
        <v>#REF!</v>
      </c>
      <c r="CT82" t="e">
        <f>#REF!+"$Cm=!%_4"</f>
        <v>#REF!</v>
      </c>
      <c r="CU82" t="e">
        <f>#REF!+"$Cm=!%_5"</f>
        <v>#REF!</v>
      </c>
      <c r="CV82" t="e">
        <f>#REF!+"$Cm=!%_6"</f>
        <v>#REF!</v>
      </c>
      <c r="CW82" t="e">
        <f>#REF!+"$Cm=!%_7"</f>
        <v>#REF!</v>
      </c>
      <c r="CX82" t="e">
        <f>#REF!+"$Cm=!%_8"</f>
        <v>#REF!</v>
      </c>
      <c r="CY82" t="e">
        <f>#REF!+"$Cm=!%_9"</f>
        <v>#REF!</v>
      </c>
      <c r="CZ82" t="e">
        <f>#REF!+"$Cm=!%_:"</f>
        <v>#REF!</v>
      </c>
      <c r="DA82" t="e">
        <f>#REF!+"$Cm=!%_;"</f>
        <v>#REF!</v>
      </c>
      <c r="DB82" t="e">
        <f>#REF!+"$Cm=!%_&lt;"</f>
        <v>#REF!</v>
      </c>
      <c r="DC82" t="e">
        <f>#REF!+"$Cm=!%_="</f>
        <v>#REF!</v>
      </c>
      <c r="DD82" t="e">
        <f>#REF!+"$Cm=!%_&gt;"</f>
        <v>#REF!</v>
      </c>
      <c r="DE82" t="e">
        <f>#REF!+"$Cm=!%_?"</f>
        <v>#REF!</v>
      </c>
      <c r="DF82" t="e">
        <f>#REF!+"$Cm=!%_@"</f>
        <v>#REF!</v>
      </c>
      <c r="DG82" t="e">
        <f>#REF!+"$Cm=!%_A"</f>
        <v>#REF!</v>
      </c>
      <c r="DH82" t="e">
        <f>#REF!+"$Cm=!%_B"</f>
        <v>#REF!</v>
      </c>
      <c r="DI82" t="e">
        <f>#REF!+"$Cm=!%_C"</f>
        <v>#REF!</v>
      </c>
      <c r="DJ82" t="e">
        <f>#REF!+"$Cm=!%_D"</f>
        <v>#REF!</v>
      </c>
      <c r="DK82" t="e">
        <f>#REF!+"$Cm=!%_E"</f>
        <v>#REF!</v>
      </c>
      <c r="DL82" t="e">
        <f>#REF!+"$Cm=!%_F"</f>
        <v>#REF!</v>
      </c>
      <c r="DM82" t="e">
        <f>#REF!+"$Cm=!%_G"</f>
        <v>#REF!</v>
      </c>
      <c r="DN82" t="e">
        <f>#REF!+"$Cm=!%_H"</f>
        <v>#REF!</v>
      </c>
      <c r="DO82" t="e">
        <f>#REF!+"$Cm=!%_I"</f>
        <v>#REF!</v>
      </c>
      <c r="DP82" t="e">
        <f>#REF!+"$Cm=!%_J"</f>
        <v>#REF!</v>
      </c>
      <c r="DQ82" t="e">
        <f>#REF!+"$Cm=!%_K"</f>
        <v>#REF!</v>
      </c>
      <c r="DR82" t="e">
        <f>#REF!+"$Cm=!%_L"</f>
        <v>#REF!</v>
      </c>
      <c r="DS82" t="e">
        <f>#REF!+"$Cm=!%_M"</f>
        <v>#REF!</v>
      </c>
      <c r="DT82" t="e">
        <f>#REF!+"$Cm=!%_N"</f>
        <v>#REF!</v>
      </c>
      <c r="DU82" t="e">
        <f>#REF!+"$Cm=!%_O"</f>
        <v>#REF!</v>
      </c>
      <c r="DV82" t="e">
        <f>#REF!+"$Cm=!%_P"</f>
        <v>#REF!</v>
      </c>
      <c r="DW82" t="e">
        <f>#REF!+"$Cm=!%_Q"</f>
        <v>#REF!</v>
      </c>
      <c r="DX82" t="e">
        <f>#REF!+"$Cm=!%_R"</f>
        <v>#REF!</v>
      </c>
      <c r="DY82" t="e">
        <f>#REF!+"$Cm=!%_S"</f>
        <v>#REF!</v>
      </c>
      <c r="DZ82" t="e">
        <f>#REF!+"$Cm=!%_T"</f>
        <v>#REF!</v>
      </c>
      <c r="EA82" t="e">
        <f>#REF!+"$Cm=!%_U"</f>
        <v>#REF!</v>
      </c>
      <c r="EB82" t="e">
        <f>#REF!+"$Cm=!%_V"</f>
        <v>#REF!</v>
      </c>
      <c r="EC82" t="e">
        <f>#REF!+"$Cm=!%_W"</f>
        <v>#REF!</v>
      </c>
      <c r="ED82" t="e">
        <f>#REF!+"$Cm=!%_X"</f>
        <v>#REF!</v>
      </c>
      <c r="EE82" t="e">
        <f>#REF!+"$Cm=!%_Y"</f>
        <v>#REF!</v>
      </c>
      <c r="EF82" t="e">
        <f>#REF!+"$Cm=!%_Z"</f>
        <v>#REF!</v>
      </c>
      <c r="EG82" t="e">
        <f>#REF!+"$Cm=!%_["</f>
        <v>#REF!</v>
      </c>
      <c r="EH82" t="e">
        <f>#REF!+"$Cm=!%_\"</f>
        <v>#REF!</v>
      </c>
      <c r="EI82" t="e">
        <f>#REF!+"$Cm=!%_]"</f>
        <v>#REF!</v>
      </c>
      <c r="EJ82" t="e">
        <f>#REF!+"$Cm=!%_^"</f>
        <v>#REF!</v>
      </c>
      <c r="EK82" t="e">
        <f>#REF!+"$Cm=!%__"</f>
        <v>#REF!</v>
      </c>
      <c r="EL82" t="e">
        <f>#REF!+"$Cm=!%_`"</f>
        <v>#REF!</v>
      </c>
      <c r="EM82" t="e">
        <f>#REF!+"$Cm=!%_a"</f>
        <v>#REF!</v>
      </c>
      <c r="EN82" t="e">
        <f>#REF!+"$Cm=!%_b"</f>
        <v>#REF!</v>
      </c>
      <c r="EO82" t="e">
        <f>#REF!+"$Cm=!%_c"</f>
        <v>#REF!</v>
      </c>
      <c r="EP82" t="e">
        <f>#REF!+"$Cm=!%_d"</f>
        <v>#REF!</v>
      </c>
      <c r="EQ82" t="e">
        <f>#REF!+"$Cm=!%_e"</f>
        <v>#REF!</v>
      </c>
      <c r="ER82" t="e">
        <f>#REF!+"$Cm=!%_f"</f>
        <v>#REF!</v>
      </c>
      <c r="ES82" t="e">
        <f>#REF!+"$Cm=!%_g"</f>
        <v>#REF!</v>
      </c>
      <c r="ET82" t="e">
        <f>#REF!+"$Cm=!%_h"</f>
        <v>#REF!</v>
      </c>
      <c r="EU82" t="e">
        <f>#REF!+"$Cm=!%_i"</f>
        <v>#REF!</v>
      </c>
      <c r="EV82" t="e">
        <f>#REF!+"$Cm=!%_j"</f>
        <v>#REF!</v>
      </c>
      <c r="EW82" t="e">
        <f>#REF!+"$Cm=!%_k"</f>
        <v>#REF!</v>
      </c>
      <c r="EX82" t="e">
        <f>#REF!+"$Cm=!%_l"</f>
        <v>#REF!</v>
      </c>
      <c r="EY82" t="e">
        <f>#REF!+"$Cm=!%_m"</f>
        <v>#REF!</v>
      </c>
      <c r="EZ82" t="e">
        <f>#REF!+"$Cm=!%_n"</f>
        <v>#REF!</v>
      </c>
      <c r="FA82" t="e">
        <f>#REF!+"$Cm=!%_o"</f>
        <v>#REF!</v>
      </c>
      <c r="FB82" t="e">
        <f>#REF!+"$Cm=!%_p"</f>
        <v>#REF!</v>
      </c>
      <c r="FC82" t="e">
        <f>#REF!+"$Cm=!%_q"</f>
        <v>#REF!</v>
      </c>
      <c r="FD82" t="e">
        <f>#REF!+"$Cm=!%_r"</f>
        <v>#REF!</v>
      </c>
      <c r="FE82" t="e">
        <f>#REF!+"$Cm=!%_s"</f>
        <v>#REF!</v>
      </c>
      <c r="FF82" t="e">
        <f>#REF!+"$Cm=!%_t"</f>
        <v>#REF!</v>
      </c>
      <c r="FG82" t="e">
        <f>#REF!+"$Cm=!%_u"</f>
        <v>#REF!</v>
      </c>
      <c r="FH82" t="e">
        <f>#REF!+"$Cm=!%_v"</f>
        <v>#REF!</v>
      </c>
      <c r="FI82" t="e">
        <f>#REF!+"$Cm=!%_w"</f>
        <v>#REF!</v>
      </c>
      <c r="FJ82" t="e">
        <f>#REF!+"$Cm=!%_x"</f>
        <v>#REF!</v>
      </c>
      <c r="FK82" t="e">
        <f>#REF!+"$Cm=!%_y"</f>
        <v>#REF!</v>
      </c>
      <c r="FL82" t="e">
        <f>#REF!+"$Cm=!%_z"</f>
        <v>#REF!</v>
      </c>
      <c r="FM82" t="e">
        <f>#REF!+"$Cm=!%_{"</f>
        <v>#REF!</v>
      </c>
      <c r="FN82" t="e">
        <f>#REF!+"$Cm=!%_|"</f>
        <v>#REF!</v>
      </c>
      <c r="FO82" t="e">
        <f>#REF!+"$Cm=!%_}"</f>
        <v>#REF!</v>
      </c>
      <c r="FP82" t="e">
        <f>#REF!+"$Cm=!%_~"</f>
        <v>#REF!</v>
      </c>
      <c r="FQ82" t="e">
        <f>#REF!+"$Cm=!%`#"</f>
        <v>#REF!</v>
      </c>
      <c r="FR82" t="e">
        <f>#REF!+"$Cm=!%`$"</f>
        <v>#REF!</v>
      </c>
      <c r="FS82" t="e">
        <f>#REF!+"$Cm=!%`%"</f>
        <v>#REF!</v>
      </c>
      <c r="FT82" t="e">
        <f>#REF!+"$Cm=!%`&amp;"</f>
        <v>#REF!</v>
      </c>
      <c r="FU82" t="e">
        <f>#REF!+"$Cm=!%`'"</f>
        <v>#REF!</v>
      </c>
      <c r="FV82" t="e">
        <f>#REF!+"$Cm=!%`("</f>
        <v>#REF!</v>
      </c>
      <c r="FW82" t="e">
        <f>#REF!+"$Cm=!%`)"</f>
        <v>#REF!</v>
      </c>
      <c r="FX82" t="e">
        <f>#REF!+"$Cm=!%`."</f>
        <v>#REF!</v>
      </c>
      <c r="FY82" t="e">
        <f>#REF!+"$Cm=!%`/"</f>
        <v>#REF!</v>
      </c>
      <c r="FZ82" t="e">
        <f>#REF!+"$Cm=!%`0"</f>
        <v>#REF!</v>
      </c>
      <c r="GA82" t="e">
        <f>#REF!+"$Cm=!%`1"</f>
        <v>#REF!</v>
      </c>
      <c r="GB82" t="e">
        <f>#REF!+"$Cm=!%`2"</f>
        <v>#REF!</v>
      </c>
      <c r="GC82" t="e">
        <f>#REF!+"$Cm=!%`3"</f>
        <v>#REF!</v>
      </c>
      <c r="GD82" t="e">
        <f>#REF!+"$Cm=!%`4"</f>
        <v>#REF!</v>
      </c>
      <c r="GE82" t="e">
        <f>#REF!+"$Cm=!%`5"</f>
        <v>#REF!</v>
      </c>
      <c r="GF82" t="e">
        <f>#REF!+"$Cm=!%`6"</f>
        <v>#REF!</v>
      </c>
      <c r="GG82" t="e">
        <f>#REF!+"$Cm=!%`7"</f>
        <v>#REF!</v>
      </c>
      <c r="GH82" t="e">
        <f>#REF!+"$Cm=!%`8"</f>
        <v>#REF!</v>
      </c>
      <c r="GI82" t="e">
        <f>#REF!+"$Cm=!%`9"</f>
        <v>#REF!</v>
      </c>
      <c r="GJ82" t="e">
        <f>#REF!+"$Cm=!%`:"</f>
        <v>#REF!</v>
      </c>
      <c r="GK82" t="e">
        <f>#REF!+"$Cm=!%`;"</f>
        <v>#REF!</v>
      </c>
      <c r="GL82" t="e">
        <f>#REF!+"$Cm=!%`&lt;"</f>
        <v>#REF!</v>
      </c>
      <c r="GM82" t="e">
        <f>#REF!+"$Cm=!%`="</f>
        <v>#REF!</v>
      </c>
      <c r="GN82" t="e">
        <f>#REF!+"$Cm=!%`&gt;"</f>
        <v>#REF!</v>
      </c>
      <c r="GO82" t="e">
        <f>#REF!+"$Cm=!%`?"</f>
        <v>#REF!</v>
      </c>
      <c r="GP82" t="e">
        <f>#REF!+"$Cm=!%`@"</f>
        <v>#REF!</v>
      </c>
      <c r="GQ82" t="e">
        <f>#REF!+"$Cm=!%`A"</f>
        <v>#REF!</v>
      </c>
      <c r="GR82" t="e">
        <f>#REF!+"$Cm=!%`B"</f>
        <v>#REF!</v>
      </c>
      <c r="GS82" t="e">
        <f>#REF!+"$Cm=!%`C"</f>
        <v>#REF!</v>
      </c>
      <c r="GT82" t="e">
        <f>#REF!+"$Cm=!%`D"</f>
        <v>#REF!</v>
      </c>
      <c r="GU82" t="e">
        <f>#REF!+"$Cm=!%`E"</f>
        <v>#REF!</v>
      </c>
      <c r="GV82" t="e">
        <f>#REF!+"$Cm=!%`F"</f>
        <v>#REF!</v>
      </c>
      <c r="GW82" t="e">
        <f>#REF!+"$Cm=!%`G"</f>
        <v>#REF!</v>
      </c>
      <c r="GX82" t="e">
        <f>#REF!+"$Cm=!%`H"</f>
        <v>#REF!</v>
      </c>
      <c r="GY82" t="e">
        <f>#REF!+"$Cm=!%`I"</f>
        <v>#REF!</v>
      </c>
      <c r="GZ82" t="e">
        <f>#REF!+"$Cm=!%`J"</f>
        <v>#REF!</v>
      </c>
      <c r="HA82" t="e">
        <f>#REF!+"$Cm=!%`K"</f>
        <v>#REF!</v>
      </c>
      <c r="HB82" t="e">
        <f>#REF!+"$Cm=!%`L"</f>
        <v>#REF!</v>
      </c>
      <c r="HC82" t="e">
        <f>#REF!+"$Cm=!%`M"</f>
        <v>#REF!</v>
      </c>
      <c r="HD82" t="e">
        <f>#REF!+"$Cm=!%`N"</f>
        <v>#REF!</v>
      </c>
      <c r="HE82" t="e">
        <f>#REF!+"$Cm=!%`O"</f>
        <v>#REF!</v>
      </c>
      <c r="HF82" t="e">
        <f>#REF!+"$Cm=!%`P"</f>
        <v>#REF!</v>
      </c>
      <c r="HG82" t="e">
        <f>#REF!+"$Cm=!%`Q"</f>
        <v>#REF!</v>
      </c>
      <c r="HH82" t="e">
        <f>#REF!+"$Cm=!%`R"</f>
        <v>#REF!</v>
      </c>
      <c r="HI82" t="e">
        <f>#REF!+"$Cm=!%`S"</f>
        <v>#REF!</v>
      </c>
      <c r="HJ82" t="e">
        <f>#REF!+"$Cm=!%`T"</f>
        <v>#REF!</v>
      </c>
      <c r="HK82" t="e">
        <f>#REF!+"$Cm=!%`U"</f>
        <v>#REF!</v>
      </c>
      <c r="HL82" t="e">
        <f>#REF!+"$Cm=!%`V"</f>
        <v>#REF!</v>
      </c>
      <c r="HM82" t="e">
        <f>#REF!+"$Cm=!%`W"</f>
        <v>#REF!</v>
      </c>
      <c r="HN82" t="e">
        <f>#REF!+"$Cm=!%`X"</f>
        <v>#REF!</v>
      </c>
      <c r="HO82" t="e">
        <f>#REF!+"$Cm=!%`Y"</f>
        <v>#REF!</v>
      </c>
      <c r="HP82" t="e">
        <f>#REF!+"$Cm=!%`Z"</f>
        <v>#REF!</v>
      </c>
      <c r="HQ82" t="e">
        <f>#REF!+"$Cm=!%`["</f>
        <v>#REF!</v>
      </c>
      <c r="HR82" t="e">
        <f>#REF!+"$Cm=!%`\"</f>
        <v>#REF!</v>
      </c>
      <c r="HS82" t="e">
        <f>#REF!+"$Cm=!%`]"</f>
        <v>#REF!</v>
      </c>
      <c r="HT82" t="e">
        <f>#REF!+"$Cm=!%`^"</f>
        <v>#REF!</v>
      </c>
      <c r="HU82" t="e">
        <f>#REF!+"$Cm=!%`_"</f>
        <v>#REF!</v>
      </c>
      <c r="HV82" t="e">
        <f>#REF!+"$Cm=!%``"</f>
        <v>#REF!</v>
      </c>
      <c r="HW82" t="e">
        <f>#REF!+"$Cm=!%`a"</f>
        <v>#REF!</v>
      </c>
      <c r="HX82" t="e">
        <f>#REF!+"$Cm=!%`b"</f>
        <v>#REF!</v>
      </c>
      <c r="HY82" t="e">
        <f>#REF!+"$Cm=!%`c"</f>
        <v>#REF!</v>
      </c>
      <c r="HZ82" t="e">
        <f>#REF!+"$Cm=!%`d"</f>
        <v>#REF!</v>
      </c>
      <c r="IA82" t="e">
        <f>#REF!+"$Cm=!%`e"</f>
        <v>#REF!</v>
      </c>
      <c r="IB82" t="e">
        <f>#REF!+"$Cm=!%`f"</f>
        <v>#REF!</v>
      </c>
      <c r="IC82" t="e">
        <f>#REF!+"$Cm=!%`g"</f>
        <v>#REF!</v>
      </c>
      <c r="ID82" t="e">
        <f>#REF!+"$Cm=!%`h"</f>
        <v>#REF!</v>
      </c>
      <c r="IE82" t="e">
        <f>#REF!+"$Cm=!%`i"</f>
        <v>#REF!</v>
      </c>
      <c r="IF82" t="e">
        <f>#REF!+"$Cm=!%`j"</f>
        <v>#REF!</v>
      </c>
      <c r="IG82" t="e">
        <f>#REF!+"$Cm=!%`k"</f>
        <v>#REF!</v>
      </c>
      <c r="IH82" t="e">
        <f>#REF!+"$Cm=!%`l"</f>
        <v>#REF!</v>
      </c>
      <c r="II82" t="e">
        <f>#REF!+"$Cm=!%`m"</f>
        <v>#REF!</v>
      </c>
      <c r="IJ82" t="e">
        <f>#REF!+"$Cm=!%`n"</f>
        <v>#REF!</v>
      </c>
      <c r="IK82" t="e">
        <f>#REF!+"$Cm=!%`o"</f>
        <v>#REF!</v>
      </c>
      <c r="IL82" t="e">
        <f>#REF!+"$Cm=!%`p"</f>
        <v>#REF!</v>
      </c>
      <c r="IM82" t="e">
        <f>#REF!+"$Cm=!%`q"</f>
        <v>#REF!</v>
      </c>
      <c r="IN82" t="e">
        <f>#REF!+"$Cm=!%`r"</f>
        <v>#REF!</v>
      </c>
      <c r="IO82" t="e">
        <f>#REF!+"$Cm=!%`s"</f>
        <v>#REF!</v>
      </c>
      <c r="IP82" t="e">
        <f>#REF!+"$Cm=!%`t"</f>
        <v>#REF!</v>
      </c>
      <c r="IQ82" t="e">
        <f>#REF!+"$Cm=!%`u"</f>
        <v>#REF!</v>
      </c>
      <c r="IR82" t="e">
        <f>#REF!+"$Cm=!%`v"</f>
        <v>#REF!</v>
      </c>
      <c r="IS82" t="e">
        <f>#REF!+"$Cm=!%`w"</f>
        <v>#REF!</v>
      </c>
      <c r="IT82" t="e">
        <f>#REF!+"$Cm=!%`x"</f>
        <v>#REF!</v>
      </c>
      <c r="IU82" t="e">
        <f>#REF!+"$Cm=!%`y"</f>
        <v>#REF!</v>
      </c>
      <c r="IV82" t="e">
        <f>#REF!+"$Cm=!%`z"</f>
        <v>#REF!</v>
      </c>
    </row>
    <row r="83" spans="6:256">
      <c r="F83" t="e">
        <f>#REF!+"$Cm=!%`{"</f>
        <v>#REF!</v>
      </c>
      <c r="G83" t="e">
        <f>#REF!+"$Cm=!%`|"</f>
        <v>#REF!</v>
      </c>
      <c r="H83" t="e">
        <f>#REF!+"$Cm=!%`}"</f>
        <v>#REF!</v>
      </c>
      <c r="I83" t="e">
        <f>#REF!+"$Cm=!%`~"</f>
        <v>#REF!</v>
      </c>
      <c r="J83" t="e">
        <f>#REF!+"$Cm=!%a#"</f>
        <v>#REF!</v>
      </c>
      <c r="K83" t="e">
        <f>#REF!+"$Cm=!%a$"</f>
        <v>#REF!</v>
      </c>
      <c r="L83" t="e">
        <f>#REF!+"$Cm=!%a%"</f>
        <v>#REF!</v>
      </c>
      <c r="M83" t="e">
        <f>#REF!+"$Cm=!%a&amp;"</f>
        <v>#REF!</v>
      </c>
      <c r="N83" t="e">
        <f>#REF!+"$Cm=!%a'"</f>
        <v>#REF!</v>
      </c>
      <c r="O83" t="e">
        <f>#REF!+"$Cm=!%a("</f>
        <v>#REF!</v>
      </c>
      <c r="P83" t="e">
        <f>#REF!+"$Cm=!%a)"</f>
        <v>#REF!</v>
      </c>
      <c r="Q83" t="e">
        <f>#REF!+"$Cm=!%a."</f>
        <v>#REF!</v>
      </c>
      <c r="R83" t="e">
        <f>#REF!+"$Cm=!%a/"</f>
        <v>#REF!</v>
      </c>
      <c r="S83" t="e">
        <f>#REF!+"$Cm=!%a0"</f>
        <v>#REF!</v>
      </c>
      <c r="T83" t="e">
        <f>#REF!+"$Cm=!%a1"</f>
        <v>#REF!</v>
      </c>
      <c r="U83" t="e">
        <f>#REF!+"$Cm=!%a2"</f>
        <v>#REF!</v>
      </c>
      <c r="V83" t="e">
        <f>#REF!+"$Cm=!%a3"</f>
        <v>#REF!</v>
      </c>
      <c r="W83" t="e">
        <f>#REF!+"$Cm=!%a4"</f>
        <v>#REF!</v>
      </c>
      <c r="X83" t="e">
        <f>#REF!+"$Cm=!%a5"</f>
        <v>#REF!</v>
      </c>
      <c r="Y83" t="e">
        <f>#REF!+"$Cm=!%a6"</f>
        <v>#REF!</v>
      </c>
      <c r="Z83" t="e">
        <f>#REF!+"$Cm=!%a7"</f>
        <v>#REF!</v>
      </c>
      <c r="AA83" t="e">
        <f>#REF!+"$Cm=!%a8"</f>
        <v>#REF!</v>
      </c>
      <c r="AB83" t="e">
        <f>#REF!+"$Cm=!%a9"</f>
        <v>#REF!</v>
      </c>
      <c r="AC83" t="e">
        <f>#REF!+"$Cm=!%a:"</f>
        <v>#REF!</v>
      </c>
      <c r="AD83" t="e">
        <f>#REF!+"$Cm=!%a;"</f>
        <v>#REF!</v>
      </c>
      <c r="AE83" t="e">
        <f>#REF!+"$Cm=!%a&lt;"</f>
        <v>#REF!</v>
      </c>
      <c r="AF83" t="e">
        <f>#REF!+"$Cm=!%a="</f>
        <v>#REF!</v>
      </c>
      <c r="AG83" t="e">
        <f>#REF!+"$Cm=!%a&gt;"</f>
        <v>#REF!</v>
      </c>
      <c r="AH83" t="e">
        <f>#REF!+"$Cm=!%a?"</f>
        <v>#REF!</v>
      </c>
      <c r="AI83" t="e">
        <f>#REF!+"$Cm=!%a@"</f>
        <v>#REF!</v>
      </c>
      <c r="AJ83" t="e">
        <f>#REF!+"$Cm=!%aA"</f>
        <v>#REF!</v>
      </c>
      <c r="AK83" t="e">
        <f>#REF!+"$Cm=!%aB"</f>
        <v>#REF!</v>
      </c>
      <c r="AL83" t="e">
        <f>#REF!+"$Cm=!%aC"</f>
        <v>#REF!</v>
      </c>
      <c r="AM83" t="e">
        <f>#REF!+"$Cm=!%aD"</f>
        <v>#REF!</v>
      </c>
      <c r="AN83" t="e">
        <f>#REF!+"$Cm=!%aE"</f>
        <v>#REF!</v>
      </c>
      <c r="AO83" t="e">
        <f>#REF!+"$Cm=!%aF"</f>
        <v>#REF!</v>
      </c>
      <c r="AP83" t="e">
        <f>#REF!+"$Cm=!%aG"</f>
        <v>#REF!</v>
      </c>
      <c r="AQ83" t="e">
        <f>#REF!+"$Cm=!%aH"</f>
        <v>#REF!</v>
      </c>
      <c r="AR83" t="e">
        <f>#REF!+"$Cm=!%aI"</f>
        <v>#REF!</v>
      </c>
      <c r="AS83" t="e">
        <f>#REF!+"$Cm=!%aJ"</f>
        <v>#REF!</v>
      </c>
      <c r="AT83" t="e">
        <f>#REF!+"$Cm=!%aK"</f>
        <v>#REF!</v>
      </c>
      <c r="AU83" t="e">
        <f>#REF!+"$Cm=!%aL"</f>
        <v>#REF!</v>
      </c>
      <c r="AV83" t="e">
        <f>#REF!+"$Cm=!%aM"</f>
        <v>#REF!</v>
      </c>
      <c r="AW83" t="e">
        <f>#REF!+"$Cm=!%aN"</f>
        <v>#REF!</v>
      </c>
      <c r="AX83" t="e">
        <f>#REF!+"$Cm=!%aO"</f>
        <v>#REF!</v>
      </c>
      <c r="AY83" t="e">
        <f>#REF!+"$Cm=!%aP"</f>
        <v>#REF!</v>
      </c>
      <c r="AZ83" t="e">
        <f>#REF!+"$Cm=!%aQ"</f>
        <v>#REF!</v>
      </c>
      <c r="BA83" t="e">
        <f>#REF!+"$Cm=!%aR"</f>
        <v>#REF!</v>
      </c>
      <c r="BB83" t="e">
        <f>#REF!+"$Cm=!%aS"</f>
        <v>#REF!</v>
      </c>
      <c r="BC83" t="e">
        <f>#REF!+"$Cm=!%aT"</f>
        <v>#REF!</v>
      </c>
      <c r="BD83" t="e">
        <f>#REF!+"$Cm=!%aU"</f>
        <v>#REF!</v>
      </c>
      <c r="BE83" t="e">
        <f>#REF!+"$Cm=!%aV"</f>
        <v>#REF!</v>
      </c>
      <c r="BF83" t="e">
        <f>#REF!+"$Cm=!%aW"</f>
        <v>#REF!</v>
      </c>
      <c r="BG83" t="e">
        <f>#REF!+"$Cm=!%aX"</f>
        <v>#REF!</v>
      </c>
      <c r="BH83" t="e">
        <f>#REF!+"$Cm=!%aY"</f>
        <v>#REF!</v>
      </c>
      <c r="BI83" t="e">
        <f>#REF!+"$Cm=!%aZ"</f>
        <v>#REF!</v>
      </c>
      <c r="BJ83" t="e">
        <f>#REF!+"$Cm=!%a["</f>
        <v>#REF!</v>
      </c>
      <c r="BK83" t="e">
        <f>#REF!+"$Cm=!%a\"</f>
        <v>#REF!</v>
      </c>
      <c r="BL83" t="e">
        <f>#REF!+"$Cm=!%a]"</f>
        <v>#REF!</v>
      </c>
      <c r="BM83" t="e">
        <f>#REF!+"$Cm=!%a^"</f>
        <v>#REF!</v>
      </c>
      <c r="BN83" t="e">
        <f>#REF!+"$Cm=!%a_"</f>
        <v>#REF!</v>
      </c>
      <c r="BO83" t="e">
        <f>#REF!+"$Cm=!%a`"</f>
        <v>#REF!</v>
      </c>
      <c r="BP83" t="e">
        <f>#REF!+"$Cm=!%aa"</f>
        <v>#REF!</v>
      </c>
      <c r="BQ83" t="e">
        <f>#REF!+"$Cm=!%ab"</f>
        <v>#REF!</v>
      </c>
      <c r="BR83" t="e">
        <f>#REF!+"$Cm=!%ac"</f>
        <v>#REF!</v>
      </c>
      <c r="BS83" t="e">
        <f>#REF!+"$Cm=!%ad"</f>
        <v>#REF!</v>
      </c>
      <c r="BT83" t="e">
        <f>#REF!+"$Cm=!%ae"</f>
        <v>#REF!</v>
      </c>
      <c r="BU83" t="e">
        <f>#REF!+"$Cm=!%af"</f>
        <v>#REF!</v>
      </c>
      <c r="BV83" t="e">
        <f>#REF!+"$Cm=!%ag"</f>
        <v>#REF!</v>
      </c>
      <c r="BW83" t="e">
        <f>#REF!+"$Cm=!%ah"</f>
        <v>#REF!</v>
      </c>
      <c r="BX83" t="e">
        <f>#REF!+"$Cm=!%ai"</f>
        <v>#REF!</v>
      </c>
      <c r="BY83" t="e">
        <f>#REF!+"$Cm=!%aj"</f>
        <v>#REF!</v>
      </c>
      <c r="BZ83" t="e">
        <f>#REF!+"$Cm=!%ak"</f>
        <v>#REF!</v>
      </c>
      <c r="CA83" t="e">
        <f>#REF!+"$Cm=!%al"</f>
        <v>#REF!</v>
      </c>
      <c r="CB83" t="e">
        <f>#REF!+"$Cm=!%am"</f>
        <v>#REF!</v>
      </c>
      <c r="CC83" t="e">
        <f>#REF!+"$Cm=!%an"</f>
        <v>#REF!</v>
      </c>
      <c r="CD83" t="e">
        <f>#REF!+"$Cm=!%ao"</f>
        <v>#REF!</v>
      </c>
      <c r="CE83" t="e">
        <f>#REF!+"$Cm=!%ap"</f>
        <v>#REF!</v>
      </c>
      <c r="CF83" t="e">
        <f>#REF!+"$Cm=!%aq"</f>
        <v>#REF!</v>
      </c>
      <c r="CG83" t="e">
        <f>#REF!+"$Cm=!%ar"</f>
        <v>#REF!</v>
      </c>
      <c r="CH83" t="e">
        <f>#REF!+"$Cm=!%as"</f>
        <v>#REF!</v>
      </c>
      <c r="CI83" t="e">
        <f>#REF!+"$Cm=!%at"</f>
        <v>#REF!</v>
      </c>
      <c r="CJ83" t="e">
        <f>#REF!+"$Cm=!%au"</f>
        <v>#REF!</v>
      </c>
      <c r="CK83" t="e">
        <f>#REF!+"$Cm=!%av"</f>
        <v>#REF!</v>
      </c>
      <c r="CL83" t="e">
        <f>#REF!+"$Cm=!%aw"</f>
        <v>#REF!</v>
      </c>
      <c r="CM83" t="e">
        <f>#REF!+"$Cm=!%ax"</f>
        <v>#REF!</v>
      </c>
      <c r="CN83" t="e">
        <f>#REF!+"$Cm=!%ay"</f>
        <v>#REF!</v>
      </c>
      <c r="CO83" t="e">
        <f>#REF!+"$Cm=!%az"</f>
        <v>#REF!</v>
      </c>
      <c r="CP83" t="e">
        <f>#REF!+"$Cm=!%a{"</f>
        <v>#REF!</v>
      </c>
      <c r="CQ83" t="e">
        <f>#REF!+"$Cm=!%a|"</f>
        <v>#REF!</v>
      </c>
      <c r="CR83" t="e">
        <f>#REF!+"$Cm=!%a}"</f>
        <v>#REF!</v>
      </c>
      <c r="CS83" t="e">
        <f>#REF!+"$Cm=!%a~"</f>
        <v>#REF!</v>
      </c>
      <c r="CT83" t="e">
        <f>#REF!+"$Cm=!%b#"</f>
        <v>#REF!</v>
      </c>
      <c r="CU83" t="e">
        <f>#REF!+"$Cm=!%b$"</f>
        <v>#REF!</v>
      </c>
      <c r="CV83" t="e">
        <f>#REF!+"$Cm=!%b%"</f>
        <v>#REF!</v>
      </c>
      <c r="CW83" t="e">
        <f>#REF!+"$Cm=!%b&amp;"</f>
        <v>#REF!</v>
      </c>
      <c r="CX83" t="e">
        <f>#REF!+"$Cm=!%b'"</f>
        <v>#REF!</v>
      </c>
      <c r="CY83" t="e">
        <f>#REF!+"$Cm=!%b("</f>
        <v>#REF!</v>
      </c>
      <c r="CZ83" t="e">
        <f>#REF!+"$Cm=!%b)"</f>
        <v>#REF!</v>
      </c>
      <c r="DA83" t="e">
        <f>#REF!+"$Cm=!%b."</f>
        <v>#REF!</v>
      </c>
      <c r="DB83" t="e">
        <f>#REF!+"$Cm=!%b/"</f>
        <v>#REF!</v>
      </c>
      <c r="DC83" t="e">
        <f>#REF!+"$Cm=!%b0"</f>
        <v>#REF!</v>
      </c>
      <c r="DD83" t="e">
        <f>#REF!+"$Cm=!%b1"</f>
        <v>#REF!</v>
      </c>
      <c r="DE83" t="e">
        <f>#REF!+"$Cm=!%b2"</f>
        <v>#REF!</v>
      </c>
      <c r="DF83" t="e">
        <f>#REF!+"$Cm=!%b3"</f>
        <v>#REF!</v>
      </c>
      <c r="DG83" t="e">
        <f>#REF!+"$Cm=!%b4"</f>
        <v>#REF!</v>
      </c>
      <c r="DH83" t="e">
        <f>#REF!+"$Cm=!%b5"</f>
        <v>#REF!</v>
      </c>
      <c r="DI83" t="e">
        <f>#REF!+"$Cm=!%b6"</f>
        <v>#REF!</v>
      </c>
      <c r="DJ83" t="e">
        <f>#REF!+"$Cm=!%b7"</f>
        <v>#REF!</v>
      </c>
      <c r="DK83" t="e">
        <f>#REF!+"$Cm=!%b8"</f>
        <v>#REF!</v>
      </c>
      <c r="DL83" t="e">
        <f>#REF!+"$Cm=!%b9"</f>
        <v>#REF!</v>
      </c>
      <c r="DM83" t="e">
        <f>#REF!+"$Cm=!%b:"</f>
        <v>#REF!</v>
      </c>
      <c r="DN83" t="e">
        <f>#REF!+"$Cm=!%b;"</f>
        <v>#REF!</v>
      </c>
      <c r="DO83" t="e">
        <f>#REF!+"$Cm=!%b&lt;"</f>
        <v>#REF!</v>
      </c>
      <c r="DP83" t="e">
        <f>#REF!+"$Cm=!%b="</f>
        <v>#REF!</v>
      </c>
      <c r="DQ83" t="e">
        <f>#REF!+"$Cm=!%b&gt;"</f>
        <v>#REF!</v>
      </c>
      <c r="DR83" t="e">
        <f>#REF!+"$Cm=!%b?"</f>
        <v>#REF!</v>
      </c>
      <c r="DS83" t="e">
        <f>#REF!+"$Cm=!%b@"</f>
        <v>#REF!</v>
      </c>
      <c r="DT83" t="e">
        <f>#REF!+"$Cm=!%bA"</f>
        <v>#REF!</v>
      </c>
      <c r="DU83" t="e">
        <f>#REF!+"$Cm=!%bB"</f>
        <v>#REF!</v>
      </c>
      <c r="DV83" t="e">
        <f>#REF!+"$Cm=!%bC"</f>
        <v>#REF!</v>
      </c>
      <c r="DW83" t="e">
        <f>#REF!+"$Cm=!%bD"</f>
        <v>#REF!</v>
      </c>
      <c r="DX83" t="e">
        <f>#REF!+"$Cm=!%bE"</f>
        <v>#REF!</v>
      </c>
      <c r="DY83" t="e">
        <f>#REF!+"$Cm=!%bF"</f>
        <v>#REF!</v>
      </c>
      <c r="DZ83" t="e">
        <f>#REF!+"$Cm=!%bG"</f>
        <v>#REF!</v>
      </c>
      <c r="EA83" t="e">
        <f>#REF!+"$Cm=!%bH"</f>
        <v>#REF!</v>
      </c>
      <c r="EB83" t="e">
        <f>#REF!+"$Cm=!%bI"</f>
        <v>#REF!</v>
      </c>
      <c r="EC83" t="e">
        <f>#REF!+"$Cm=!%bJ"</f>
        <v>#REF!</v>
      </c>
      <c r="ED83" t="e">
        <f>#REF!+"$Cm=!%bK"</f>
        <v>#REF!</v>
      </c>
      <c r="EE83" t="e">
        <f>#REF!+"$Cm=!%bL"</f>
        <v>#REF!</v>
      </c>
      <c r="EF83" t="e">
        <f>#REF!+"$Cm=!%bM"</f>
        <v>#REF!</v>
      </c>
      <c r="EG83" t="e">
        <f>#REF!+"$Cm=!%bN"</f>
        <v>#REF!</v>
      </c>
      <c r="EH83" t="e">
        <f>#REF!+"$Cm=!%bO"</f>
        <v>#REF!</v>
      </c>
      <c r="EI83" t="e">
        <f>#REF!+"$Cm=!%bP"</f>
        <v>#REF!</v>
      </c>
      <c r="EJ83" t="e">
        <f>#REF!+"$Cm=!%bQ"</f>
        <v>#REF!</v>
      </c>
      <c r="EK83" t="e">
        <f>#REF!+"$Cm=!%bR"</f>
        <v>#REF!</v>
      </c>
      <c r="EL83" t="e">
        <f>#REF!+"$Cm=!%bS"</f>
        <v>#REF!</v>
      </c>
      <c r="EM83" t="e">
        <f>#REF!+"$Cm=!%bT"</f>
        <v>#REF!</v>
      </c>
      <c r="EN83" t="e">
        <f>#REF!+"$Cm=!%bU"</f>
        <v>#REF!</v>
      </c>
      <c r="EO83" t="e">
        <f>#REF!+"$Cm=!%bV"</f>
        <v>#REF!</v>
      </c>
      <c r="EP83" t="e">
        <f>#REF!+"$Cm=!%bW"</f>
        <v>#REF!</v>
      </c>
      <c r="EQ83" t="e">
        <f>#REF!+"$Cm=!%bX"</f>
        <v>#REF!</v>
      </c>
      <c r="ER83" t="e">
        <f>#REF!+"$Cm=!%bY"</f>
        <v>#REF!</v>
      </c>
      <c r="ES83" t="e">
        <f>#REF!+"$Cm=!%bZ"</f>
        <v>#REF!</v>
      </c>
      <c r="ET83" t="e">
        <f>#REF!+"$Cm=!%b["</f>
        <v>#REF!</v>
      </c>
      <c r="EU83" t="e">
        <f>#REF!+"$Cm=!%b\"</f>
        <v>#REF!</v>
      </c>
      <c r="EV83" t="e">
        <f>#REF!+"$Cm=!%b]"</f>
        <v>#REF!</v>
      </c>
      <c r="EW83" t="e">
        <f>#REF!+"$Cm=!%b^"</f>
        <v>#REF!</v>
      </c>
      <c r="EX83" t="e">
        <f>#REF!+"$Cm=!%b_"</f>
        <v>#REF!</v>
      </c>
      <c r="EY83" t="e">
        <f>#REF!+"$Cm=!%b`"</f>
        <v>#REF!</v>
      </c>
      <c r="EZ83" t="e">
        <f>#REF!+"$Cm=!%ba"</f>
        <v>#REF!</v>
      </c>
      <c r="FA83" t="e">
        <f>#REF!+"$Cm=!%bb"</f>
        <v>#REF!</v>
      </c>
      <c r="FB83" t="e">
        <f>#REF!+"$Cm=!%bc"</f>
        <v>#REF!</v>
      </c>
      <c r="FC83" t="e">
        <f>#REF!+"$Cm=!%bd"</f>
        <v>#REF!</v>
      </c>
      <c r="FD83" t="e">
        <f>#REF!+"$Cm=!%be"</f>
        <v>#REF!</v>
      </c>
      <c r="FE83" t="e">
        <f>#REF!+"$Cm=!%bf"</f>
        <v>#REF!</v>
      </c>
      <c r="FF83" t="e">
        <f>#REF!+"$Cm=!%bg"</f>
        <v>#REF!</v>
      </c>
      <c r="FG83" t="e">
        <f>#REF!+"$Cm=!%bh"</f>
        <v>#REF!</v>
      </c>
      <c r="FH83" t="e">
        <f>#REF!+"$Cm=!%bi"</f>
        <v>#REF!</v>
      </c>
      <c r="FI83" t="e">
        <f>#REF!+"$Cm=!%bj"</f>
        <v>#REF!</v>
      </c>
      <c r="FJ83" t="e">
        <f>#REF!+"$Cm=!%bk"</f>
        <v>#REF!</v>
      </c>
      <c r="FK83" t="e">
        <f>#REF!+"$Cm=!%bl"</f>
        <v>#REF!</v>
      </c>
      <c r="FL83" t="e">
        <f>#REF!+"$Cm=!%bm"</f>
        <v>#REF!</v>
      </c>
      <c r="FM83" t="e">
        <f>#REF!+"$Cm=!%bn"</f>
        <v>#REF!</v>
      </c>
      <c r="FN83" t="e">
        <f>#REF!+"$Cm=!%bo"</f>
        <v>#REF!</v>
      </c>
      <c r="FO83" t="e">
        <f>#REF!+"$Cm=!%bp"</f>
        <v>#REF!</v>
      </c>
      <c r="FP83" t="e">
        <f>#REF!+"$Cm=!%bq"</f>
        <v>#REF!</v>
      </c>
      <c r="FQ83" t="e">
        <f>#REF!+"$Cm=!%br"</f>
        <v>#REF!</v>
      </c>
      <c r="FR83" t="e">
        <f>#REF!+"$Cm=!%bs"</f>
        <v>#REF!</v>
      </c>
      <c r="FS83" t="e">
        <f>#REF!+"$Cm=!%bt"</f>
        <v>#REF!</v>
      </c>
      <c r="FT83" t="e">
        <f>#REF!+"$Cm=!%bu"</f>
        <v>#REF!</v>
      </c>
      <c r="FU83" t="e">
        <f>#REF!+"$Cm=!%bv"</f>
        <v>#REF!</v>
      </c>
      <c r="FV83" t="e">
        <f>#REF!+"$Cm=!%bw"</f>
        <v>#REF!</v>
      </c>
      <c r="FW83" t="e">
        <f>#REF!+"$Cm=!%bx"</f>
        <v>#REF!</v>
      </c>
      <c r="FX83" t="e">
        <f>#REF!+"$Cm=!%by"</f>
        <v>#REF!</v>
      </c>
      <c r="FY83" t="e">
        <f>#REF!+"$Cm=!%bz"</f>
        <v>#REF!</v>
      </c>
      <c r="FZ83" t="e">
        <f>#REF!+"$Cm=!%b{"</f>
        <v>#REF!</v>
      </c>
      <c r="GA83" t="e">
        <f>#REF!+"$Cm=!%b|"</f>
        <v>#REF!</v>
      </c>
      <c r="GB83" t="e">
        <f>#REF!+"$Cm=!%b}"</f>
        <v>#REF!</v>
      </c>
      <c r="GC83" t="e">
        <f>#REF!+"$Cm=!%b~"</f>
        <v>#REF!</v>
      </c>
      <c r="GD83" t="e">
        <f>#REF!+"$Cm=!%c#"</f>
        <v>#REF!</v>
      </c>
      <c r="GE83" t="e">
        <f>#REF!+"$Cm=!%c$"</f>
        <v>#REF!</v>
      </c>
      <c r="GF83" t="e">
        <f>#REF!+"$Cm=!%c%"</f>
        <v>#REF!</v>
      </c>
      <c r="GG83" t="e">
        <f>#REF!+"$Cm=!%c&amp;"</f>
        <v>#REF!</v>
      </c>
      <c r="GH83" t="e">
        <f>#REF!+"$Cm=!%c'"</f>
        <v>#REF!</v>
      </c>
      <c r="GI83" t="e">
        <f>#REF!+"$Cm=!%c("</f>
        <v>#REF!</v>
      </c>
      <c r="GJ83" t="e">
        <f>#REF!+"$Cm=!%c)"</f>
        <v>#REF!</v>
      </c>
      <c r="GK83" t="e">
        <f>#REF!+"$Cm=!%c."</f>
        <v>#REF!</v>
      </c>
      <c r="GL83" t="e">
        <f>#REF!+"$Cm=!%c/"</f>
        <v>#REF!</v>
      </c>
      <c r="GM83" t="e">
        <f>#REF!+"$Cm=!%c0"</f>
        <v>#REF!</v>
      </c>
      <c r="GN83" t="e">
        <f>#REF!+"$Cm=!%c1"</f>
        <v>#REF!</v>
      </c>
      <c r="GO83" t="e">
        <f>#REF!+"$Cm=!%c2"</f>
        <v>#REF!</v>
      </c>
      <c r="GP83" t="e">
        <f>#REF!+"$Cm=!%c3"</f>
        <v>#REF!</v>
      </c>
      <c r="GQ83" t="e">
        <f>#REF!+"$Cm=!%c4"</f>
        <v>#REF!</v>
      </c>
      <c r="GR83" t="e">
        <f>#REF!+"$Cm=!%c5"</f>
        <v>#REF!</v>
      </c>
      <c r="GS83" t="e">
        <f>#REF!+"$Cm=!%c6"</f>
        <v>#REF!</v>
      </c>
      <c r="GT83" t="e">
        <f>#REF!+"$Cm=!%c7"</f>
        <v>#REF!</v>
      </c>
      <c r="GU83" t="e">
        <f>#REF!+"$Cm=!%c8"</f>
        <v>#REF!</v>
      </c>
      <c r="GV83" t="e">
        <f>#REF!+"$Cm=!%c9"</f>
        <v>#REF!</v>
      </c>
      <c r="GW83" t="e">
        <f>#REF!+"$Cm=!%c:"</f>
        <v>#REF!</v>
      </c>
      <c r="GX83" t="e">
        <f>#REF!+"$Cm=!%c;"</f>
        <v>#REF!</v>
      </c>
      <c r="GY83" t="e">
        <f>#REF!+"$Cm=!%c&lt;"</f>
        <v>#REF!</v>
      </c>
      <c r="GZ83" t="e">
        <f>#REF!+"$Cm=!%c="</f>
        <v>#REF!</v>
      </c>
      <c r="HA83" t="e">
        <f>#REF!+"$Cm=!%c&gt;"</f>
        <v>#REF!</v>
      </c>
      <c r="HB83" t="e">
        <f>#REF!+"$Cm=!%c?"</f>
        <v>#REF!</v>
      </c>
      <c r="HC83" t="e">
        <f>#REF!+"$Cm=!%c@"</f>
        <v>#REF!</v>
      </c>
      <c r="HD83" t="e">
        <f>#REF!+"$Cm=!%cA"</f>
        <v>#REF!</v>
      </c>
      <c r="HE83" t="e">
        <f>#REF!+"$Cm=!%cB"</f>
        <v>#REF!</v>
      </c>
      <c r="HF83" t="e">
        <f>#REF!+"$Cm=!%cC"</f>
        <v>#REF!</v>
      </c>
      <c r="HG83" t="e">
        <f>#REF!+"$Cm=!%cD"</f>
        <v>#REF!</v>
      </c>
      <c r="HH83" t="e">
        <f>#REF!+"$Cm=!%cE"</f>
        <v>#REF!</v>
      </c>
      <c r="HI83" t="e">
        <f>#REF!+"$Cm=!%cF"</f>
        <v>#REF!</v>
      </c>
      <c r="HJ83" t="e">
        <f>#REF!+"$Cm=!%cG"</f>
        <v>#REF!</v>
      </c>
      <c r="HK83" t="e">
        <f>#REF!+"$Cm=!%cH"</f>
        <v>#REF!</v>
      </c>
      <c r="HL83" t="e">
        <f>#REF!+"$Cm=!%cI"</f>
        <v>#REF!</v>
      </c>
      <c r="HM83" t="e">
        <f>#REF!+"$Cm=!%cJ"</f>
        <v>#REF!</v>
      </c>
      <c r="HN83" t="e">
        <f>#REF!+"$Cm=!%cK"</f>
        <v>#REF!</v>
      </c>
      <c r="HO83" t="e">
        <f>#REF!+"$Cm=!%cL"</f>
        <v>#REF!</v>
      </c>
      <c r="HP83" t="e">
        <f>#REF!+"$Cm=!%cM"</f>
        <v>#REF!</v>
      </c>
      <c r="HQ83" t="e">
        <f>#REF!+"$Cm=!%cN"</f>
        <v>#REF!</v>
      </c>
      <c r="HR83" t="e">
        <f>#REF!+"$Cm=!%cO"</f>
        <v>#REF!</v>
      </c>
      <c r="HS83" t="e">
        <f>#REF!+"$Cm=!%cP"</f>
        <v>#REF!</v>
      </c>
      <c r="HT83" t="e">
        <f>#REF!+"$Cm=!%cQ"</f>
        <v>#REF!</v>
      </c>
      <c r="HU83" t="e">
        <f>#REF!+"$Cm=!%cR"</f>
        <v>#REF!</v>
      </c>
      <c r="HV83" t="e">
        <f>#REF!+"$Cm=!%cS"</f>
        <v>#REF!</v>
      </c>
      <c r="HW83" t="e">
        <f>#REF!+"$Cm=!%cT"</f>
        <v>#REF!</v>
      </c>
      <c r="HX83" t="e">
        <f>#REF!+"$Cm=!%cU"</f>
        <v>#REF!</v>
      </c>
      <c r="HY83" t="e">
        <f>#REF!+"$Cm=!%cV"</f>
        <v>#REF!</v>
      </c>
      <c r="HZ83" t="e">
        <f>#REF!+"$Cm=!%cW"</f>
        <v>#REF!</v>
      </c>
      <c r="IA83" t="e">
        <f>#REF!+"$Cm=!%cX"</f>
        <v>#REF!</v>
      </c>
      <c r="IB83" t="e">
        <f>#REF!+"$Cm=!%cY"</f>
        <v>#REF!</v>
      </c>
      <c r="IC83" t="e">
        <f>#REF!+"$Cm=!%cZ"</f>
        <v>#REF!</v>
      </c>
      <c r="ID83" t="e">
        <f>#REF!+"$Cm=!%c["</f>
        <v>#REF!</v>
      </c>
      <c r="IE83" t="e">
        <f>#REF!+"$Cm=!%c\"</f>
        <v>#REF!</v>
      </c>
      <c r="IF83" t="e">
        <f>#REF!+"$Cm=!%c]"</f>
        <v>#REF!</v>
      </c>
      <c r="IG83" t="e">
        <f>#REF!+"$Cm=!%c^"</f>
        <v>#REF!</v>
      </c>
      <c r="IH83" t="e">
        <f>#REF!+"$Cm=!%c_"</f>
        <v>#REF!</v>
      </c>
      <c r="II83" t="e">
        <f>#REF!+"$Cm=!%c`"</f>
        <v>#REF!</v>
      </c>
      <c r="IJ83" t="e">
        <f>#REF!+"$Cm=!%ca"</f>
        <v>#REF!</v>
      </c>
      <c r="IK83" t="e">
        <f>#REF!+"$Cm=!%cb"</f>
        <v>#REF!</v>
      </c>
      <c r="IL83" t="e">
        <f>#REF!+"$Cm=!%cc"</f>
        <v>#REF!</v>
      </c>
      <c r="IM83" t="e">
        <f>#REF!+"$Cm=!%cd"</f>
        <v>#REF!</v>
      </c>
      <c r="IN83" t="e">
        <f>#REF!+"$Cm=!%ce"</f>
        <v>#REF!</v>
      </c>
      <c r="IO83" t="e">
        <f>#REF!+"$Cm=!%cf"</f>
        <v>#REF!</v>
      </c>
      <c r="IP83" t="e">
        <f>#REF!+"$Cm=!%cg"</f>
        <v>#REF!</v>
      </c>
      <c r="IQ83" t="e">
        <f>#REF!+"$Cm=!%ch"</f>
        <v>#REF!</v>
      </c>
      <c r="IR83" t="e">
        <f>#REF!+"$Cm=!%ci"</f>
        <v>#REF!</v>
      </c>
      <c r="IS83" t="e">
        <f>#REF!+"$Cm=!%cj"</f>
        <v>#REF!</v>
      </c>
      <c r="IT83" t="e">
        <f>#REF!+"$Cm=!%ck"</f>
        <v>#REF!</v>
      </c>
      <c r="IU83" t="e">
        <f>#REF!+"$Cm=!%cl"</f>
        <v>#REF!</v>
      </c>
      <c r="IV83" t="e">
        <f>#REF!+"$Cm=!%cm"</f>
        <v>#REF!</v>
      </c>
    </row>
    <row r="84" spans="6:256">
      <c r="F84" t="e">
        <f>#REF!+"$Cm=!%cn"</f>
        <v>#REF!</v>
      </c>
      <c r="G84" t="e">
        <f>#REF!+"$Cm=!%co"</f>
        <v>#REF!</v>
      </c>
      <c r="H84" t="e">
        <f>#REF!+"$Cm=!%cp"</f>
        <v>#REF!</v>
      </c>
      <c r="I84" t="e">
        <f>#REF!+"$Cm=!%cq"</f>
        <v>#REF!</v>
      </c>
      <c r="J84" t="e">
        <f>#REF!+"$Cm=!%cr"</f>
        <v>#REF!</v>
      </c>
      <c r="K84" t="e">
        <f>#REF!+"$Cm=!%cs"</f>
        <v>#REF!</v>
      </c>
      <c r="L84" t="e">
        <f>#REF!+"$Cm=!%ct"</f>
        <v>#REF!</v>
      </c>
      <c r="M84" t="e">
        <f>#REF!+"$Cm=!%cu"</f>
        <v>#REF!</v>
      </c>
      <c r="N84" t="e">
        <f>#REF!+"$Cm=!%cv"</f>
        <v>#REF!</v>
      </c>
      <c r="O84" t="e">
        <f>#REF!+"$Cm=!%cw"</f>
        <v>#REF!</v>
      </c>
      <c r="P84" t="e">
        <f>#REF!+"$Cm=!%cx"</f>
        <v>#REF!</v>
      </c>
      <c r="Q84" t="e">
        <f>#REF!+"$Cm=!%cy"</f>
        <v>#REF!</v>
      </c>
      <c r="R84" t="e">
        <f>#REF!+"$Cm=!%cz"</f>
        <v>#REF!</v>
      </c>
      <c r="S84" t="e">
        <f>#REF!+"$Cm=!%c{"</f>
        <v>#REF!</v>
      </c>
      <c r="T84" t="e">
        <f>#REF!+"$Cm=!%c|"</f>
        <v>#REF!</v>
      </c>
      <c r="U84" t="e">
        <f>#REF!+"$Cm=!%c}"</f>
        <v>#REF!</v>
      </c>
      <c r="V84" t="e">
        <f>#REF!+"$Cm=!%c~"</f>
        <v>#REF!</v>
      </c>
      <c r="W84" t="e">
        <f>#REF!+"$Cm=!%d#"</f>
        <v>#REF!</v>
      </c>
      <c r="X84" t="e">
        <f>#REF!+"$Cm=!%d$"</f>
        <v>#REF!</v>
      </c>
      <c r="Y84" t="e">
        <f>#REF!+"$Cm=!%d%"</f>
        <v>#REF!</v>
      </c>
      <c r="Z84" t="e">
        <f>#REF!+"$Cm=!%d&amp;"</f>
        <v>#REF!</v>
      </c>
      <c r="AA84" t="e">
        <f>#REF!+"$Cm=!%d'"</f>
        <v>#REF!</v>
      </c>
      <c r="AB84" t="e">
        <f>#REF!+"$Cm=!%d("</f>
        <v>#REF!</v>
      </c>
      <c r="AC84" t="e">
        <f>#REF!+"$Cm=!%d)"</f>
        <v>#REF!</v>
      </c>
      <c r="AD84" t="e">
        <f>#REF!+"$Cm=!%d."</f>
        <v>#REF!</v>
      </c>
      <c r="AE84" t="e">
        <f>#REF!+"$Cm=!%d/"</f>
        <v>#REF!</v>
      </c>
      <c r="AF84" t="e">
        <f>#REF!+"$Cm=!%d0"</f>
        <v>#REF!</v>
      </c>
      <c r="AG84" t="e">
        <f>#REF!+"$Cm=!%d1"</f>
        <v>#REF!</v>
      </c>
      <c r="AH84" t="e">
        <f>#REF!+"$Cm=!%d2"</f>
        <v>#REF!</v>
      </c>
      <c r="AI84" t="e">
        <f>#REF!+"$Cm=!%d3"</f>
        <v>#REF!</v>
      </c>
      <c r="AJ84" t="e">
        <f>#REF!+"$Cm=!%d4"</f>
        <v>#REF!</v>
      </c>
      <c r="AK84" t="e">
        <f>#REF!+"$Cm=!%d5"</f>
        <v>#REF!</v>
      </c>
      <c r="AL84" t="e">
        <f>#REF!+"$Cm=!%d6"</f>
        <v>#REF!</v>
      </c>
      <c r="AM84" t="e">
        <f>#REF!+"$Cm=!%d7"</f>
        <v>#REF!</v>
      </c>
      <c r="AN84" t="e">
        <f>#REF!+"$Cm=!%d8"</f>
        <v>#REF!</v>
      </c>
      <c r="AO84" t="e">
        <f>#REF!+"$Cm=!%d9"</f>
        <v>#REF!</v>
      </c>
      <c r="AP84" t="e">
        <f>#REF!+"$Cm=!%d:"</f>
        <v>#REF!</v>
      </c>
      <c r="AQ84" t="e">
        <f>#REF!+"$Cm=!%d;"</f>
        <v>#REF!</v>
      </c>
      <c r="AR84" t="e">
        <f>#REF!+"$Cm=!%d&lt;"</f>
        <v>#REF!</v>
      </c>
      <c r="AS84" t="e">
        <f>#REF!+"$Cm=!%d="</f>
        <v>#REF!</v>
      </c>
      <c r="AT84" t="e">
        <f>#REF!+"$Cm=!%d&gt;"</f>
        <v>#REF!</v>
      </c>
      <c r="AU84" t="e">
        <f>#REF!+"$Cm=!%d?"</f>
        <v>#REF!</v>
      </c>
      <c r="AV84" t="e">
        <f>#REF!+"$Cm=!%d@"</f>
        <v>#REF!</v>
      </c>
      <c r="AW84" t="e">
        <f>#REF!+"$Cm=!%dA"</f>
        <v>#REF!</v>
      </c>
      <c r="AX84" t="e">
        <f>#REF!+"$Cm=!%dB"</f>
        <v>#REF!</v>
      </c>
      <c r="AY84" t="e">
        <f>#REF!+"$Cm=!%dC"</f>
        <v>#REF!</v>
      </c>
      <c r="AZ84" t="e">
        <f>#REF!+"$Cm=!%dD"</f>
        <v>#REF!</v>
      </c>
      <c r="BA84" t="e">
        <f>#REF!+"$Cm=!%dE"</f>
        <v>#REF!</v>
      </c>
      <c r="BB84" t="e">
        <f>#REF!+"$Cm=!%dF"</f>
        <v>#REF!</v>
      </c>
      <c r="BC84" t="e">
        <f>#REF!+"$Cm=!%dG"</f>
        <v>#REF!</v>
      </c>
      <c r="BD84" t="e">
        <f>#REF!+"$Cm=!%dH"</f>
        <v>#REF!</v>
      </c>
      <c r="BE84" t="e">
        <f>#REF!+"$Cm=!%dI"</f>
        <v>#REF!</v>
      </c>
      <c r="BF84" t="e">
        <f>#REF!+"$Cm=!%dJ"</f>
        <v>#REF!</v>
      </c>
      <c r="BG84" t="e">
        <f>#REF!+"$Cm=!%dK"</f>
        <v>#REF!</v>
      </c>
      <c r="BH84" t="e">
        <f>#REF!+"$Cm=!%dL"</f>
        <v>#REF!</v>
      </c>
      <c r="BI84" t="e">
        <f>#REF!+"$Cm=!%dM"</f>
        <v>#REF!</v>
      </c>
      <c r="BJ84" t="e">
        <f>#REF!+"$Cm=!%dN"</f>
        <v>#REF!</v>
      </c>
      <c r="BK84" t="e">
        <f>#REF!+"$Cm=!%dO"</f>
        <v>#REF!</v>
      </c>
      <c r="BL84" t="e">
        <f>#REF!+"$Cm=!%dP"</f>
        <v>#REF!</v>
      </c>
      <c r="BM84" t="e">
        <f>#REF!+"$Cm=!%dQ"</f>
        <v>#REF!</v>
      </c>
      <c r="BN84" t="e">
        <f>#REF!+"$Cm=!%dR"</f>
        <v>#REF!</v>
      </c>
      <c r="BO84" t="e">
        <f>#REF!+"$Cm=!%dS"</f>
        <v>#REF!</v>
      </c>
      <c r="BP84" t="e">
        <f>#REF!+"$Cm=!%dT"</f>
        <v>#REF!</v>
      </c>
      <c r="BQ84" t="e">
        <f>#REF!+"$Cm=!%dU"</f>
        <v>#REF!</v>
      </c>
      <c r="BR84" t="e">
        <f>#REF!+"$Cm=!%dV"</f>
        <v>#REF!</v>
      </c>
      <c r="BS84" t="e">
        <f>#REF!+"$Cm=!%dW"</f>
        <v>#REF!</v>
      </c>
      <c r="BT84" t="e">
        <f>#REF!+"$Cm=!%dX"</f>
        <v>#REF!</v>
      </c>
      <c r="BU84" t="e">
        <f>#REF!+"$Cm=!%dY"</f>
        <v>#REF!</v>
      </c>
      <c r="BV84" t="e">
        <f>#REF!+"$Cm=!%dZ"</f>
        <v>#REF!</v>
      </c>
      <c r="BW84" t="e">
        <f>#REF!+"$Cm=!%d["</f>
        <v>#REF!</v>
      </c>
      <c r="BX84" t="e">
        <f>#REF!+"$Cm=!%d\"</f>
        <v>#REF!</v>
      </c>
      <c r="BY84" t="e">
        <f>#REF!+"$Cm=!%d]"</f>
        <v>#REF!</v>
      </c>
      <c r="BZ84" t="e">
        <f>#REF!+"$Cm=!%d^"</f>
        <v>#REF!</v>
      </c>
      <c r="CA84" t="e">
        <f>#REF!+"$Cm=!%d_"</f>
        <v>#REF!</v>
      </c>
      <c r="CB84" t="e">
        <f>#REF!+"$Cm=!%d`"</f>
        <v>#REF!</v>
      </c>
      <c r="CC84" t="e">
        <f>#REF!+"$Cm=!%da"</f>
        <v>#REF!</v>
      </c>
      <c r="CD84" t="e">
        <f>#REF!+"$Cm=!%db"</f>
        <v>#REF!</v>
      </c>
      <c r="CE84" t="e">
        <f>#REF!+"$Cm=!%dc"</f>
        <v>#REF!</v>
      </c>
      <c r="CF84" t="e">
        <f>#REF!+"$Cm=!%dd"</f>
        <v>#REF!</v>
      </c>
      <c r="CG84" t="e">
        <f>#REF!+"$Cm=!%de"</f>
        <v>#REF!</v>
      </c>
      <c r="CH84" t="e">
        <f>#REF!+"$Cm=!%df"</f>
        <v>#REF!</v>
      </c>
      <c r="CI84" t="e">
        <f>#REF!+"$Cm=!%dg"</f>
        <v>#REF!</v>
      </c>
      <c r="CJ84" t="e">
        <f>#REF!+"$Cm=!%dh"</f>
        <v>#REF!</v>
      </c>
      <c r="CK84" t="e">
        <f>#REF!+"$Cm=!%di"</f>
        <v>#REF!</v>
      </c>
      <c r="CL84" t="e">
        <f>#REF!+"$Cm=!%dj"</f>
        <v>#REF!</v>
      </c>
      <c r="CM84" t="e">
        <f>#REF!+"$Cm=!%dk"</f>
        <v>#REF!</v>
      </c>
      <c r="CN84" t="e">
        <f>#REF!+"$Cm=!%dl"</f>
        <v>#REF!</v>
      </c>
      <c r="CO84" t="e">
        <f>#REF!+"$Cm=!%dm"</f>
        <v>#REF!</v>
      </c>
      <c r="CP84" t="e">
        <f>#REF!+"$Cm=!%dn"</f>
        <v>#REF!</v>
      </c>
      <c r="CQ84" t="e">
        <f>#REF!+"$Cm=!%do"</f>
        <v>#REF!</v>
      </c>
      <c r="CR84" t="e">
        <f>#REF!+"$Cm=!%dp"</f>
        <v>#REF!</v>
      </c>
      <c r="CS84" t="e">
        <f>#REF!+"$Cm=!%dq"</f>
        <v>#REF!</v>
      </c>
      <c r="CT84" t="e">
        <f>#REF!+"$Cm=!%dr"</f>
        <v>#REF!</v>
      </c>
      <c r="CU84" t="e">
        <f>#REF!+"$Cm=!%ds"</f>
        <v>#REF!</v>
      </c>
      <c r="CV84" t="e">
        <f>#REF!+"$Cm=!%dt"</f>
        <v>#REF!</v>
      </c>
      <c r="CW84" t="e">
        <f>#REF!+"$Cm=!%du"</f>
        <v>#REF!</v>
      </c>
      <c r="CX84" t="e">
        <f>#REF!+"$Cm=!%dv"</f>
        <v>#REF!</v>
      </c>
      <c r="CY84" t="e">
        <f>#REF!+"$Cm=!%dw"</f>
        <v>#REF!</v>
      </c>
      <c r="CZ84" t="e">
        <f>#REF!+"$Cm=!%dx"</f>
        <v>#REF!</v>
      </c>
      <c r="DA84" t="e">
        <f>#REF!+"$Cm=!%dy"</f>
        <v>#REF!</v>
      </c>
      <c r="DB84" t="e">
        <f>#REF!+"$Cm=!%dz"</f>
        <v>#REF!</v>
      </c>
      <c r="DC84" t="e">
        <f>#REF!+"$Cm=!%d{"</f>
        <v>#REF!</v>
      </c>
      <c r="DD84" t="e">
        <f>#REF!+"$Cm=!%d|"</f>
        <v>#REF!</v>
      </c>
      <c r="DE84" t="e">
        <f>#REF!+"$Cm=!%d}"</f>
        <v>#REF!</v>
      </c>
      <c r="DF84" t="e">
        <f>#REF!+"$Cm=!%d~"</f>
        <v>#REF!</v>
      </c>
      <c r="DG84" t="e">
        <f>#REF!+"$Cm=!%e#"</f>
        <v>#REF!</v>
      </c>
      <c r="DH84" t="e">
        <f>#REF!+"$Cm=!%e$"</f>
        <v>#REF!</v>
      </c>
      <c r="DI84" t="e">
        <f>#REF!+"$Cm=!%e%"</f>
        <v>#REF!</v>
      </c>
      <c r="DJ84" t="e">
        <f>#REF!+"$Cm=!%e&amp;"</f>
        <v>#REF!</v>
      </c>
      <c r="DK84" t="e">
        <f>#REF!+"$Cm=!%e'"</f>
        <v>#REF!</v>
      </c>
      <c r="DL84" t="e">
        <f>#REF!+"$Cm=!%e("</f>
        <v>#REF!</v>
      </c>
      <c r="DM84" t="e">
        <f>#REF!+"$Cm=!%e)"</f>
        <v>#REF!</v>
      </c>
      <c r="DN84" t="e">
        <f>#REF!+"$Cm=!%e."</f>
        <v>#REF!</v>
      </c>
      <c r="DO84" t="e">
        <f>#REF!+"$Cm=!%e/"</f>
        <v>#REF!</v>
      </c>
      <c r="DP84" t="e">
        <f>#REF!+"$Cm=!%e0"</f>
        <v>#REF!</v>
      </c>
      <c r="DQ84" t="e">
        <f>#REF!+"$Cm=!%e1"</f>
        <v>#REF!</v>
      </c>
      <c r="DR84" t="e">
        <f>#REF!+"$Cm=!%e2"</f>
        <v>#REF!</v>
      </c>
      <c r="DS84" t="e">
        <f>#REF!+"$Cm=!%e3"</f>
        <v>#REF!</v>
      </c>
      <c r="DT84" t="e">
        <f>#REF!+"$Cm=!%e4"</f>
        <v>#REF!</v>
      </c>
      <c r="DU84" t="e">
        <f>#REF!+"$Cm=!%e5"</f>
        <v>#REF!</v>
      </c>
      <c r="DV84" t="e">
        <f>#REF!+"$Cm=!%e6"</f>
        <v>#REF!</v>
      </c>
      <c r="DW84" t="e">
        <f>#REF!+"$Cm=!%e7"</f>
        <v>#REF!</v>
      </c>
      <c r="DX84" t="e">
        <f>#REF!+"$Cm=!%e8"</f>
        <v>#REF!</v>
      </c>
      <c r="DY84" t="e">
        <f>#REF!+"$Cm=!%e9"</f>
        <v>#REF!</v>
      </c>
      <c r="DZ84" t="e">
        <f>#REF!+"$Cm=!%e:"</f>
        <v>#REF!</v>
      </c>
      <c r="EA84" t="e">
        <f>#REF!+"$Cm=!%e;"</f>
        <v>#REF!</v>
      </c>
      <c r="EB84" t="e">
        <f>#REF!+"$Cm=!%e&lt;"</f>
        <v>#REF!</v>
      </c>
      <c r="EC84" t="e">
        <f>#REF!+"$Cm=!%e="</f>
        <v>#REF!</v>
      </c>
      <c r="ED84" t="e">
        <f>#REF!+"$Cm=!%e&gt;"</f>
        <v>#REF!</v>
      </c>
      <c r="EE84" t="e">
        <f>#REF!+"$Cm=!%e?"</f>
        <v>#REF!</v>
      </c>
      <c r="EF84" t="e">
        <f>#REF!+"$Cm=!%e@"</f>
        <v>#REF!</v>
      </c>
      <c r="EG84" t="e">
        <f>#REF!+"$Cm=!%eA"</f>
        <v>#REF!</v>
      </c>
      <c r="EH84" t="e">
        <f>#REF!+"$Cm=!%eB"</f>
        <v>#REF!</v>
      </c>
      <c r="EI84" t="e">
        <f>#REF!+"$Cm=!%eC"</f>
        <v>#REF!</v>
      </c>
      <c r="EJ84" t="e">
        <f>#REF!+"$Cm=!%eD"</f>
        <v>#REF!</v>
      </c>
      <c r="EK84" t="e">
        <f>#REF!+"$Cm=!%eE"</f>
        <v>#REF!</v>
      </c>
      <c r="EL84" t="e">
        <f>#REF!+"$Cm=!%eF"</f>
        <v>#REF!</v>
      </c>
      <c r="EM84" t="e">
        <f>#REF!+"$Cm=!%eG"</f>
        <v>#REF!</v>
      </c>
      <c r="EN84" t="e">
        <f>#REF!+"$Cm=!%eH"</f>
        <v>#REF!</v>
      </c>
      <c r="EO84" t="e">
        <f>#REF!+"$Cm=!%eI"</f>
        <v>#REF!</v>
      </c>
      <c r="EP84" t="e">
        <f>#REF!+"$Cm=!%eJ"</f>
        <v>#REF!</v>
      </c>
      <c r="EQ84" t="e">
        <f>#REF!+"$Cm=!%eK"</f>
        <v>#REF!</v>
      </c>
      <c r="ER84" t="e">
        <f>#REF!+"$Cm=!%eL"</f>
        <v>#REF!</v>
      </c>
      <c r="ES84" t="e">
        <f>#REF!+"$Cm=!%eM"</f>
        <v>#REF!</v>
      </c>
      <c r="ET84" t="e">
        <f>#REF!+"$Cm=!%eN"</f>
        <v>#REF!</v>
      </c>
      <c r="EU84" t="e">
        <f>#REF!+"$Cm=!%eO"</f>
        <v>#REF!</v>
      </c>
      <c r="EV84" t="e">
        <f>#REF!+"$Cm=!%eP"</f>
        <v>#REF!</v>
      </c>
      <c r="EW84" t="e">
        <f>#REF!+"$Cm=!%eQ"</f>
        <v>#REF!</v>
      </c>
      <c r="EX84" t="e">
        <f>#REF!+"$Cm=!%eR"</f>
        <v>#REF!</v>
      </c>
      <c r="EY84" t="e">
        <f>#REF!+"$Cm=!%eS"</f>
        <v>#REF!</v>
      </c>
      <c r="EZ84" t="e">
        <f>#REF!+"$Cm=!%eT"</f>
        <v>#REF!</v>
      </c>
      <c r="FA84" t="e">
        <f>#REF!+"$Cm=!%eU"</f>
        <v>#REF!</v>
      </c>
      <c r="FB84" t="e">
        <f>#REF!+"$Cm=!%eV"</f>
        <v>#REF!</v>
      </c>
      <c r="FC84" t="e">
        <f>#REF!+"$Cm=!%eW"</f>
        <v>#REF!</v>
      </c>
      <c r="FD84" t="e">
        <f>#REF!+"$Cm=!%eX"</f>
        <v>#REF!</v>
      </c>
      <c r="FE84" t="e">
        <f>#REF!+"$Cm=!%eY"</f>
        <v>#REF!</v>
      </c>
      <c r="FF84" t="e">
        <f>#REF!+"$Cm=!%eZ"</f>
        <v>#REF!</v>
      </c>
      <c r="FG84" t="e">
        <f>#REF!+"$Cm=!%e["</f>
        <v>#REF!</v>
      </c>
      <c r="FH84" t="e">
        <f>#REF!+"$Cm=!%e\"</f>
        <v>#REF!</v>
      </c>
      <c r="FI84" t="e">
        <f>#REF!+"$Cm=!%e]"</f>
        <v>#REF!</v>
      </c>
      <c r="FJ84" t="e">
        <f>#REF!+"$Cm=!%e^"</f>
        <v>#REF!</v>
      </c>
      <c r="FK84" t="e">
        <f>#REF!+"$Cm=!%e_"</f>
        <v>#REF!</v>
      </c>
      <c r="FL84" t="e">
        <f>#REF!+"$Cm=!%e`"</f>
        <v>#REF!</v>
      </c>
      <c r="FM84" t="e">
        <f>#REF!+"$Cm=!%ea"</f>
        <v>#REF!</v>
      </c>
      <c r="FN84" t="e">
        <f>#REF!+"$Cm=!%eb"</f>
        <v>#REF!</v>
      </c>
      <c r="FO84" t="e">
        <f>#REF!+"$Cm=!%ec"</f>
        <v>#REF!</v>
      </c>
      <c r="FP84" t="e">
        <f>#REF!+"$Cm=!%ed"</f>
        <v>#REF!</v>
      </c>
      <c r="FQ84" t="e">
        <f>#REF!+"$Cm=!%ee"</f>
        <v>#REF!</v>
      </c>
      <c r="FR84" t="e">
        <f>#REF!+"$Cm=!%ef"</f>
        <v>#REF!</v>
      </c>
      <c r="FS84" t="e">
        <f>#REF!+"$Cm=!%eg"</f>
        <v>#REF!</v>
      </c>
      <c r="FT84" t="e">
        <f>#REF!+"$Cm=!%eh"</f>
        <v>#REF!</v>
      </c>
      <c r="FU84" t="e">
        <f>#REF!+"$Cm=!%ei"</f>
        <v>#REF!</v>
      </c>
      <c r="FV84" t="e">
        <f>#REF!+"$Cm=!%ej"</f>
        <v>#REF!</v>
      </c>
      <c r="FW84" t="e">
        <f>#REF!+"$Cm=!%ek"</f>
        <v>#REF!</v>
      </c>
      <c r="FX84" t="e">
        <f>#REF!+"$Cm=!%el"</f>
        <v>#REF!</v>
      </c>
      <c r="FY84" t="e">
        <f>#REF!+"$Cm=!%em"</f>
        <v>#REF!</v>
      </c>
      <c r="FZ84" t="e">
        <f>#REF!+"$Cm=!%en"</f>
        <v>#REF!</v>
      </c>
      <c r="GA84" t="e">
        <f>#REF!+"$Cm=!%eo"</f>
        <v>#REF!</v>
      </c>
      <c r="GB84" t="e">
        <f>#REF!+"$Cm=!%ep"</f>
        <v>#REF!</v>
      </c>
      <c r="GC84" t="e">
        <f>#REF!+"$Cm=!%eq"</f>
        <v>#REF!</v>
      </c>
      <c r="GD84" t="e">
        <f>#REF!+"$Cm=!%er"</f>
        <v>#REF!</v>
      </c>
      <c r="GE84" t="e">
        <f>#REF!+"$Cm=!%es"</f>
        <v>#REF!</v>
      </c>
      <c r="GF84" t="e">
        <f>#REF!+"$Cm=!%et"</f>
        <v>#REF!</v>
      </c>
      <c r="GG84" t="e">
        <f>#REF!+"$Cm=!%eu"</f>
        <v>#REF!</v>
      </c>
      <c r="GH84" t="e">
        <f>#REF!+"$Cm=!%ev"</f>
        <v>#REF!</v>
      </c>
      <c r="GI84" t="e">
        <f>#REF!+"$Cm=!%ew"</f>
        <v>#REF!</v>
      </c>
      <c r="GJ84" t="e">
        <f>#REF!+"$Cm=!%ex"</f>
        <v>#REF!</v>
      </c>
      <c r="GK84" t="e">
        <f>#REF!+"$Cm=!%ey"</f>
        <v>#REF!</v>
      </c>
      <c r="GL84" t="e">
        <f>#REF!+"$Cm=!%ez"</f>
        <v>#REF!</v>
      </c>
      <c r="GM84" t="e">
        <f>#REF!+"$Cm=!%e{"</f>
        <v>#REF!</v>
      </c>
      <c r="GN84" t="e">
        <f>#REF!+"$Cm=!%e|"</f>
        <v>#REF!</v>
      </c>
      <c r="GO84" t="e">
        <f>#REF!+"$Cm=!%e}"</f>
        <v>#REF!</v>
      </c>
      <c r="GP84" t="e">
        <f>#REF!+"$Cm=!%e~"</f>
        <v>#REF!</v>
      </c>
      <c r="GQ84" t="e">
        <f>#REF!+"$Cm=!%f#"</f>
        <v>#REF!</v>
      </c>
      <c r="GR84" t="e">
        <f>#REF!+"$Cm=!%f$"</f>
        <v>#REF!</v>
      </c>
      <c r="GS84" t="e">
        <f>#REF!+"$Cm=!%f%"</f>
        <v>#REF!</v>
      </c>
      <c r="GT84" t="e">
        <f>#REF!+"$Cm=!%f&amp;"</f>
        <v>#REF!</v>
      </c>
      <c r="GU84" t="e">
        <f>#REF!+"$Cm=!%f'"</f>
        <v>#REF!</v>
      </c>
      <c r="GV84" t="e">
        <f>#REF!+"$Cm=!%f("</f>
        <v>#REF!</v>
      </c>
      <c r="GW84" t="e">
        <f>#REF!+"$Cm=!%f)"</f>
        <v>#REF!</v>
      </c>
      <c r="GX84" t="e">
        <f>#REF!+"$Cm=!%f."</f>
        <v>#REF!</v>
      </c>
      <c r="GY84" t="e">
        <f>#REF!+"$Cm=!%f/"</f>
        <v>#REF!</v>
      </c>
      <c r="GZ84" t="e">
        <f>#REF!+"$Cm=!%f0"</f>
        <v>#REF!</v>
      </c>
      <c r="HA84" t="e">
        <f>#REF!+"$Cm=!%f1"</f>
        <v>#REF!</v>
      </c>
      <c r="HB84" t="e">
        <f>#REF!+"$Cm=!%f2"</f>
        <v>#REF!</v>
      </c>
      <c r="HC84" t="e">
        <f>#REF!+"$Cm=!%f3"</f>
        <v>#REF!</v>
      </c>
      <c r="HD84" t="e">
        <f>#REF!+"$Cm=!%f4"</f>
        <v>#REF!</v>
      </c>
      <c r="HE84" t="e">
        <f>#REF!+"$Cm=!%f5"</f>
        <v>#REF!</v>
      </c>
      <c r="HF84" t="e">
        <f>#REF!+"$Cm=!%f6"</f>
        <v>#REF!</v>
      </c>
      <c r="HG84" t="e">
        <f>#REF!+"$Cm=!%f7"</f>
        <v>#REF!</v>
      </c>
      <c r="HH84" t="e">
        <f>#REF!+"$Cm=!%f8"</f>
        <v>#REF!</v>
      </c>
      <c r="HI84" t="e">
        <f>#REF!+"$Cm=!%f9"</f>
        <v>#REF!</v>
      </c>
      <c r="HJ84" t="e">
        <f>#REF!+"$Cm=!%f:"</f>
        <v>#REF!</v>
      </c>
      <c r="HK84" t="e">
        <f>#REF!+"$Cm=!%f;"</f>
        <v>#REF!</v>
      </c>
      <c r="HL84" t="e">
        <f>#REF!+"$Cm=!%f&lt;"</f>
        <v>#REF!</v>
      </c>
      <c r="HM84" t="e">
        <f>#REF!+"$Cm=!%f="</f>
        <v>#REF!</v>
      </c>
      <c r="HN84" t="e">
        <f>#REF!+"$Cm=!%f&gt;"</f>
        <v>#REF!</v>
      </c>
      <c r="HO84" t="e">
        <f>#REF!+"$Cm=!%f?"</f>
        <v>#REF!</v>
      </c>
      <c r="HP84" t="e">
        <f>#REF!+"$Cm=!%f@"</f>
        <v>#REF!</v>
      </c>
      <c r="HQ84" t="e">
        <f>#REF!+"$Cm=!%fA"</f>
        <v>#REF!</v>
      </c>
      <c r="HR84" t="e">
        <f>#REF!+"$Cm=!%fB"</f>
        <v>#REF!</v>
      </c>
      <c r="HS84" t="e">
        <f>#REF!+"$Cm=!%fC"</f>
        <v>#REF!</v>
      </c>
      <c r="HT84" t="e">
        <f>#REF!+"$Cm=!%fD"</f>
        <v>#REF!</v>
      </c>
      <c r="HU84" t="e">
        <f>#REF!+"$Cm=!%fE"</f>
        <v>#REF!</v>
      </c>
      <c r="HV84" t="e">
        <f>#REF!+"$Cm=!%fF"</f>
        <v>#REF!</v>
      </c>
      <c r="HW84" t="e">
        <f>#REF!+"$Cm=!%fG"</f>
        <v>#REF!</v>
      </c>
      <c r="HX84" t="e">
        <f>#REF!+"$Cm=!%fH"</f>
        <v>#REF!</v>
      </c>
      <c r="HY84" t="e">
        <f>#REF!+"$Cm=!%fI"</f>
        <v>#REF!</v>
      </c>
      <c r="HZ84" t="e">
        <f>#REF!+"$Cm=!%fJ"</f>
        <v>#REF!</v>
      </c>
      <c r="IA84" t="e">
        <f>#REF!+"$Cm=!%fK"</f>
        <v>#REF!</v>
      </c>
      <c r="IB84" t="e">
        <f>#REF!+"$Cm=!%fL"</f>
        <v>#REF!</v>
      </c>
      <c r="IC84" t="e">
        <f>#REF!+"$Cm=!%fM"</f>
        <v>#REF!</v>
      </c>
      <c r="ID84" t="e">
        <f>#REF!+"$Cm=!%fN"</f>
        <v>#REF!</v>
      </c>
      <c r="IE84" t="e">
        <f>#REF!+"$Cm=!%fO"</f>
        <v>#REF!</v>
      </c>
      <c r="IF84" t="e">
        <f>#REF!+"$Cm=!%fP"</f>
        <v>#REF!</v>
      </c>
      <c r="IG84" t="e">
        <f>#REF!+"$Cm=!%fQ"</f>
        <v>#REF!</v>
      </c>
      <c r="IH84" t="e">
        <f>#REF!+"$Cm=!%fR"</f>
        <v>#REF!</v>
      </c>
      <c r="II84" t="e">
        <f>#REF!+"$Cm=!%fS"</f>
        <v>#REF!</v>
      </c>
      <c r="IJ84" t="e">
        <f>#REF!+"$Cm=!%fT"</f>
        <v>#REF!</v>
      </c>
      <c r="IK84" t="e">
        <f>#REF!+"$Cm=!%fU"</f>
        <v>#REF!</v>
      </c>
      <c r="IL84" t="e">
        <f>#REF!+"$Cm=!%fV"</f>
        <v>#REF!</v>
      </c>
      <c r="IM84" t="e">
        <f>#REF!+"$Cm=!%fW"</f>
        <v>#REF!</v>
      </c>
      <c r="IN84" t="e">
        <f>#REF!+"$Cm=!%fX"</f>
        <v>#REF!</v>
      </c>
      <c r="IO84" t="e">
        <f>#REF!+"$Cm=!%fY"</f>
        <v>#REF!</v>
      </c>
      <c r="IP84" t="e">
        <f>#REF!+"$Cm=!%fZ"</f>
        <v>#REF!</v>
      </c>
      <c r="IQ84" t="e">
        <f>#REF!+"$Cm=!%f["</f>
        <v>#REF!</v>
      </c>
      <c r="IR84" t="e">
        <f>#REF!+"$Cm=!%f\"</f>
        <v>#REF!</v>
      </c>
      <c r="IS84" t="e">
        <f>#REF!+"$Cm=!%f]"</f>
        <v>#REF!</v>
      </c>
      <c r="IT84" t="e">
        <f>#REF!+"$Cm=!%f^"</f>
        <v>#REF!</v>
      </c>
      <c r="IU84" t="e">
        <f>#REF!+"$Cm=!%f_"</f>
        <v>#REF!</v>
      </c>
      <c r="IV84" t="e">
        <f>#REF!+"$Cm=!%f`"</f>
        <v>#REF!</v>
      </c>
    </row>
    <row r="85" spans="6:256">
      <c r="F85" t="e">
        <f>#REF!+"$Cm=!%fa"</f>
        <v>#REF!</v>
      </c>
      <c r="G85" t="e">
        <f>#REF!+"$Cm=!%fb"</f>
        <v>#REF!</v>
      </c>
      <c r="H85" t="e">
        <f>#REF!+"$Cm=!%fc"</f>
        <v>#REF!</v>
      </c>
      <c r="I85" t="e">
        <f>#REF!+"$Cm=!%fd"</f>
        <v>#REF!</v>
      </c>
      <c r="J85" t="e">
        <f>#REF!+"$Cm=!%fe"</f>
        <v>#REF!</v>
      </c>
      <c r="K85" t="e">
        <f>#REF!+"$Cm=!%ff"</f>
        <v>#REF!</v>
      </c>
      <c r="L85" t="e">
        <f>#REF!+"$Cm=!%fg"</f>
        <v>#REF!</v>
      </c>
      <c r="M85" t="e">
        <f>#REF!+"$Cm=!%fh"</f>
        <v>#REF!</v>
      </c>
      <c r="N85" t="e">
        <f>#REF!+"$Cm=!%fi"</f>
        <v>#REF!</v>
      </c>
      <c r="O85" t="e">
        <f>#REF!+"$Cm=!%fj"</f>
        <v>#REF!</v>
      </c>
      <c r="P85" t="e">
        <f>#REF!+"$Cm=!%fk"</f>
        <v>#REF!</v>
      </c>
      <c r="Q85" t="e">
        <f>#REF!+"$Cm=!%fl"</f>
        <v>#REF!</v>
      </c>
      <c r="R85" t="e">
        <f>#REF!+"$Cm=!%fm"</f>
        <v>#REF!</v>
      </c>
      <c r="S85" t="e">
        <f>#REF!+"$Cm=!%fn"</f>
        <v>#REF!</v>
      </c>
      <c r="T85" t="e">
        <f>#REF!+"$Cm=!%fo"</f>
        <v>#REF!</v>
      </c>
      <c r="U85" t="e">
        <f>#REF!+"$Cm=!%fp"</f>
        <v>#REF!</v>
      </c>
      <c r="V85" t="e">
        <f>#REF!+"$Cm=!%fq"</f>
        <v>#REF!</v>
      </c>
      <c r="W85" t="e">
        <f>#REF!+"$Cm=!%fr"</f>
        <v>#REF!</v>
      </c>
      <c r="X85" t="e">
        <f>#REF!+"$Cm=!%fs"</f>
        <v>#REF!</v>
      </c>
      <c r="Y85" t="e">
        <f>#REF!+"$Cm=!%ft"</f>
        <v>#REF!</v>
      </c>
      <c r="Z85" t="e">
        <f>#REF!+"$Cm=!%fu"</f>
        <v>#REF!</v>
      </c>
      <c r="AA85" t="e">
        <f>#REF!+"$Cm=!%fv"</f>
        <v>#REF!</v>
      </c>
      <c r="AB85" t="e">
        <f>#REF!+"$Cm=!%fw"</f>
        <v>#REF!</v>
      </c>
      <c r="AC85" t="e">
        <f>#REF!+"$Cm=!%fx"</f>
        <v>#REF!</v>
      </c>
      <c r="AD85" t="e">
        <f>#REF!+"$Cm=!%fy"</f>
        <v>#REF!</v>
      </c>
      <c r="AE85" t="e">
        <f>#REF!+"$Cm=!%fz"</f>
        <v>#REF!</v>
      </c>
      <c r="AF85" t="e">
        <f>#REF!+"$Cm=!%f{"</f>
        <v>#REF!</v>
      </c>
      <c r="AG85" t="e">
        <f>#REF!+"$Cm=!%f|"</f>
        <v>#REF!</v>
      </c>
      <c r="AH85" t="e">
        <f>#REF!+"$Cm=!%f}"</f>
        <v>#REF!</v>
      </c>
      <c r="AI85" t="e">
        <f>#REF!+"$Cm=!%f~"</f>
        <v>#REF!</v>
      </c>
      <c r="AJ85" t="e">
        <f>#REF!+"$Cm=!%g#"</f>
        <v>#REF!</v>
      </c>
      <c r="AK85" t="e">
        <f>#REF!+"$Cm=!%g$"</f>
        <v>#REF!</v>
      </c>
      <c r="AL85" t="e">
        <f>#REF!+"$Cm=!%g%"</f>
        <v>#REF!</v>
      </c>
      <c r="AM85" t="e">
        <f>#REF!+"$Cm=!%g&amp;"</f>
        <v>#REF!</v>
      </c>
      <c r="AN85" t="e">
        <f>#REF!+"$Cm=!%g'"</f>
        <v>#REF!</v>
      </c>
      <c r="AO85" t="e">
        <f>#REF!+"$Cm=!%g("</f>
        <v>#REF!</v>
      </c>
      <c r="AP85" t="e">
        <f>#REF!+"$Cm=!%g)"</f>
        <v>#REF!</v>
      </c>
      <c r="AQ85" t="e">
        <f>#REF!+"$Cm=!%g."</f>
        <v>#REF!</v>
      </c>
      <c r="AR85" t="e">
        <f>#REF!+"$Cm=!%g/"</f>
        <v>#REF!</v>
      </c>
      <c r="AS85" t="e">
        <f>#REF!+"$Cm=!%g0"</f>
        <v>#REF!</v>
      </c>
      <c r="AT85" t="e">
        <f>#REF!+"$Cm=!%g1"</f>
        <v>#REF!</v>
      </c>
      <c r="AU85" t="e">
        <f>#REF!+"$Cm=!%g2"</f>
        <v>#REF!</v>
      </c>
      <c r="AV85" t="e">
        <f>#REF!+"$Cm=!%g3"</f>
        <v>#REF!</v>
      </c>
      <c r="AW85" t="e">
        <f>#REF!+"$Cm=!%g4"</f>
        <v>#REF!</v>
      </c>
      <c r="AX85" t="e">
        <f>#REF!+"$Cm=!%g5"</f>
        <v>#REF!</v>
      </c>
      <c r="AY85" t="e">
        <f>#REF!+"$Cm=!%g6"</f>
        <v>#REF!</v>
      </c>
      <c r="AZ85" t="e">
        <f>#REF!+"$Cm=!%g7"</f>
        <v>#REF!</v>
      </c>
      <c r="BA85" t="e">
        <f>#REF!+"$Cm=!%g8"</f>
        <v>#REF!</v>
      </c>
      <c r="BB85" t="e">
        <f>#REF!+"$Cm=!%g9"</f>
        <v>#REF!</v>
      </c>
      <c r="BC85" t="e">
        <f>#REF!+"$Cm=!%g:"</f>
        <v>#REF!</v>
      </c>
      <c r="BD85" t="e">
        <f>#REF!+"$Cm=!%g;"</f>
        <v>#REF!</v>
      </c>
      <c r="BE85" t="e">
        <f>#REF!+"$Cm=!%g&lt;"</f>
        <v>#REF!</v>
      </c>
      <c r="BF85" t="e">
        <f>#REF!+"$Cm=!%g="</f>
        <v>#REF!</v>
      </c>
      <c r="BG85" t="e">
        <f>#REF!+"$Cm=!%g&gt;"</f>
        <v>#REF!</v>
      </c>
      <c r="BH85" t="e">
        <f>#REF!+"$Cm=!%g?"</f>
        <v>#REF!</v>
      </c>
      <c r="BI85" t="e">
        <f>#REF!+"$Cm=!%g@"</f>
        <v>#REF!</v>
      </c>
      <c r="BJ85" t="e">
        <f>#REF!+"$Cm=!%gA"</f>
        <v>#REF!</v>
      </c>
      <c r="BK85" t="e">
        <f>#REF!+"$Cm=!%gB"</f>
        <v>#REF!</v>
      </c>
      <c r="BL85" t="e">
        <f>#REF!+"$Cm=!%gC"</f>
        <v>#REF!</v>
      </c>
      <c r="BM85" t="e">
        <f>#REF!+"$Cm=!%gD"</f>
        <v>#REF!</v>
      </c>
      <c r="BN85" t="e">
        <f>#REF!+"$Cm=!%gE"</f>
        <v>#REF!</v>
      </c>
      <c r="BO85" t="e">
        <f>#REF!+"$Cm=!%gF"</f>
        <v>#REF!</v>
      </c>
      <c r="BP85" t="e">
        <f>#REF!+"$Cm=!%gG"</f>
        <v>#REF!</v>
      </c>
      <c r="BQ85" t="e">
        <f>#REF!+"$Cm=!%gH"</f>
        <v>#REF!</v>
      </c>
      <c r="BR85" t="e">
        <f>#REF!+"$Cm=!%gI"</f>
        <v>#REF!</v>
      </c>
      <c r="BS85" t="e">
        <f>#REF!+"$Cm=!%gJ"</f>
        <v>#REF!</v>
      </c>
      <c r="BT85" t="e">
        <f>#REF!+"$Cm=!%gK"</f>
        <v>#REF!</v>
      </c>
      <c r="BU85" t="e">
        <f>#REF!+"$Cm=!%gL"</f>
        <v>#REF!</v>
      </c>
      <c r="BV85" t="e">
        <f>#REF!+"$Cm=!%gM"</f>
        <v>#REF!</v>
      </c>
      <c r="BW85" t="e">
        <f>#REF!+"$Cm=!%gN"</f>
        <v>#REF!</v>
      </c>
      <c r="BX85" t="e">
        <f>#REF!+"$Cm=!%gO"</f>
        <v>#REF!</v>
      </c>
      <c r="BY85" t="e">
        <f>#REF!+"$Cm=!%gP"</f>
        <v>#REF!</v>
      </c>
      <c r="BZ85" t="e">
        <f>#REF!+"$Cm=!%gQ"</f>
        <v>#REF!</v>
      </c>
      <c r="CA85" t="e">
        <f>#REF!+"$Cm=!%gR"</f>
        <v>#REF!</v>
      </c>
      <c r="CB85" t="e">
        <f>#REF!+"$Cm=!%gS"</f>
        <v>#REF!</v>
      </c>
      <c r="CC85" t="e">
        <f>#REF!+"$Cm=!%gT"</f>
        <v>#REF!</v>
      </c>
      <c r="CD85" t="e">
        <f>#REF!+"$Cm=!%gU"</f>
        <v>#REF!</v>
      </c>
      <c r="CE85" t="e">
        <f>#REF!+"$Cm=!%gV"</f>
        <v>#REF!</v>
      </c>
      <c r="CF85" t="e">
        <f>#REF!+"$Cm=!%gW"</f>
        <v>#REF!</v>
      </c>
      <c r="CG85" t="e">
        <f>#REF!+"$Cm=!%gX"</f>
        <v>#REF!</v>
      </c>
      <c r="CH85" t="e">
        <f>#REF!+"$Cm=!%gY"</f>
        <v>#REF!</v>
      </c>
      <c r="CI85" t="e">
        <f>#REF!+"$Cm=!%gZ"</f>
        <v>#REF!</v>
      </c>
      <c r="CJ85" t="e">
        <f>#REF!+"$Cm=!%g["</f>
        <v>#REF!</v>
      </c>
      <c r="CK85" t="e">
        <f>#REF!+"$Cm=!%g\"</f>
        <v>#REF!</v>
      </c>
      <c r="CL85" t="e">
        <f>#REF!+"$Cm=!%g]"</f>
        <v>#REF!</v>
      </c>
      <c r="CM85" t="e">
        <f>#REF!+"$Cm=!%g^"</f>
        <v>#REF!</v>
      </c>
      <c r="CN85" t="e">
        <f>#REF!+"$Cm=!%g_"</f>
        <v>#REF!</v>
      </c>
      <c r="CO85" t="e">
        <f>#REF!+"$Cm=!%g`"</f>
        <v>#REF!</v>
      </c>
      <c r="CP85" t="e">
        <f>#REF!+"$Cm=!%ga"</f>
        <v>#REF!</v>
      </c>
      <c r="CQ85" t="e">
        <f>#REF!+"$Cm=!%gb"</f>
        <v>#REF!</v>
      </c>
      <c r="CR85" t="e">
        <f>#REF!+"$Cm=!%gc"</f>
        <v>#REF!</v>
      </c>
      <c r="CS85" t="e">
        <f>#REF!+"$Cm=!%gd"</f>
        <v>#REF!</v>
      </c>
      <c r="CT85" t="e">
        <f>#REF!+"$Cm=!%ge"</f>
        <v>#REF!</v>
      </c>
      <c r="CU85" t="e">
        <f>#REF!+"$Cm=!%gf"</f>
        <v>#REF!</v>
      </c>
      <c r="CV85" t="e">
        <f>#REF!+"$Cm=!%gg"</f>
        <v>#REF!</v>
      </c>
      <c r="CW85" t="e">
        <f>#REF!+"$Cm=!%gh"</f>
        <v>#REF!</v>
      </c>
      <c r="CX85" t="e">
        <f>#REF!+"$Cm=!%gi"</f>
        <v>#REF!</v>
      </c>
      <c r="CY85" t="e">
        <f>#REF!+"$Cm=!%gj"</f>
        <v>#REF!</v>
      </c>
      <c r="CZ85" t="e">
        <f>#REF!+"$Cm=!%gk"</f>
        <v>#REF!</v>
      </c>
      <c r="DA85" t="e">
        <f>#REF!+"$Cm=!%gl"</f>
        <v>#REF!</v>
      </c>
      <c r="DB85" t="e">
        <f>#REF!+"$Cm=!%gm"</f>
        <v>#REF!</v>
      </c>
      <c r="DC85" t="e">
        <f>#REF!+"$Cm=!%gn"</f>
        <v>#REF!</v>
      </c>
      <c r="DD85" t="e">
        <f>#REF!+"$Cm=!%go"</f>
        <v>#REF!</v>
      </c>
      <c r="DE85" t="e">
        <f>#REF!+"$Cm=!%gp"</f>
        <v>#REF!</v>
      </c>
      <c r="DF85" t="e">
        <f>#REF!+"$Cm=!%gq"</f>
        <v>#REF!</v>
      </c>
      <c r="DG85" t="e">
        <f>#REF!+"$Cm=!%gr"</f>
        <v>#REF!</v>
      </c>
      <c r="DH85" t="e">
        <f>#REF!+"$Cm=!%gs"</f>
        <v>#REF!</v>
      </c>
      <c r="DI85" t="e">
        <f>#REF!+"$Cm=!%gt"</f>
        <v>#REF!</v>
      </c>
      <c r="DJ85" t="e">
        <f>#REF!+"$Cm=!%gu"</f>
        <v>#REF!</v>
      </c>
      <c r="DK85" t="e">
        <f>#REF!+"$Cm=!%gv"</f>
        <v>#REF!</v>
      </c>
      <c r="DL85" t="e">
        <f>#REF!+"$Cm=!%gw"</f>
        <v>#REF!</v>
      </c>
      <c r="DM85" t="e">
        <f>#REF!+"$Cm=!%gx"</f>
        <v>#REF!</v>
      </c>
      <c r="DN85" t="e">
        <f>#REF!+"$Cm=!%gy"</f>
        <v>#REF!</v>
      </c>
      <c r="DO85" t="e">
        <f>#REF!+"$Cm=!%gz"</f>
        <v>#REF!</v>
      </c>
      <c r="DP85" t="e">
        <f>#REF!+"$Cm=!%g{"</f>
        <v>#REF!</v>
      </c>
      <c r="DQ85" t="e">
        <f>#REF!+"$Cm=!%g|"</f>
        <v>#REF!</v>
      </c>
      <c r="DR85" t="e">
        <f>#REF!+"$Cm=!%g}"</f>
        <v>#REF!</v>
      </c>
      <c r="DS85" t="e">
        <f>#REF!+"$Cm=!%g~"</f>
        <v>#REF!</v>
      </c>
      <c r="DT85" t="e">
        <f>#REF!+"$Cm=!%h#"</f>
        <v>#REF!</v>
      </c>
      <c r="DU85" t="e">
        <f>#REF!+"$Cm=!%h$"</f>
        <v>#REF!</v>
      </c>
      <c r="DV85" t="e">
        <f>#REF!+"$Cm=!%h%"</f>
        <v>#REF!</v>
      </c>
      <c r="DW85" t="e">
        <f>#REF!+"$Cm=!%h&amp;"</f>
        <v>#REF!</v>
      </c>
      <c r="DX85" t="e">
        <f>#REF!+"$Cm=!%h'"</f>
        <v>#REF!</v>
      </c>
      <c r="DY85" t="e">
        <f>#REF!+"$Cm=!%h("</f>
        <v>#REF!</v>
      </c>
      <c r="DZ85" t="e">
        <f>#REF!+"$Cm=!%h)"</f>
        <v>#REF!</v>
      </c>
      <c r="EA85" t="e">
        <f>#REF!+"$Cm=!%h."</f>
        <v>#REF!</v>
      </c>
      <c r="EB85" t="e">
        <f>#REF!+"$Cm=!%h/"</f>
        <v>#REF!</v>
      </c>
      <c r="EC85" t="e">
        <f>#REF!+"$Cm=!%h0"</f>
        <v>#REF!</v>
      </c>
      <c r="ED85" t="e">
        <f>#REF!+"$Cm=!%h1"</f>
        <v>#REF!</v>
      </c>
      <c r="EE85" t="e">
        <f>#REF!+"$Cm=!%h2"</f>
        <v>#REF!</v>
      </c>
      <c r="EF85" t="e">
        <f>#REF!+"$Cm=!%h3"</f>
        <v>#REF!</v>
      </c>
      <c r="EG85" t="e">
        <f>#REF!+"$Cm=!%h4"</f>
        <v>#REF!</v>
      </c>
      <c r="EH85" t="e">
        <f>#REF!+"$Cm=!%h5"</f>
        <v>#REF!</v>
      </c>
      <c r="EI85" t="e">
        <f>#REF!+"$Cm=!%h6"</f>
        <v>#REF!</v>
      </c>
      <c r="EJ85" t="e">
        <f>#REF!+"$Cm=!%h7"</f>
        <v>#REF!</v>
      </c>
      <c r="EK85" t="e">
        <f>#REF!+"$Cm=!%h8"</f>
        <v>#REF!</v>
      </c>
      <c r="EL85" t="e">
        <f>#REF!+"$Cm=!%h9"</f>
        <v>#REF!</v>
      </c>
      <c r="EM85" t="e">
        <f>#REF!+"$Cm=!%h:"</f>
        <v>#REF!</v>
      </c>
      <c r="EN85" t="e">
        <f>#REF!+"$Cm=!%h;"</f>
        <v>#REF!</v>
      </c>
      <c r="EO85" t="e">
        <f>#REF!+"$Cm=!%h&lt;"</f>
        <v>#REF!</v>
      </c>
      <c r="EP85" t="e">
        <f>#REF!+"$Cm=!%h="</f>
        <v>#REF!</v>
      </c>
      <c r="EQ85" t="e">
        <f>#REF!+"$Cm=!%h&gt;"</f>
        <v>#REF!</v>
      </c>
      <c r="ER85" t="e">
        <f>#REF!+"$Cm=!%h?"</f>
        <v>#REF!</v>
      </c>
      <c r="ES85" t="e">
        <f>#REF!+"$Cm=!%h@"</f>
        <v>#REF!</v>
      </c>
      <c r="ET85" t="e">
        <f>#REF!+"$Cm=!%hA"</f>
        <v>#REF!</v>
      </c>
      <c r="EU85" t="e">
        <f>#REF!+"$Cm=!%hB"</f>
        <v>#REF!</v>
      </c>
      <c r="EV85" t="e">
        <f>#REF!+"$Cm=!%hC"</f>
        <v>#REF!</v>
      </c>
      <c r="EW85" t="e">
        <f>#REF!+"$Cm=!%hD"</f>
        <v>#REF!</v>
      </c>
      <c r="EX85" t="e">
        <f>#REF!+"$Cm=!%hE"</f>
        <v>#REF!</v>
      </c>
      <c r="EY85" t="e">
        <f>#REF!+"$Cm=!%hF"</f>
        <v>#REF!</v>
      </c>
      <c r="EZ85" t="e">
        <f>#REF!+"$Cm=!%hG"</f>
        <v>#REF!</v>
      </c>
      <c r="FA85" t="e">
        <f>#REF!+"$Cm=!%hH"</f>
        <v>#REF!</v>
      </c>
      <c r="FB85" t="e">
        <f>#REF!+"$Cm=!%hI"</f>
        <v>#REF!</v>
      </c>
      <c r="FC85" t="e">
        <f>#REF!+"$Cm=!%hJ"</f>
        <v>#REF!</v>
      </c>
      <c r="FD85" t="e">
        <f>#REF!+"$Cm=!%hK"</f>
        <v>#REF!</v>
      </c>
      <c r="FE85" t="e">
        <f>#REF!+"$Cm=!%hL"</f>
        <v>#REF!</v>
      </c>
      <c r="FF85" t="e">
        <f>#REF!+"$Cm=!%hM"</f>
        <v>#REF!</v>
      </c>
      <c r="FG85" t="e">
        <f>#REF!+"$Cm=!%hN"</f>
        <v>#REF!</v>
      </c>
      <c r="FH85" t="e">
        <f>#REF!+"$Cm=!%hO"</f>
        <v>#REF!</v>
      </c>
      <c r="FI85" t="e">
        <f>#REF!+"$Cm=!%hP"</f>
        <v>#REF!</v>
      </c>
      <c r="FJ85" t="e">
        <f>#REF!+"$Cm=!%hQ"</f>
        <v>#REF!</v>
      </c>
      <c r="FK85" t="e">
        <f>#REF!+"$Cm=!%hR"</f>
        <v>#REF!</v>
      </c>
      <c r="FL85" t="e">
        <f>#REF!+"$Cm=!%hS"</f>
        <v>#REF!</v>
      </c>
      <c r="FM85" t="e">
        <f>#REF!+"$Cm=!%hT"</f>
        <v>#REF!</v>
      </c>
      <c r="FN85" t="e">
        <f>#REF!+"$Cm=!%hU"</f>
        <v>#REF!</v>
      </c>
      <c r="FO85" t="e">
        <f>#REF!+"$Cm=!%hV"</f>
        <v>#REF!</v>
      </c>
      <c r="FP85" t="e">
        <f>#REF!+"$Cm=!%hW"</f>
        <v>#REF!</v>
      </c>
      <c r="FQ85" t="e">
        <f>#REF!+"$Cm=!%hX"</f>
        <v>#REF!</v>
      </c>
      <c r="FR85" t="e">
        <f>#REF!+"$Cm=!%hY"</f>
        <v>#REF!</v>
      </c>
      <c r="FS85" t="e">
        <f>#REF!+"$Cm=!%hZ"</f>
        <v>#REF!</v>
      </c>
      <c r="FT85" t="e">
        <f>#REF!+"$Cm=!%h["</f>
        <v>#REF!</v>
      </c>
      <c r="FU85" t="e">
        <f>#REF!+"$Cm=!%h\"</f>
        <v>#REF!</v>
      </c>
      <c r="FV85" t="e">
        <f>#REF!+"$Cm=!%h]"</f>
        <v>#REF!</v>
      </c>
      <c r="FW85" t="e">
        <f>#REF!+"$Cm=!%h^"</f>
        <v>#REF!</v>
      </c>
      <c r="FX85" t="e">
        <f>#REF!+"$Cm=!%h_"</f>
        <v>#REF!</v>
      </c>
      <c r="FY85" t="e">
        <f>#REF!+"$Cm=!%h`"</f>
        <v>#REF!</v>
      </c>
      <c r="FZ85" t="e">
        <f>#REF!+"$Cm=!%ha"</f>
        <v>#REF!</v>
      </c>
      <c r="GA85" t="e">
        <f>#REF!+"$Cm=!%hb"</f>
        <v>#REF!</v>
      </c>
      <c r="GB85" t="e">
        <f>#REF!+"$Cm=!%hc"</f>
        <v>#REF!</v>
      </c>
      <c r="GC85" t="e">
        <f>#REF!+"$Cm=!%hd"</f>
        <v>#REF!</v>
      </c>
      <c r="GD85" t="e">
        <f>#REF!+"$Cm=!%he"</f>
        <v>#REF!</v>
      </c>
      <c r="GE85" t="e">
        <f>#REF!+"$Cm=!%hf"</f>
        <v>#REF!</v>
      </c>
      <c r="GF85" t="e">
        <f>#REF!+"$Cm=!%hg"</f>
        <v>#REF!</v>
      </c>
      <c r="GG85" t="e">
        <f>#REF!+"$Cm=!%hh"</f>
        <v>#REF!</v>
      </c>
      <c r="GH85" t="e">
        <f>#REF!+"$Cm=!%hi"</f>
        <v>#REF!</v>
      </c>
      <c r="GI85" t="e">
        <f>#REF!+"$Cm=!%hj"</f>
        <v>#REF!</v>
      </c>
      <c r="GJ85" t="e">
        <f>#REF!+"$Cm=!%hk"</f>
        <v>#REF!</v>
      </c>
      <c r="GK85" t="e">
        <f>#REF!+"$Cm=!%hl"</f>
        <v>#REF!</v>
      </c>
      <c r="GL85" t="e">
        <f>#REF!+"$Cm=!%hm"</f>
        <v>#REF!</v>
      </c>
      <c r="GM85" t="e">
        <f>#REF!+"$Cm=!%hn"</f>
        <v>#REF!</v>
      </c>
      <c r="GN85" t="e">
        <f>#REF!+"$Cm=!%ho"</f>
        <v>#REF!</v>
      </c>
      <c r="GO85" t="e">
        <f>#REF!+"$Cm=!%hp"</f>
        <v>#REF!</v>
      </c>
      <c r="GP85" t="e">
        <f>#REF!+"$Cm=!%hq"</f>
        <v>#REF!</v>
      </c>
      <c r="GQ85" t="e">
        <f>#REF!+"$Cm=!%hr"</f>
        <v>#REF!</v>
      </c>
      <c r="GR85" t="e">
        <f>#REF!+"$Cm=!%hs"</f>
        <v>#REF!</v>
      </c>
      <c r="GS85" t="e">
        <f>#REF!+"$Cm=!%ht"</f>
        <v>#REF!</v>
      </c>
      <c r="GT85" t="e">
        <f>#REF!+"$Cm=!%hu"</f>
        <v>#REF!</v>
      </c>
      <c r="GU85" t="e">
        <f>#REF!+"$Cm=!%hv"</f>
        <v>#REF!</v>
      </c>
      <c r="GV85" t="e">
        <f>#REF!+"$Cm=!%hw"</f>
        <v>#REF!</v>
      </c>
      <c r="GW85" t="e">
        <f>#REF!+"$Cm=!%hx"</f>
        <v>#REF!</v>
      </c>
      <c r="GX85" t="e">
        <f>#REF!+"$Cm=!%hy"</f>
        <v>#REF!</v>
      </c>
      <c r="GY85" t="e">
        <f>#REF!+"$Cm=!%hz"</f>
        <v>#REF!</v>
      </c>
      <c r="GZ85" t="e">
        <f>#REF!+"$Cm=!%h{"</f>
        <v>#REF!</v>
      </c>
      <c r="HA85" t="e">
        <f>#REF!+"$Cm=!%h|"</f>
        <v>#REF!</v>
      </c>
      <c r="HB85" t="e">
        <f>#REF!+"$Cm=!%h}"</f>
        <v>#REF!</v>
      </c>
      <c r="HC85" t="e">
        <f>#REF!+"$Cm=!%h~"</f>
        <v>#REF!</v>
      </c>
      <c r="HD85" t="e">
        <f>#REF!+"$Cm=!%i#"</f>
        <v>#REF!</v>
      </c>
      <c r="HE85" t="e">
        <f>#REF!+"$Cm=!%i$"</f>
        <v>#REF!</v>
      </c>
      <c r="HF85" t="e">
        <f>#REF!+"$Cm=!%i%"</f>
        <v>#REF!</v>
      </c>
      <c r="HG85" t="e">
        <f>#REF!+"$Cm=!%i&amp;"</f>
        <v>#REF!</v>
      </c>
      <c r="HH85" t="e">
        <f>#REF!+"$Cm=!%i'"</f>
        <v>#REF!</v>
      </c>
      <c r="HI85" t="e">
        <f>#REF!+"$Cm=!%i("</f>
        <v>#REF!</v>
      </c>
      <c r="HJ85" t="e">
        <f>#REF!+"$Cm=!%i)"</f>
        <v>#REF!</v>
      </c>
      <c r="HK85" t="e">
        <f>#REF!+"$Cm=!%i."</f>
        <v>#REF!</v>
      </c>
      <c r="HL85" t="e">
        <f>#REF!+"$Cm=!%i/"</f>
        <v>#REF!</v>
      </c>
      <c r="HM85" t="e">
        <f>#REF!+"$Cm=!%i0"</f>
        <v>#REF!</v>
      </c>
      <c r="HN85" t="e">
        <f>#REF!+"$Cm=!%i1"</f>
        <v>#REF!</v>
      </c>
      <c r="HO85" t="e">
        <f>#REF!+"$Cm=!%i2"</f>
        <v>#REF!</v>
      </c>
      <c r="HP85" t="e">
        <f>#REF!+"$Cm=!%i3"</f>
        <v>#REF!</v>
      </c>
      <c r="HQ85" t="e">
        <f>#REF!+"$Cm=!%i4"</f>
        <v>#REF!</v>
      </c>
      <c r="HR85" t="e">
        <f>#REF!+"$Cm=!%i5"</f>
        <v>#REF!</v>
      </c>
      <c r="HS85" t="e">
        <f>#REF!+"$Cm=!%i6"</f>
        <v>#REF!</v>
      </c>
      <c r="HT85" t="e">
        <f>#REF!+"$Cm=!%i7"</f>
        <v>#REF!</v>
      </c>
      <c r="HU85" t="e">
        <f>#REF!+"$Cm=!%i8"</f>
        <v>#REF!</v>
      </c>
      <c r="HV85" t="e">
        <f>#REF!+"$Cm=!%i9"</f>
        <v>#REF!</v>
      </c>
      <c r="HW85" t="e">
        <f>#REF!+"$Cm=!%i:"</f>
        <v>#REF!</v>
      </c>
      <c r="HX85" t="e">
        <f>#REF!+"$Cm=!%i;"</f>
        <v>#REF!</v>
      </c>
      <c r="HY85" t="e">
        <f>#REF!+"$Cm=!%i&lt;"</f>
        <v>#REF!</v>
      </c>
      <c r="HZ85" t="e">
        <f>#REF!+"$Cm=!%i="</f>
        <v>#REF!</v>
      </c>
      <c r="IA85" t="e">
        <f>#REF!+"$Cm=!%i&gt;"</f>
        <v>#REF!</v>
      </c>
      <c r="IB85" t="e">
        <f>#REF!+"$Cm=!%i?"</f>
        <v>#REF!</v>
      </c>
      <c r="IC85" t="e">
        <f>#REF!+"$Cm=!%i@"</f>
        <v>#REF!</v>
      </c>
      <c r="ID85" t="e">
        <f>#REF!+"$Cm=!%iA"</f>
        <v>#REF!</v>
      </c>
      <c r="IE85" t="e">
        <f>#REF!+"$Cm=!%iB"</f>
        <v>#REF!</v>
      </c>
      <c r="IF85" t="e">
        <f>#REF!+"$Cm=!%iC"</f>
        <v>#REF!</v>
      </c>
      <c r="IG85" t="e">
        <f>#REF!+"$Cm=!%iD"</f>
        <v>#REF!</v>
      </c>
      <c r="IH85" t="e">
        <f>#REF!+"$Cm=!%iE"</f>
        <v>#REF!</v>
      </c>
      <c r="II85" t="e">
        <f>#REF!+"$Cm=!%iF"</f>
        <v>#REF!</v>
      </c>
      <c r="IJ85" t="e">
        <f>#REF!+"$Cm=!%iG"</f>
        <v>#REF!</v>
      </c>
      <c r="IK85" t="e">
        <f>#REF!+"$Cm=!%iH"</f>
        <v>#REF!</v>
      </c>
      <c r="IL85" t="e">
        <f>#REF!+"$Cm=!%iI"</f>
        <v>#REF!</v>
      </c>
      <c r="IM85" t="e">
        <f>#REF!+"$Cm=!%iJ"</f>
        <v>#REF!</v>
      </c>
      <c r="IN85" t="e">
        <f>#REF!+"$Cm=!%iK"</f>
        <v>#REF!</v>
      </c>
      <c r="IO85" t="e">
        <f>#REF!+"$Cm=!%iL"</f>
        <v>#REF!</v>
      </c>
      <c r="IP85" t="e">
        <f>#REF!+"$Cm=!%iM"</f>
        <v>#REF!</v>
      </c>
      <c r="IQ85" t="e">
        <f>#REF!+"$Cm=!%iN"</f>
        <v>#REF!</v>
      </c>
      <c r="IR85" t="e">
        <f>#REF!+"$Cm=!%iO"</f>
        <v>#REF!</v>
      </c>
      <c r="IS85" t="e">
        <f>#REF!+"$Cm=!%iP"</f>
        <v>#REF!</v>
      </c>
      <c r="IT85" t="e">
        <f>#REF!+"$Cm=!%iQ"</f>
        <v>#REF!</v>
      </c>
      <c r="IU85" t="e">
        <f>#REF!+"$Cm=!%iR"</f>
        <v>#REF!</v>
      </c>
      <c r="IV85" t="e">
        <f>#REF!+"$Cm=!%iS"</f>
        <v>#REF!</v>
      </c>
    </row>
    <row r="86" spans="6:256">
      <c r="F86" t="e">
        <f>#REF!+"$Cm=!%iT"</f>
        <v>#REF!</v>
      </c>
      <c r="G86" t="e">
        <f>#REF!+"$Cm=!%iU"</f>
        <v>#REF!</v>
      </c>
      <c r="H86" t="e">
        <f>#REF!+"$Cm=!%iV"</f>
        <v>#REF!</v>
      </c>
      <c r="I86" t="e">
        <f>#REF!+"$Cm=!%iW"</f>
        <v>#REF!</v>
      </c>
      <c r="J86" t="e">
        <f>#REF!+"$Cm=!%iX"</f>
        <v>#REF!</v>
      </c>
      <c r="K86" t="e">
        <f>#REF!+"$Cm=!%iY"</f>
        <v>#REF!</v>
      </c>
      <c r="L86" t="e">
        <f>#REF!+"$Cm=!%iZ"</f>
        <v>#REF!</v>
      </c>
      <c r="M86" t="e">
        <f>#REF!+"$Cm=!%i["</f>
        <v>#REF!</v>
      </c>
      <c r="N86" t="e">
        <f>#REF!+"$Cm=!%i\"</f>
        <v>#REF!</v>
      </c>
      <c r="O86" t="e">
        <f>#REF!+"$Cm=!%i]"</f>
        <v>#REF!</v>
      </c>
      <c r="P86" t="e">
        <f>#REF!+"$Cm=!%i^"</f>
        <v>#REF!</v>
      </c>
      <c r="Q86" t="e">
        <f>#REF!+"$Cm=!%i_"</f>
        <v>#REF!</v>
      </c>
      <c r="R86" t="e">
        <f>#REF!+"$Cm=!%i`"</f>
        <v>#REF!</v>
      </c>
      <c r="S86" t="e">
        <f>#REF!+"$Cm=!%ia"</f>
        <v>#REF!</v>
      </c>
      <c r="T86" t="e">
        <f>#REF!+"$Cm=!%ib"</f>
        <v>#REF!</v>
      </c>
      <c r="U86" t="e">
        <f>#REF!+"$Cm=!%ic"</f>
        <v>#REF!</v>
      </c>
      <c r="V86" t="e">
        <f>#REF!+"$Cm=!%id"</f>
        <v>#REF!</v>
      </c>
      <c r="W86" t="e">
        <f>#REF!+"$Cm=!%ie"</f>
        <v>#REF!</v>
      </c>
      <c r="X86" t="e">
        <f>#REF!+"$Cm=!%if"</f>
        <v>#REF!</v>
      </c>
      <c r="Y86" t="e">
        <f>#REF!+"$Cm=!%ig"</f>
        <v>#REF!</v>
      </c>
      <c r="Z86" t="e">
        <f>#REF!+"$Cm=!%ih"</f>
        <v>#REF!</v>
      </c>
      <c r="AA86" t="e">
        <f>#REF!+"$Cm=!%ii"</f>
        <v>#REF!</v>
      </c>
      <c r="AB86" t="e">
        <f>#REF!+"$Cm=!%ij"</f>
        <v>#REF!</v>
      </c>
      <c r="AC86" t="e">
        <f>#REF!+"$Cm=!%ik"</f>
        <v>#REF!</v>
      </c>
      <c r="AD86" t="e">
        <f>#REF!+"$Cm=!%il"</f>
        <v>#REF!</v>
      </c>
      <c r="AE86" t="e">
        <f>#REF!+"$Cm=!%im"</f>
        <v>#REF!</v>
      </c>
      <c r="AF86" t="e">
        <f>#REF!+"$Cm=!%in"</f>
        <v>#REF!</v>
      </c>
      <c r="AG86" t="e">
        <f>#REF!+"$Cm=!%io"</f>
        <v>#REF!</v>
      </c>
      <c r="AH86" t="e">
        <f>#REF!+"$Cm=!%ip"</f>
        <v>#REF!</v>
      </c>
      <c r="AI86" t="e">
        <f>#REF!+"$Cm=!%iq"</f>
        <v>#REF!</v>
      </c>
      <c r="AJ86" t="e">
        <f>#REF!+"$Cm=!%ir"</f>
        <v>#REF!</v>
      </c>
      <c r="AK86" t="e">
        <f>#REF!+"$Cm=!%is"</f>
        <v>#REF!</v>
      </c>
      <c r="AL86" t="e">
        <f>#REF!+"$Cm=!%it"</f>
        <v>#REF!</v>
      </c>
      <c r="AM86" t="e">
        <f>#REF!+"$Cm=!%iu"</f>
        <v>#REF!</v>
      </c>
      <c r="AN86" t="e">
        <f>#REF!+"$Cm=!%iv"</f>
        <v>#REF!</v>
      </c>
      <c r="AO86" t="e">
        <f>#REF!+"$Cm=!%iw"</f>
        <v>#REF!</v>
      </c>
      <c r="AP86" t="e">
        <f>#REF!+"$Cm=!%ix"</f>
        <v>#REF!</v>
      </c>
      <c r="AQ86" t="e">
        <f>#REF!+"$Cm=!%iy"</f>
        <v>#REF!</v>
      </c>
      <c r="AR86" t="e">
        <f>#REF!+"$Cm=!%iz"</f>
        <v>#REF!</v>
      </c>
      <c r="AS86" t="e">
        <f>#REF!+"$Cm=!%i{"</f>
        <v>#REF!</v>
      </c>
      <c r="AT86" t="e">
        <f>#REF!+"$Cm=!%i|"</f>
        <v>#REF!</v>
      </c>
      <c r="AU86" t="e">
        <f>#REF!+"$Cm=!%i}"</f>
        <v>#REF!</v>
      </c>
      <c r="AV86" t="e">
        <f>#REF!+"$Cm=!%i~"</f>
        <v>#REF!</v>
      </c>
      <c r="AW86" t="e">
        <f>#REF!+"$Cm=!%j#"</f>
        <v>#REF!</v>
      </c>
      <c r="AX86" t="e">
        <f>#REF!+"$Cm=!%j$"</f>
        <v>#REF!</v>
      </c>
      <c r="AY86" t="e">
        <f>#REF!+"$Cm=!%j%"</f>
        <v>#REF!</v>
      </c>
      <c r="AZ86" t="e">
        <f>#REF!+"$Cm=!%j&amp;"</f>
        <v>#REF!</v>
      </c>
      <c r="BA86" t="e">
        <f>#REF!+"$Cm=!%j'"</f>
        <v>#REF!</v>
      </c>
      <c r="BB86" t="e">
        <f>#REF!+"$Cm=!%j("</f>
        <v>#REF!</v>
      </c>
      <c r="BC86" t="e">
        <f>#REF!+"$Cm=!%j)"</f>
        <v>#REF!</v>
      </c>
      <c r="BD86" t="e">
        <f>#REF!+"$Cm=!%j."</f>
        <v>#REF!</v>
      </c>
      <c r="BE86" t="e">
        <f>#REF!+"$Cm=!%j/"</f>
        <v>#REF!</v>
      </c>
      <c r="BF86" t="e">
        <f>#REF!+"$Cm=!%j0"</f>
        <v>#REF!</v>
      </c>
      <c r="BG86" t="e">
        <f>#REF!+"$Cm=!%j1"</f>
        <v>#REF!</v>
      </c>
      <c r="BH86" t="e">
        <f>#REF!+"$Cm=!%j2"</f>
        <v>#REF!</v>
      </c>
      <c r="BI86" t="e">
        <f>#REF!+"$Cm=!%j3"</f>
        <v>#REF!</v>
      </c>
      <c r="BJ86" t="e">
        <f>#REF!+"$Cm=!%j4"</f>
        <v>#REF!</v>
      </c>
      <c r="BK86" t="e">
        <f>#REF!+"$Cm=!%j5"</f>
        <v>#REF!</v>
      </c>
      <c r="BL86" t="e">
        <f>#REF!+"$Cm=!%j6"</f>
        <v>#REF!</v>
      </c>
      <c r="BM86" t="e">
        <f>#REF!+"$Cm=!%j7"</f>
        <v>#REF!</v>
      </c>
      <c r="BN86" t="e">
        <f>#REF!+"$Cm=!%j8"</f>
        <v>#REF!</v>
      </c>
      <c r="BO86" t="e">
        <f>#REF!+"$Cm=!%j9"</f>
        <v>#REF!</v>
      </c>
      <c r="BP86" t="e">
        <f>#REF!+"$Cm=!%j:"</f>
        <v>#REF!</v>
      </c>
      <c r="BQ86" t="e">
        <f>#REF!+"$Cm=!%j;"</f>
        <v>#REF!</v>
      </c>
      <c r="BR86" t="e">
        <f>#REF!+"$Cm=!%j&lt;"</f>
        <v>#REF!</v>
      </c>
      <c r="BS86" t="e">
        <f>#REF!+"$Cm=!%j="</f>
        <v>#REF!</v>
      </c>
      <c r="BT86" t="e">
        <f>#REF!+"$Cm=!%j&gt;"</f>
        <v>#REF!</v>
      </c>
      <c r="BU86" t="e">
        <f>#REF!+"$Cm=!%j?"</f>
        <v>#REF!</v>
      </c>
      <c r="BV86" t="e">
        <f>#REF!+"$Cm=!%j@"</f>
        <v>#REF!</v>
      </c>
      <c r="BW86" t="e">
        <f>#REF!+"$Cm=!%jA"</f>
        <v>#REF!</v>
      </c>
      <c r="BX86" t="e">
        <f>#REF!+"$Cm=!%jB"</f>
        <v>#REF!</v>
      </c>
      <c r="BY86" t="e">
        <f>#REF!+"$Cm=!%jC"</f>
        <v>#REF!</v>
      </c>
      <c r="BZ86" t="e">
        <f>#REF!+"$Cm=!%jD"</f>
        <v>#REF!</v>
      </c>
      <c r="CA86" t="e">
        <f>#REF!+"$Cm=!%jE"</f>
        <v>#REF!</v>
      </c>
      <c r="CB86" t="e">
        <f>#REF!+"$Cm=!%jF"</f>
        <v>#REF!</v>
      </c>
      <c r="CC86" t="e">
        <f>#REF!+"$Cm=!%jG"</f>
        <v>#REF!</v>
      </c>
      <c r="CD86" t="e">
        <f>#REF!+"$Cm=!%jH"</f>
        <v>#REF!</v>
      </c>
      <c r="CE86" t="e">
        <f>#REF!+"$Cm=!%jI"</f>
        <v>#REF!</v>
      </c>
      <c r="CF86" t="e">
        <f>#REF!+"$Cm=!%jJ"</f>
        <v>#REF!</v>
      </c>
      <c r="CG86" t="e">
        <f>#REF!+"$Cm=!%jK"</f>
        <v>#REF!</v>
      </c>
      <c r="CH86" t="e">
        <f>#REF!+"$Cm=!%jL"</f>
        <v>#REF!</v>
      </c>
      <c r="CI86" t="e">
        <f>#REF!+"$Cm=!%jM"</f>
        <v>#REF!</v>
      </c>
      <c r="CJ86" t="e">
        <f>#REF!+"$Cm=!%jN"</f>
        <v>#REF!</v>
      </c>
      <c r="CK86" t="e">
        <f>#REF!+"$Cm=!%jO"</f>
        <v>#REF!</v>
      </c>
      <c r="CL86" t="e">
        <f>#REF!+"$Cm=!%jP"</f>
        <v>#REF!</v>
      </c>
      <c r="CM86" t="e">
        <f>#REF!+"$Cm=!%jQ"</f>
        <v>#REF!</v>
      </c>
      <c r="CN86" t="e">
        <f>#REF!+"$Cm=!%jR"</f>
        <v>#REF!</v>
      </c>
      <c r="CO86" t="e">
        <f>#REF!+"$Cm=!%jS"</f>
        <v>#REF!</v>
      </c>
      <c r="CP86" t="e">
        <f>#REF!+"$Cm=!%jT"</f>
        <v>#REF!</v>
      </c>
      <c r="CQ86" t="e">
        <f>#REF!+"$Cm=!%jU"</f>
        <v>#REF!</v>
      </c>
      <c r="CR86" t="e">
        <f>#REF!+"$Cm=!%jV"</f>
        <v>#REF!</v>
      </c>
      <c r="CS86" t="e">
        <f>#REF!+"$Cm=!%jW"</f>
        <v>#REF!</v>
      </c>
      <c r="CT86" t="e">
        <f>#REF!+"$Cm=!%jX"</f>
        <v>#REF!</v>
      </c>
      <c r="CU86" t="e">
        <f>#REF!+"$Cm=!%jY"</f>
        <v>#REF!</v>
      </c>
      <c r="CV86" t="e">
        <f>#REF!+"$Cm=!%jZ"</f>
        <v>#REF!</v>
      </c>
      <c r="CW86" t="e">
        <f>#REF!+"$Cm=!%j["</f>
        <v>#REF!</v>
      </c>
      <c r="CX86" t="e">
        <f>#REF!+"$Cm=!%j\"</f>
        <v>#REF!</v>
      </c>
      <c r="CY86" t="e">
        <f>#REF!+"$Cm=!%j]"</f>
        <v>#REF!</v>
      </c>
      <c r="CZ86" t="e">
        <f>#REF!+"$Cm=!%j^"</f>
        <v>#REF!</v>
      </c>
      <c r="DA86" t="e">
        <f>#REF!+"$Cm=!%j_"</f>
        <v>#REF!</v>
      </c>
      <c r="DB86" t="e">
        <f>#REF!+"$Cm=!%j`"</f>
        <v>#REF!</v>
      </c>
      <c r="DC86" t="e">
        <f>#REF!+"$Cm=!%ja"</f>
        <v>#REF!</v>
      </c>
      <c r="DD86" t="e">
        <f>#REF!+"$Cm=!%jb"</f>
        <v>#REF!</v>
      </c>
      <c r="DE86" t="e">
        <f>#REF!+"$Cm=!%jc"</f>
        <v>#REF!</v>
      </c>
      <c r="DF86" t="e">
        <f>#REF!+"$Cm=!%jd"</f>
        <v>#REF!</v>
      </c>
      <c r="DG86" t="e">
        <f>#REF!+"$Cm=!%je"</f>
        <v>#REF!</v>
      </c>
      <c r="DH86" t="e">
        <f>#REF!+"$Cm=!%jf"</f>
        <v>#REF!</v>
      </c>
      <c r="DI86" t="e">
        <f>#REF!+"$Cm=!%jg"</f>
        <v>#REF!</v>
      </c>
      <c r="DJ86" t="e">
        <f>#REF!+"$Cm=!%jh"</f>
        <v>#REF!</v>
      </c>
      <c r="DK86" t="e">
        <f>#REF!+"$Cm=!%ji"</f>
        <v>#REF!</v>
      </c>
      <c r="DL86" t="e">
        <f>#REF!+"$Cm=!%jj"</f>
        <v>#REF!</v>
      </c>
      <c r="DM86" t="e">
        <f>#REF!+"$Cm=!%jk"</f>
        <v>#REF!</v>
      </c>
      <c r="DN86" t="e">
        <f>#REF!+"$Cm=!%jl"</f>
        <v>#REF!</v>
      </c>
      <c r="DO86" t="e">
        <f>#REF!+"$Cm=!%jm"</f>
        <v>#REF!</v>
      </c>
      <c r="DP86" t="e">
        <f>#REF!+"$Cm=!%jn"</f>
        <v>#REF!</v>
      </c>
      <c r="DQ86" t="e">
        <f>#REF!+"$Cm=!%jo"</f>
        <v>#REF!</v>
      </c>
      <c r="DR86" t="e">
        <f>#REF!+"$Cm=!%jp"</f>
        <v>#REF!</v>
      </c>
      <c r="DS86" t="e">
        <f>#REF!+"$Cm=!%jq"</f>
        <v>#REF!</v>
      </c>
      <c r="DT86" t="e">
        <f>#REF!+"$Cm=!%jr"</f>
        <v>#REF!</v>
      </c>
      <c r="DU86" t="e">
        <f>#REF!+"$Cm=!%js"</f>
        <v>#REF!</v>
      </c>
      <c r="DV86" t="e">
        <f>#REF!+"$Cm=!%jt"</f>
        <v>#REF!</v>
      </c>
      <c r="DW86" t="e">
        <f>#REF!+"$Cm=!%ju"</f>
        <v>#REF!</v>
      </c>
      <c r="DX86" t="e">
        <f>#REF!+"$Cm=!%jv"</f>
        <v>#REF!</v>
      </c>
      <c r="DY86" t="e">
        <f>#REF!+"$Cm=!%jw"</f>
        <v>#REF!</v>
      </c>
      <c r="DZ86" t="e">
        <f>#REF!+"$Cm=!%jx"</f>
        <v>#REF!</v>
      </c>
      <c r="EA86" t="e">
        <f>#REF!+"$Cm=!%jy"</f>
        <v>#REF!</v>
      </c>
      <c r="EB86" t="e">
        <f>#REF!+"$Cm=!%jz"</f>
        <v>#REF!</v>
      </c>
      <c r="EC86" t="e">
        <f>#REF!+"$Cm=!%j{"</f>
        <v>#REF!</v>
      </c>
      <c r="ED86" t="e">
        <f>#REF!+"$Cm=!%j|"</f>
        <v>#REF!</v>
      </c>
      <c r="EE86" t="e">
        <f>#REF!+"$Cm=!%j}"</f>
        <v>#REF!</v>
      </c>
      <c r="EF86" t="e">
        <f>#REF!+"$Cm=!%j~"</f>
        <v>#REF!</v>
      </c>
      <c r="EG86" t="e">
        <f>#REF!+"$Cm=!%k#"</f>
        <v>#REF!</v>
      </c>
      <c r="EH86" t="e">
        <f>#REF!+"$Cm=!%k$"</f>
        <v>#REF!</v>
      </c>
      <c r="EI86" t="e">
        <f>#REF!+"$Cm=!%k%"</f>
        <v>#REF!</v>
      </c>
      <c r="EJ86" t="e">
        <f>#REF!+"$Cm=!%k&amp;"</f>
        <v>#REF!</v>
      </c>
      <c r="EK86" t="e">
        <f>#REF!+"$Cm=!%k'"</f>
        <v>#REF!</v>
      </c>
      <c r="EL86" t="e">
        <f>#REF!+"$Cm=!%k("</f>
        <v>#REF!</v>
      </c>
      <c r="EM86" t="e">
        <f>#REF!+"$Cm=!%k)"</f>
        <v>#REF!</v>
      </c>
      <c r="EN86" t="e">
        <f>#REF!+"$Cm=!%k."</f>
        <v>#REF!</v>
      </c>
      <c r="EO86" t="e">
        <f>#REF!+"$Cm=!%k/"</f>
        <v>#REF!</v>
      </c>
      <c r="EP86" t="e">
        <f>#REF!+"$Cm=!%k0"</f>
        <v>#REF!</v>
      </c>
      <c r="EQ86" t="e">
        <f>#REF!+"$Cm=!%k1"</f>
        <v>#REF!</v>
      </c>
      <c r="ER86" t="e">
        <f>#REF!+"$Cm=!%k2"</f>
        <v>#REF!</v>
      </c>
      <c r="ES86" t="e">
        <f>#REF!+"$Cm=!%k3"</f>
        <v>#REF!</v>
      </c>
      <c r="ET86" t="e">
        <f>#REF!+"$Cm=!%k4"</f>
        <v>#REF!</v>
      </c>
      <c r="EU86" t="e">
        <f>#REF!+"$Cm=!%k5"</f>
        <v>#REF!</v>
      </c>
      <c r="EV86" t="e">
        <f>#REF!+"$Cm=!%k6"</f>
        <v>#REF!</v>
      </c>
      <c r="EW86" t="e">
        <f>#REF!+"$Cm=!%k7"</f>
        <v>#REF!</v>
      </c>
      <c r="EX86" t="e">
        <f>#REF!+"$Cm=!%k8"</f>
        <v>#REF!</v>
      </c>
      <c r="EY86" t="e">
        <f>#REF!+"$Cm=!%k9"</f>
        <v>#REF!</v>
      </c>
      <c r="EZ86" t="e">
        <f>#REF!+"$Cm=!%k:"</f>
        <v>#REF!</v>
      </c>
      <c r="FA86" t="e">
        <f>#REF!+"$Cm=!%k;"</f>
        <v>#REF!</v>
      </c>
      <c r="FB86" t="e">
        <f>#REF!+"$Cm=!%k&lt;"</f>
        <v>#REF!</v>
      </c>
      <c r="FC86" t="e">
        <f>#REF!+"$Cm=!%k="</f>
        <v>#REF!</v>
      </c>
      <c r="FD86" t="e">
        <f>#REF!+"$Cm=!%k&gt;"</f>
        <v>#REF!</v>
      </c>
      <c r="FE86" t="e">
        <f>#REF!+"$Cm=!%k?"</f>
        <v>#REF!</v>
      </c>
      <c r="FF86" t="e">
        <f>#REF!+"$Cm=!%k@"</f>
        <v>#REF!</v>
      </c>
      <c r="FG86" t="e">
        <f>#REF!+"$Cm=!%kA"</f>
        <v>#REF!</v>
      </c>
      <c r="FH86" t="e">
        <f>#REF!+"$Cm=!%kB"</f>
        <v>#REF!</v>
      </c>
      <c r="FI86" t="e">
        <f>#REF!+"$Cm=!%kC"</f>
        <v>#REF!</v>
      </c>
      <c r="FJ86" t="e">
        <f>#REF!+"$Cm=!%kD"</f>
        <v>#REF!</v>
      </c>
      <c r="FK86" t="e">
        <f>#REF!+"$Cm=!%kE"</f>
        <v>#REF!</v>
      </c>
      <c r="FL86" t="e">
        <f>#REF!+"$Cm=!%kF"</f>
        <v>#REF!</v>
      </c>
      <c r="FM86" t="e">
        <f>#REF!+"$Cm=!%kG"</f>
        <v>#REF!</v>
      </c>
      <c r="FN86" t="e">
        <f>#REF!+"$Cm=!%kH"</f>
        <v>#REF!</v>
      </c>
      <c r="FO86" t="e">
        <f>#REF!+"$Cm=!%kI"</f>
        <v>#REF!</v>
      </c>
      <c r="FP86" t="e">
        <f>#REF!+"$Cm=!%kJ"</f>
        <v>#REF!</v>
      </c>
      <c r="FQ86" t="e">
        <f>#REF!+"$Cm=!%kK"</f>
        <v>#REF!</v>
      </c>
      <c r="FR86" t="e">
        <f>#REF!+"$Cm=!%kL"</f>
        <v>#REF!</v>
      </c>
      <c r="FS86" t="e">
        <f>#REF!+"$Cm=!%kM"</f>
        <v>#REF!</v>
      </c>
      <c r="FT86" t="e">
        <f>#REF!+"$Cm=!%kN"</f>
        <v>#REF!</v>
      </c>
      <c r="FU86" t="e">
        <f>#REF!+"$Cm=!%kO"</f>
        <v>#REF!</v>
      </c>
      <c r="FV86" t="e">
        <f>#REF!+"$Cm=!%kP"</f>
        <v>#REF!</v>
      </c>
      <c r="FW86" t="e">
        <f>#REF!+"$Cm=!%kQ"</f>
        <v>#REF!</v>
      </c>
      <c r="FX86" t="e">
        <f>#REF!+"$Cm=!%kR"</f>
        <v>#REF!</v>
      </c>
      <c r="FY86" t="e">
        <f>#REF!+"$Cm=!%kS"</f>
        <v>#REF!</v>
      </c>
      <c r="FZ86" t="e">
        <f>#REF!+"$Cm=!%kT"</f>
        <v>#REF!</v>
      </c>
      <c r="GA86" t="e">
        <f>#REF!+"$Cm=!%kU"</f>
        <v>#REF!</v>
      </c>
      <c r="GB86" t="e">
        <f>#REF!+"$Cm=!%kV"</f>
        <v>#REF!</v>
      </c>
      <c r="GC86" t="e">
        <f>#REF!+"$Cm=!%kW"</f>
        <v>#REF!</v>
      </c>
      <c r="GD86" t="e">
        <f>#REF!+"$Cm=!%kX"</f>
        <v>#REF!</v>
      </c>
      <c r="GE86" t="e">
        <f>#REF!+"$Cm=!%kY"</f>
        <v>#REF!</v>
      </c>
      <c r="GF86" t="e">
        <f>#REF!+"$Cm=!%kZ"</f>
        <v>#REF!</v>
      </c>
      <c r="GG86" t="e">
        <f>#REF!+"$Cm=!%k["</f>
        <v>#REF!</v>
      </c>
      <c r="GH86" t="e">
        <f>#REF!+"$Cm=!%k\"</f>
        <v>#REF!</v>
      </c>
      <c r="GI86" t="e">
        <f>#REF!+"$Cm=!%k]"</f>
        <v>#REF!</v>
      </c>
      <c r="GJ86" t="e">
        <f>#REF!+"$Cm=!%k^"</f>
        <v>#REF!</v>
      </c>
      <c r="GK86" t="e">
        <f>#REF!+"$Cm=!%k_"</f>
        <v>#REF!</v>
      </c>
      <c r="GL86" t="e">
        <f>#REF!+"$Cm=!%k`"</f>
        <v>#REF!</v>
      </c>
      <c r="GM86" t="e">
        <f>#REF!+"$Cm=!%ka"</f>
        <v>#REF!</v>
      </c>
      <c r="GN86" t="e">
        <f>#REF!+"$Cm=!%kb"</f>
        <v>#REF!</v>
      </c>
      <c r="GO86" t="e">
        <f>#REF!+"$Cm=!%kc"</f>
        <v>#REF!</v>
      </c>
      <c r="GP86" t="e">
        <f>#REF!+"$Cm=!%kd"</f>
        <v>#REF!</v>
      </c>
      <c r="GQ86" t="e">
        <f>#REF!+"$Cm=!%ke"</f>
        <v>#REF!</v>
      </c>
      <c r="GR86" t="e">
        <f>#REF!+"$Cm=!%kf"</f>
        <v>#REF!</v>
      </c>
      <c r="GS86" t="e">
        <f>#REF!+"$Cm=!%kg"</f>
        <v>#REF!</v>
      </c>
      <c r="GT86" t="e">
        <f>#REF!+"$Cm=!%kh"</f>
        <v>#REF!</v>
      </c>
      <c r="GU86" t="e">
        <f>#REF!+"$Cm=!%ki"</f>
        <v>#REF!</v>
      </c>
      <c r="GV86" t="e">
        <f>#REF!+"$Cm=!%kj"</f>
        <v>#REF!</v>
      </c>
      <c r="GW86" t="e">
        <f>#REF!+"$Cm=!%kk"</f>
        <v>#REF!</v>
      </c>
      <c r="GX86" t="e">
        <f>#REF!+"$Cm=!%kl"</f>
        <v>#REF!</v>
      </c>
      <c r="GY86" t="e">
        <f>#REF!+"$Cm=!%km"</f>
        <v>#REF!</v>
      </c>
      <c r="GZ86" t="e">
        <f>#REF!+"$Cm=!%kn"</f>
        <v>#REF!</v>
      </c>
      <c r="HA86" t="e">
        <f>#REF!+"$Cm=!%ko"</f>
        <v>#REF!</v>
      </c>
      <c r="HB86" t="e">
        <f>#REF!+"$Cm=!%kp"</f>
        <v>#REF!</v>
      </c>
      <c r="HC86" t="e">
        <f>#REF!+"$Cm=!%kq"</f>
        <v>#REF!</v>
      </c>
      <c r="HD86" t="e">
        <f>#REF!+"$Cm=!%kr"</f>
        <v>#REF!</v>
      </c>
      <c r="HE86" t="e">
        <f>#REF!+"$Cm=!%ks"</f>
        <v>#REF!</v>
      </c>
      <c r="HF86" t="e">
        <f>#REF!+"$Cm=!%kt"</f>
        <v>#REF!</v>
      </c>
      <c r="HG86" t="e">
        <f>#REF!+"$Cm=!%ku"</f>
        <v>#REF!</v>
      </c>
      <c r="HH86" t="e">
        <f>#REF!+"$Cm=!%kv"</f>
        <v>#REF!</v>
      </c>
      <c r="HI86" t="e">
        <f>#REF!+"$Cm=!%kw"</f>
        <v>#REF!</v>
      </c>
      <c r="HJ86" t="e">
        <f>#REF!+"$Cm=!%kx"</f>
        <v>#REF!</v>
      </c>
      <c r="HK86" t="e">
        <f>#REF!+"$Cm=!%ky"</f>
        <v>#REF!</v>
      </c>
      <c r="HL86" t="e">
        <f>#REF!+"$Cm=!%kz"</f>
        <v>#REF!</v>
      </c>
      <c r="HM86" t="e">
        <f>#REF!+"$Cm=!%k{"</f>
        <v>#REF!</v>
      </c>
      <c r="HN86" t="e">
        <f>#REF!+"$Cm=!%k|"</f>
        <v>#REF!</v>
      </c>
      <c r="HO86" t="e">
        <f>#REF!+"$Cm=!%k}"</f>
        <v>#REF!</v>
      </c>
      <c r="HP86" t="e">
        <f>#REF!+"$Cm=!%k~"</f>
        <v>#REF!</v>
      </c>
      <c r="HQ86" t="e">
        <f>#REF!+"$Cm=!%l#"</f>
        <v>#REF!</v>
      </c>
      <c r="HR86" t="e">
        <f>#REF!+"$Cm=!%l$"</f>
        <v>#REF!</v>
      </c>
      <c r="HS86" t="e">
        <f>#REF!+"$Cm=!%l%"</f>
        <v>#REF!</v>
      </c>
      <c r="HT86" t="e">
        <f>#REF!+"$Cm=!%l&amp;"</f>
        <v>#REF!</v>
      </c>
      <c r="HU86" t="e">
        <f>#REF!+"$Cm=!%l'"</f>
        <v>#REF!</v>
      </c>
      <c r="HV86" t="e">
        <f>#REF!+"$Cm=!%l("</f>
        <v>#REF!</v>
      </c>
      <c r="HW86" t="e">
        <f>#REF!+"$Cm=!%l)"</f>
        <v>#REF!</v>
      </c>
      <c r="HX86" t="e">
        <f>#REF!+"$Cm=!%l."</f>
        <v>#REF!</v>
      </c>
      <c r="HY86" t="e">
        <f>#REF!+"$Cm=!%l/"</f>
        <v>#REF!</v>
      </c>
      <c r="HZ86" t="e">
        <f>#REF!+"$Cm=!%l0"</f>
        <v>#REF!</v>
      </c>
      <c r="IA86" t="e">
        <f>#REF!+"$Cm=!%l1"</f>
        <v>#REF!</v>
      </c>
      <c r="IB86" t="e">
        <f>#REF!+"$Cm=!%l2"</f>
        <v>#REF!</v>
      </c>
      <c r="IC86" t="e">
        <f>#REF!+"$Cm=!%l3"</f>
        <v>#REF!</v>
      </c>
      <c r="ID86" t="e">
        <f>#REF!+"$Cm=!%l4"</f>
        <v>#REF!</v>
      </c>
      <c r="IE86" t="e">
        <f>#REF!+"$Cm=!%l5"</f>
        <v>#REF!</v>
      </c>
      <c r="IF86" t="e">
        <f>#REF!+"$Cm=!%l6"</f>
        <v>#REF!</v>
      </c>
      <c r="IG86" t="e">
        <f>#REF!+"$Cm=!%l7"</f>
        <v>#REF!</v>
      </c>
      <c r="IH86" t="e">
        <f>#REF!+"$Cm=!%l8"</f>
        <v>#REF!</v>
      </c>
      <c r="II86" t="e">
        <f>#REF!+"$Cm=!%l9"</f>
        <v>#REF!</v>
      </c>
      <c r="IJ86" t="e">
        <f>#REF!+"$Cm=!%l:"</f>
        <v>#REF!</v>
      </c>
      <c r="IK86" t="e">
        <f>#REF!+"$Cm=!%l;"</f>
        <v>#REF!</v>
      </c>
      <c r="IL86" t="e">
        <f>#REF!+"$Cm=!%l&lt;"</f>
        <v>#REF!</v>
      </c>
      <c r="IM86" t="e">
        <f>#REF!+"$Cm=!%l="</f>
        <v>#REF!</v>
      </c>
      <c r="IN86" t="e">
        <f>#REF!+"$Cm=!%l&gt;"</f>
        <v>#REF!</v>
      </c>
      <c r="IO86" t="e">
        <f>#REF!+"$Cm=!%l?"</f>
        <v>#REF!</v>
      </c>
      <c r="IP86" t="e">
        <f>#REF!+"$Cm=!%l@"</f>
        <v>#REF!</v>
      </c>
      <c r="IQ86" t="e">
        <f>#REF!+"$Cm=!%lA"</f>
        <v>#REF!</v>
      </c>
      <c r="IR86" t="e">
        <f>#REF!+"$Cm=!%lB"</f>
        <v>#REF!</v>
      </c>
      <c r="IS86" t="e">
        <f>#REF!+"$Cm=!%lC"</f>
        <v>#REF!</v>
      </c>
      <c r="IT86" t="e">
        <f>#REF!+"$Cm=!%lD"</f>
        <v>#REF!</v>
      </c>
      <c r="IU86" t="e">
        <f>#REF!+"$Cm=!%lE"</f>
        <v>#REF!</v>
      </c>
      <c r="IV86" t="e">
        <f>#REF!+"$Cm=!%lF"</f>
        <v>#REF!</v>
      </c>
    </row>
    <row r="87" spans="6:256">
      <c r="F87" t="e">
        <f>#REF!+"$Cm=!%lG"</f>
        <v>#REF!</v>
      </c>
      <c r="G87" t="e">
        <f>#REF!+"$Cm=!%lH"</f>
        <v>#REF!</v>
      </c>
      <c r="H87" t="e">
        <f>#REF!+"$Cm=!%lI"</f>
        <v>#REF!</v>
      </c>
      <c r="I87" t="e">
        <f>#REF!+"$Cm=!%lJ"</f>
        <v>#REF!</v>
      </c>
      <c r="J87" t="e">
        <f>#REF!+"$Cm=!%lK"</f>
        <v>#REF!</v>
      </c>
      <c r="K87" t="e">
        <f>#REF!+"$Cm=!%lL"</f>
        <v>#REF!</v>
      </c>
      <c r="L87" t="e">
        <f>#REF!+"$Cm=!%lM"</f>
        <v>#REF!</v>
      </c>
      <c r="M87" t="e">
        <f>#REF!+"$Cm=!%lN"</f>
        <v>#REF!</v>
      </c>
      <c r="N87" t="e">
        <f>#REF!+"$Cm=!%lO"</f>
        <v>#REF!</v>
      </c>
      <c r="O87" t="e">
        <f>#REF!+"$Cm=!%lP"</f>
        <v>#REF!</v>
      </c>
      <c r="P87" t="e">
        <f>#REF!+"$Cm=!%lQ"</f>
        <v>#REF!</v>
      </c>
      <c r="Q87" t="e">
        <f>#REF!+"$Cm=!%lR"</f>
        <v>#REF!</v>
      </c>
      <c r="R87" t="e">
        <f>#REF!+"$Cm=!%lS"</f>
        <v>#REF!</v>
      </c>
      <c r="S87" t="e">
        <f>#REF!+"$Cm=!%lT"</f>
        <v>#REF!</v>
      </c>
      <c r="T87" t="e">
        <f>#REF!+"$Cm=!%lU"</f>
        <v>#REF!</v>
      </c>
      <c r="U87" t="e">
        <f>#REF!+"$Cm=!%lV"</f>
        <v>#REF!</v>
      </c>
      <c r="V87" t="e">
        <f>#REF!+"$Cm=!%lW"</f>
        <v>#REF!</v>
      </c>
      <c r="W87" t="e">
        <f>#REF!+"$Cm=!%lX"</f>
        <v>#REF!</v>
      </c>
      <c r="X87" t="e">
        <f>#REF!+"$Cm=!%lY"</f>
        <v>#REF!</v>
      </c>
      <c r="Y87" t="e">
        <f>#REF!+"$Cm=!%lZ"</f>
        <v>#REF!</v>
      </c>
      <c r="Z87" t="e">
        <f>#REF!+"$Cm=!%l["</f>
        <v>#REF!</v>
      </c>
      <c r="AA87" t="e">
        <f>#REF!+"$Cm=!%l\"</f>
        <v>#REF!</v>
      </c>
      <c r="AB87" t="e">
        <f>#REF!+"$Cm=!%l]"</f>
        <v>#REF!</v>
      </c>
      <c r="AC87" t="e">
        <f>#REF!+"$Cm=!%l^"</f>
        <v>#REF!</v>
      </c>
      <c r="AD87" t="e">
        <f>#REF!+"$Cm=!%l_"</f>
        <v>#REF!</v>
      </c>
      <c r="AE87" t="e">
        <f>#REF!+"$Cm=!%l`"</f>
        <v>#REF!</v>
      </c>
      <c r="AF87" t="e">
        <f>#REF!+"$Cm=!%la"</f>
        <v>#REF!</v>
      </c>
      <c r="AG87" t="e">
        <f>#REF!+"$Cm=!%lb"</f>
        <v>#REF!</v>
      </c>
      <c r="AH87" t="e">
        <f>#REF!+"$Cm=!%lc"</f>
        <v>#REF!</v>
      </c>
      <c r="AI87" t="e">
        <f>#REF!+"$Cm=!%ld"</f>
        <v>#REF!</v>
      </c>
      <c r="AJ87" t="e">
        <f>#REF!+"$Cm=!%le"</f>
        <v>#REF!</v>
      </c>
      <c r="AK87" t="e">
        <f>#REF!+"$Cm=!%lf"</f>
        <v>#REF!</v>
      </c>
      <c r="AL87" t="e">
        <f>#REF!+"$Cm=!%lg"</f>
        <v>#REF!</v>
      </c>
      <c r="AM87" t="e">
        <f>#REF!+"$Cm=!%lh"</f>
        <v>#REF!</v>
      </c>
      <c r="AN87" t="e">
        <f>#REF!+"$Cm=!%li"</f>
        <v>#REF!</v>
      </c>
      <c r="AO87" t="e">
        <f>#REF!+"$Cm=!%lj"</f>
        <v>#REF!</v>
      </c>
      <c r="AP87" t="e">
        <f>#REF!+"$Cm=!%lk"</f>
        <v>#REF!</v>
      </c>
      <c r="AQ87" t="e">
        <f>#REF!+"$Cm=!%ll"</f>
        <v>#REF!</v>
      </c>
      <c r="AR87" t="e">
        <f>#REF!+"$Cm=!%lm"</f>
        <v>#REF!</v>
      </c>
      <c r="AS87" t="e">
        <f>#REF!+"$Cm=!%ln"</f>
        <v>#REF!</v>
      </c>
      <c r="AT87" t="e">
        <f>#REF!+"$Cm=!%lo"</f>
        <v>#REF!</v>
      </c>
      <c r="AU87" t="e">
        <f>#REF!+"$Cm=!%lp"</f>
        <v>#REF!</v>
      </c>
      <c r="AV87" t="e">
        <f>#REF!+"$Cm=!%lq"</f>
        <v>#REF!</v>
      </c>
      <c r="AW87" t="e">
        <f>#REF!+"$Cm=!%lr"</f>
        <v>#REF!</v>
      </c>
      <c r="AX87" t="e">
        <f>#REF!+"$Cm=!%ls"</f>
        <v>#REF!</v>
      </c>
      <c r="AY87" t="e">
        <f>#REF!+"$Cm=!%lt"</f>
        <v>#REF!</v>
      </c>
      <c r="AZ87" t="e">
        <f>#REF!+"$Cm=!%lu"</f>
        <v>#REF!</v>
      </c>
      <c r="BA87" t="e">
        <f>#REF!+"$Cm=!%lv"</f>
        <v>#REF!</v>
      </c>
      <c r="BB87" t="e">
        <f>#REF!+"$Cm=!%lw"</f>
        <v>#REF!</v>
      </c>
      <c r="BC87" t="e">
        <f>#REF!+"$Cm=!%lx"</f>
        <v>#REF!</v>
      </c>
      <c r="BD87" t="e">
        <f>#REF!+"$Cm=!%ly"</f>
        <v>#REF!</v>
      </c>
      <c r="BE87" t="e">
        <f>#REF!+"$Cm=!%lz"</f>
        <v>#REF!</v>
      </c>
      <c r="BF87" t="e">
        <f>#REF!+"$Cm=!%l{"</f>
        <v>#REF!</v>
      </c>
      <c r="BG87" t="e">
        <f>#REF!+"$Cm=!%l|"</f>
        <v>#REF!</v>
      </c>
      <c r="BH87" t="e">
        <f>#REF!+"$Cm=!%l}"</f>
        <v>#REF!</v>
      </c>
      <c r="BI87" t="e">
        <f>#REF!+"$Cm=!%l~"</f>
        <v>#REF!</v>
      </c>
      <c r="BJ87" t="e">
        <f>#REF!+"$Cm=!%m#"</f>
        <v>#REF!</v>
      </c>
      <c r="BK87" t="e">
        <f>#REF!+"$Cm=!%m$"</f>
        <v>#REF!</v>
      </c>
      <c r="BL87" t="e">
        <f>#REF!+"$Cm=!%m%"</f>
        <v>#REF!</v>
      </c>
      <c r="BM87" t="e">
        <f>#REF!+"$Cm=!%m&amp;"</f>
        <v>#REF!</v>
      </c>
      <c r="BN87" t="e">
        <f>#REF!+"$Cm=!%m'"</f>
        <v>#REF!</v>
      </c>
      <c r="BO87" t="e">
        <f>#REF!+"$Cm=!%m("</f>
        <v>#REF!</v>
      </c>
      <c r="BP87" t="e">
        <f>#REF!+"$Cm=!%m)"</f>
        <v>#REF!</v>
      </c>
      <c r="BQ87" t="e">
        <f>#REF!+"$Cm=!%m."</f>
        <v>#REF!</v>
      </c>
      <c r="BR87" t="e">
        <f>#REF!+"$Cm=!%m/"</f>
        <v>#REF!</v>
      </c>
      <c r="BS87" t="e">
        <f>#REF!+"$Cm=!%m0"</f>
        <v>#REF!</v>
      </c>
      <c r="BT87" t="e">
        <f>#REF!+"$Cm=!%m1"</f>
        <v>#REF!</v>
      </c>
      <c r="BU87" t="e">
        <f>#REF!+"$Cm=!%m2"</f>
        <v>#REF!</v>
      </c>
      <c r="BV87" t="e">
        <f>#REF!+"$Cm=!%m3"</f>
        <v>#REF!</v>
      </c>
      <c r="BW87" t="e">
        <f>#REF!+"$Cm=!%m4"</f>
        <v>#REF!</v>
      </c>
      <c r="BX87" t="e">
        <f>#REF!+"$Cm=!%m5"</f>
        <v>#REF!</v>
      </c>
      <c r="BY87" t="e">
        <f>#REF!+"$Cm=!%m6"</f>
        <v>#REF!</v>
      </c>
      <c r="BZ87" t="e">
        <f>#REF!+"$Cm=!%m7"</f>
        <v>#REF!</v>
      </c>
      <c r="CA87" t="e">
        <f>#REF!+"$Cm=!%m8"</f>
        <v>#REF!</v>
      </c>
      <c r="CB87" t="e">
        <f>#REF!+"$Cm=!%m9"</f>
        <v>#REF!</v>
      </c>
      <c r="CC87" t="e">
        <f>#REF!+"$Cm=!%m:"</f>
        <v>#REF!</v>
      </c>
      <c r="CD87" t="e">
        <f>#REF!+"$Cm=!%m;"</f>
        <v>#REF!</v>
      </c>
      <c r="CE87" t="e">
        <f>#REF!+"$Cm=!%m&lt;"</f>
        <v>#REF!</v>
      </c>
      <c r="CF87" t="e">
        <f>#REF!+"$Cm=!%m="</f>
        <v>#REF!</v>
      </c>
      <c r="CG87" t="e">
        <f>#REF!+"$Cm=!%m&gt;"</f>
        <v>#REF!</v>
      </c>
      <c r="CH87" t="e">
        <f>#REF!+"$Cm=!%m?"</f>
        <v>#REF!</v>
      </c>
      <c r="CI87" t="e">
        <f>#REF!+"$Cm=!%m@"</f>
        <v>#REF!</v>
      </c>
      <c r="CJ87" t="e">
        <f>#REF!+"$Cm=!%mA"</f>
        <v>#REF!</v>
      </c>
      <c r="CK87" t="e">
        <f>#REF!+"$Cm=!%mB"</f>
        <v>#REF!</v>
      </c>
      <c r="CL87" t="e">
        <f>#REF!+"$Cm=!%mC"</f>
        <v>#REF!</v>
      </c>
      <c r="CM87" t="e">
        <f>#REF!+"$Cm=!%mD"</f>
        <v>#REF!</v>
      </c>
      <c r="CN87" t="e">
        <f>#REF!+"$Cm=!%mE"</f>
        <v>#REF!</v>
      </c>
      <c r="CO87" t="e">
        <f>#REF!+"$Cm=!%mF"</f>
        <v>#REF!</v>
      </c>
      <c r="CP87" t="e">
        <f>#REF!+"$Cm=!%mG"</f>
        <v>#REF!</v>
      </c>
      <c r="CQ87" t="e">
        <f>#REF!+"$Cm=!%mH"</f>
        <v>#REF!</v>
      </c>
      <c r="CR87" t="e">
        <f>#REF!+"$Cm=!%mI"</f>
        <v>#REF!</v>
      </c>
      <c r="CS87" t="e">
        <f>#REF!+"$Cm=!%mJ"</f>
        <v>#REF!</v>
      </c>
      <c r="CT87" t="e">
        <f>#REF!+"$Cm=!%mK"</f>
        <v>#REF!</v>
      </c>
      <c r="CU87" t="e">
        <f>#REF!+"$Cm=!%mL"</f>
        <v>#REF!</v>
      </c>
      <c r="CV87" t="e">
        <f>#REF!+"$Cm=!%mM"</f>
        <v>#REF!</v>
      </c>
      <c r="CW87" t="e">
        <f>#REF!+"$Cm=!%mN"</f>
        <v>#REF!</v>
      </c>
      <c r="CX87" t="e">
        <f>#REF!+"$Cm=!%mO"</f>
        <v>#REF!</v>
      </c>
      <c r="CY87" t="e">
        <f>#REF!+"$Cm=!%mP"</f>
        <v>#REF!</v>
      </c>
      <c r="CZ87" t="e">
        <f>#REF!+"$Cm=!%mQ"</f>
        <v>#REF!</v>
      </c>
      <c r="DA87" t="e">
        <f>#REF!+"$Cm=!%mR"</f>
        <v>#REF!</v>
      </c>
      <c r="DB87" t="e">
        <f>#REF!+"$Cm=!%mS"</f>
        <v>#REF!</v>
      </c>
      <c r="DC87" t="e">
        <f>#REF!+"$Cm=!%mT"</f>
        <v>#REF!</v>
      </c>
      <c r="DD87" t="e">
        <f>#REF!+"$Cm=!%mU"</f>
        <v>#REF!</v>
      </c>
      <c r="DE87" t="e">
        <f>#REF!+"$Cm=!%mV"</f>
        <v>#REF!</v>
      </c>
      <c r="DF87" t="e">
        <f>#REF!+"$Cm=!%mW"</f>
        <v>#REF!</v>
      </c>
      <c r="DG87" t="e">
        <f>#REF!+"$Cm=!%mX"</f>
        <v>#REF!</v>
      </c>
      <c r="DH87" t="e">
        <f>#REF!+"$Cm=!%mY"</f>
        <v>#REF!</v>
      </c>
      <c r="DI87" t="e">
        <f>#REF!+"$Cm=!%mZ"</f>
        <v>#REF!</v>
      </c>
      <c r="DJ87" t="e">
        <f>#REF!+"$Cm=!%m["</f>
        <v>#REF!</v>
      </c>
      <c r="DK87" t="e">
        <f>#REF!+"$Cm=!%m\"</f>
        <v>#REF!</v>
      </c>
      <c r="DL87" t="e">
        <f>#REF!+"$Cm=!%m]"</f>
        <v>#REF!</v>
      </c>
      <c r="DM87" t="e">
        <f>#REF!+"$Cm=!%m^"</f>
        <v>#REF!</v>
      </c>
      <c r="DN87" t="e">
        <f>#REF!+"$Cm=!%m_"</f>
        <v>#REF!</v>
      </c>
      <c r="DO87" t="e">
        <f>#REF!+"$Cm=!%m`"</f>
        <v>#REF!</v>
      </c>
      <c r="DP87" t="e">
        <f>#REF!+"$Cm=!%ma"</f>
        <v>#REF!</v>
      </c>
      <c r="DQ87" t="e">
        <f>#REF!+"$Cm=!%mb"</f>
        <v>#REF!</v>
      </c>
      <c r="DR87" t="e">
        <f>#REF!+"$Cm=!%mc"</f>
        <v>#REF!</v>
      </c>
      <c r="DS87" t="e">
        <f>#REF!+"$Cm=!%md"</f>
        <v>#REF!</v>
      </c>
      <c r="DT87" t="e">
        <f>#REF!+"$Cm=!%me"</f>
        <v>#REF!</v>
      </c>
      <c r="DU87" t="e">
        <f>#REF!+"$Cm=!%mf"</f>
        <v>#REF!</v>
      </c>
      <c r="DV87" t="e">
        <f>#REF!+"$Cm=!%mg"</f>
        <v>#REF!</v>
      </c>
      <c r="DW87" t="e">
        <f>#REF!+"$Cm=!%mh"</f>
        <v>#REF!</v>
      </c>
      <c r="DX87" t="e">
        <f>#REF!+"$Cm=!%mi"</f>
        <v>#REF!</v>
      </c>
      <c r="DY87" t="e">
        <f>#REF!+"$Cm=!%mj"</f>
        <v>#REF!</v>
      </c>
      <c r="DZ87" t="e">
        <f>#REF!+"$Cm=!%mk"</f>
        <v>#REF!</v>
      </c>
      <c r="EA87" t="e">
        <f>#REF!+"$Cm=!%ml"</f>
        <v>#REF!</v>
      </c>
      <c r="EB87" t="e">
        <f>#REF!+"$Cm=!%mm"</f>
        <v>#REF!</v>
      </c>
      <c r="EC87" t="e">
        <f>#REF!+"$Cm=!%mn"</f>
        <v>#REF!</v>
      </c>
      <c r="ED87" t="e">
        <f>#REF!+"$Cm=!%mo"</f>
        <v>#REF!</v>
      </c>
      <c r="EE87" t="e">
        <f>#REF!+"$Cm=!%mp"</f>
        <v>#REF!</v>
      </c>
      <c r="EF87" t="e">
        <f>#REF!+"$Cm=!%mq"</f>
        <v>#REF!</v>
      </c>
      <c r="EG87" t="e">
        <f>#REF!+"$Cm=!%mr"</f>
        <v>#REF!</v>
      </c>
      <c r="EH87" t="e">
        <f>#REF!+"$Cm=!%ms"</f>
        <v>#REF!</v>
      </c>
      <c r="EI87" t="e">
        <f>#REF!+"$Cm=!%mt"</f>
        <v>#REF!</v>
      </c>
      <c r="EJ87" t="e">
        <f>#REF!+"$Cm=!%mu"</f>
        <v>#REF!</v>
      </c>
      <c r="EK87" t="e">
        <f>#REF!+"$Cm=!%mv"</f>
        <v>#REF!</v>
      </c>
      <c r="EL87" t="e">
        <f>#REF!+"$Cm=!%mw"</f>
        <v>#REF!</v>
      </c>
      <c r="EM87" t="e">
        <f>#REF!+"$Cm=!%mx"</f>
        <v>#REF!</v>
      </c>
      <c r="EN87" t="e">
        <f>#REF!+"$Cm=!%my"</f>
        <v>#REF!</v>
      </c>
      <c r="EO87" t="e">
        <f>#REF!+"$Cm=!%mz"</f>
        <v>#REF!</v>
      </c>
      <c r="EP87" t="e">
        <f>#REF!+"$Cm=!%m{"</f>
        <v>#REF!</v>
      </c>
      <c r="EQ87" t="e">
        <f>#REF!+"$Cm=!%m|"</f>
        <v>#REF!</v>
      </c>
      <c r="ER87" t="e">
        <f>#REF!+"$Cm=!%m}"</f>
        <v>#REF!</v>
      </c>
      <c r="ES87" t="e">
        <f>#REF!+"$Cm=!%m~"</f>
        <v>#REF!</v>
      </c>
      <c r="ET87" t="e">
        <f>#REF!+"$Cm=!%n#"</f>
        <v>#REF!</v>
      </c>
      <c r="EU87" t="e">
        <f>#REF!+"$Cm=!%n$"</f>
        <v>#REF!</v>
      </c>
      <c r="EV87" t="e">
        <f>#REF!+"$Cm=!%n%"</f>
        <v>#REF!</v>
      </c>
      <c r="EW87" t="e">
        <f>#REF!+"$Cm=!%n&amp;"</f>
        <v>#REF!</v>
      </c>
      <c r="EX87" t="e">
        <f>#REF!+"$Cm=!%n'"</f>
        <v>#REF!</v>
      </c>
      <c r="EY87" t="e">
        <f>#REF!+"$Cm=!%n("</f>
        <v>#REF!</v>
      </c>
      <c r="EZ87" t="e">
        <f>#REF!+"$Cm=!%n)"</f>
        <v>#REF!</v>
      </c>
      <c r="FA87" t="e">
        <f>#REF!+"$Cm=!%n."</f>
        <v>#REF!</v>
      </c>
      <c r="FB87" t="e">
        <f>#REF!+"$Cm=!%n/"</f>
        <v>#REF!</v>
      </c>
      <c r="FC87" t="e">
        <f>#REF!+"$Cm=!%n0"</f>
        <v>#REF!</v>
      </c>
      <c r="FD87" t="e">
        <f>#REF!+"$Cm=!%n1"</f>
        <v>#REF!</v>
      </c>
      <c r="FE87" t="e">
        <f>#REF!+"$Cm=!%n2"</f>
        <v>#REF!</v>
      </c>
      <c r="FF87" t="e">
        <f>#REF!+"$Cm=!%n3"</f>
        <v>#REF!</v>
      </c>
      <c r="FG87" t="e">
        <f>#REF!+"$Cm=!%n4"</f>
        <v>#REF!</v>
      </c>
      <c r="FH87" t="e">
        <f>#REF!+"$Cm=!%n5"</f>
        <v>#REF!</v>
      </c>
      <c r="FI87" t="e">
        <f>#REF!+"$Cm=!%n6"</f>
        <v>#REF!</v>
      </c>
      <c r="FJ87" t="e">
        <f>#REF!+"$Cm=!%n7"</f>
        <v>#REF!</v>
      </c>
      <c r="FK87" t="e">
        <f>#REF!+"$Cm=!%n8"</f>
        <v>#REF!</v>
      </c>
      <c r="FL87" t="e">
        <f>#REF!+"$Cm=!%n9"</f>
        <v>#REF!</v>
      </c>
      <c r="FM87" t="e">
        <f>#REF!+"$Cm=!%n:"</f>
        <v>#REF!</v>
      </c>
      <c r="FN87" t="e">
        <f>#REF!+"$Cm=!%n;"</f>
        <v>#REF!</v>
      </c>
      <c r="FO87" t="e">
        <f>#REF!+"$Cm=!%n&lt;"</f>
        <v>#REF!</v>
      </c>
      <c r="FP87" t="e">
        <f>#REF!+"$Cm=!%n="</f>
        <v>#REF!</v>
      </c>
      <c r="FQ87" t="e">
        <f>#REF!+"$Cm=!%n&gt;"</f>
        <v>#REF!</v>
      </c>
      <c r="FR87" t="e">
        <f>#REF!+"$Cm=!%n?"</f>
        <v>#REF!</v>
      </c>
      <c r="FS87" t="e">
        <f>#REF!+"$Cm=!%n@"</f>
        <v>#REF!</v>
      </c>
      <c r="FT87" t="e">
        <f>#REF!+"$Cm=!%nA"</f>
        <v>#REF!</v>
      </c>
      <c r="FU87" t="e">
        <f>#REF!+"$Cm=!%nB"</f>
        <v>#REF!</v>
      </c>
      <c r="FV87" t="e">
        <f>#REF!+"$Cm=!%nC"</f>
        <v>#REF!</v>
      </c>
      <c r="FW87" t="e">
        <f>#REF!+"$Cm=!%nD"</f>
        <v>#REF!</v>
      </c>
      <c r="FX87" t="e">
        <f>#REF!+"$Cm=!%nE"</f>
        <v>#REF!</v>
      </c>
      <c r="FY87" t="e">
        <f>#REF!+"$Cm=!%nF"</f>
        <v>#REF!</v>
      </c>
      <c r="FZ87" t="e">
        <f>#REF!+"$Cm=!%nG"</f>
        <v>#REF!</v>
      </c>
      <c r="GA87" t="e">
        <f>#REF!+"$Cm=!%nH"</f>
        <v>#REF!</v>
      </c>
      <c r="GB87" t="e">
        <f>#REF!+"$Cm=!%nI"</f>
        <v>#REF!</v>
      </c>
      <c r="GC87" t="e">
        <f>#REF!+"$Cm=!%nJ"</f>
        <v>#REF!</v>
      </c>
      <c r="GD87" t="e">
        <f>#REF!+"$Cm=!%nK"</f>
        <v>#REF!</v>
      </c>
      <c r="GE87" t="e">
        <f>#REF!+"$Cm=!%nL"</f>
        <v>#REF!</v>
      </c>
      <c r="GF87" t="e">
        <f>#REF!+"$Cm=!%nM"</f>
        <v>#REF!</v>
      </c>
      <c r="GG87" t="e">
        <f>#REF!+"$Cm=!%nN"</f>
        <v>#REF!</v>
      </c>
      <c r="GH87" t="e">
        <f>#REF!+"$Cm=!%nO"</f>
        <v>#REF!</v>
      </c>
      <c r="GI87" t="e">
        <f>#REF!+"$Cm=!%nP"</f>
        <v>#REF!</v>
      </c>
      <c r="GJ87" t="e">
        <f>#REF!+"$Cm=!%nQ"</f>
        <v>#REF!</v>
      </c>
      <c r="GK87" t="e">
        <f>#REF!+"$Cm=!%nR"</f>
        <v>#REF!</v>
      </c>
      <c r="GL87" t="e">
        <f>#REF!+"$Cm=!%nS"</f>
        <v>#REF!</v>
      </c>
      <c r="GM87" t="e">
        <f>#REF!+"$Cm=!%nT"</f>
        <v>#REF!</v>
      </c>
      <c r="GN87" t="e">
        <f>#REF!+"$Cm=!%nU"</f>
        <v>#REF!</v>
      </c>
      <c r="GO87" t="e">
        <f>#REF!+"$Cm=!%nV"</f>
        <v>#REF!</v>
      </c>
      <c r="GP87" t="e">
        <f>#REF!+"$Cm=!%nW"</f>
        <v>#REF!</v>
      </c>
      <c r="GQ87" t="e">
        <f>#REF!+"$Cm=!%nX"</f>
        <v>#REF!</v>
      </c>
      <c r="GR87" t="e">
        <f>#REF!+"$Cm=!%nY"</f>
        <v>#REF!</v>
      </c>
      <c r="GS87" t="e">
        <f>#REF!+"$Cm=!%nZ"</f>
        <v>#REF!</v>
      </c>
      <c r="GT87" t="e">
        <f>#REF!+"$Cm=!%n["</f>
        <v>#REF!</v>
      </c>
      <c r="GU87" t="e">
        <f>#REF!+"$Cm=!%n\"</f>
        <v>#REF!</v>
      </c>
      <c r="GV87" t="e">
        <f>#REF!+"$Cm=!%n]"</f>
        <v>#REF!</v>
      </c>
      <c r="GW87" t="e">
        <f>#REF!+"$Cm=!%n^"</f>
        <v>#REF!</v>
      </c>
      <c r="GX87" t="e">
        <f>#REF!+"$Cm=!%n_"</f>
        <v>#REF!</v>
      </c>
      <c r="GY87" t="e">
        <f>#REF!+"$Cm=!%n`"</f>
        <v>#REF!</v>
      </c>
      <c r="GZ87" t="e">
        <f>#REF!+"$Cm=!%na"</f>
        <v>#REF!</v>
      </c>
      <c r="HA87" t="e">
        <f>#REF!+"$Cm=!%nb"</f>
        <v>#REF!</v>
      </c>
      <c r="HB87" t="e">
        <f>#REF!+"$Cm=!%nc"</f>
        <v>#REF!</v>
      </c>
      <c r="HC87" t="e">
        <f>#REF!+"$Cm=!%nd"</f>
        <v>#REF!</v>
      </c>
      <c r="HD87" t="e">
        <f>#REF!+"$Cm=!%ne"</f>
        <v>#REF!</v>
      </c>
      <c r="HE87" t="e">
        <f>#REF!+"$Cm=!%nf"</f>
        <v>#REF!</v>
      </c>
      <c r="HF87" t="e">
        <f>#REF!+"$Cm=!%ng"</f>
        <v>#REF!</v>
      </c>
      <c r="HG87" t="e">
        <f>#REF!+"$Cm=!%nh"</f>
        <v>#REF!</v>
      </c>
      <c r="HH87" t="e">
        <f>#REF!+"$Cm=!%ni"</f>
        <v>#REF!</v>
      </c>
      <c r="HI87" t="e">
        <f>#REF!+"$Cm=!%nj"</f>
        <v>#REF!</v>
      </c>
      <c r="HJ87" t="e">
        <f>#REF!+"$Cm=!%nk"</f>
        <v>#REF!</v>
      </c>
      <c r="HK87" t="e">
        <f>#REF!+"$Cm=!%nl"</f>
        <v>#REF!</v>
      </c>
      <c r="HL87" t="e">
        <f>#REF!+"$Cm=!%nm"</f>
        <v>#REF!</v>
      </c>
      <c r="HM87" t="e">
        <f>#REF!+"$Cm=!%nn"</f>
        <v>#REF!</v>
      </c>
      <c r="HN87" t="e">
        <f>#REF!+"$Cm=!%no"</f>
        <v>#REF!</v>
      </c>
      <c r="HO87" t="e">
        <f>#REF!+"$Cm=!%np"</f>
        <v>#REF!</v>
      </c>
      <c r="HP87" t="e">
        <f>#REF!+"$Cm=!%nq"</f>
        <v>#REF!</v>
      </c>
      <c r="HQ87" t="e">
        <f>#REF!+"$Cm=!%nr"</f>
        <v>#REF!</v>
      </c>
      <c r="HR87" t="e">
        <f>#REF!+"$Cm=!%ns"</f>
        <v>#REF!</v>
      </c>
      <c r="HS87" t="e">
        <f>#REF!+"$Cm=!%nt"</f>
        <v>#REF!</v>
      </c>
      <c r="HT87" t="e">
        <f>#REF!+"$Cm=!%nu"</f>
        <v>#REF!</v>
      </c>
      <c r="HU87" t="e">
        <f>#REF!+"$Cm=!%nv"</f>
        <v>#REF!</v>
      </c>
      <c r="HV87" t="e">
        <f>#REF!+"$Cm=!%nw"</f>
        <v>#REF!</v>
      </c>
      <c r="HW87" t="e">
        <f>#REF!+"$Cm=!%nx"</f>
        <v>#REF!</v>
      </c>
      <c r="HX87" t="e">
        <f>#REF!+"$Cm=!%ny"</f>
        <v>#REF!</v>
      </c>
      <c r="HY87" t="e">
        <f>#REF!+"$Cm=!%nz"</f>
        <v>#REF!</v>
      </c>
      <c r="HZ87" t="e">
        <f>#REF!+"$Cm=!%n{"</f>
        <v>#REF!</v>
      </c>
      <c r="IA87" t="e">
        <f>#REF!+"$Cm=!%n|"</f>
        <v>#REF!</v>
      </c>
      <c r="IB87" t="e">
        <f>#REF!+"$Cm=!%n}"</f>
        <v>#REF!</v>
      </c>
      <c r="IC87" t="e">
        <f>#REF!+"$Cm=!%n~"</f>
        <v>#REF!</v>
      </c>
      <c r="ID87" t="e">
        <f>#REF!+"$Cm=!%o#"</f>
        <v>#REF!</v>
      </c>
      <c r="IE87" t="e">
        <f>#REF!+"$Cm=!%o$"</f>
        <v>#REF!</v>
      </c>
      <c r="IF87" t="e">
        <f>#REF!+"$Cm=!%o%"</f>
        <v>#REF!</v>
      </c>
      <c r="IG87" t="e">
        <f>#REF!+"$Cm=!%o&amp;"</f>
        <v>#REF!</v>
      </c>
      <c r="IH87" t="e">
        <f>#REF!+"$Cm=!%o'"</f>
        <v>#REF!</v>
      </c>
      <c r="II87" t="e">
        <f>#REF!+"$Cm=!%o("</f>
        <v>#REF!</v>
      </c>
      <c r="IJ87" t="e">
        <f>#REF!+"$Cm=!%o)"</f>
        <v>#REF!</v>
      </c>
      <c r="IK87" t="e">
        <f>#REF!+"$Cm=!%o."</f>
        <v>#REF!</v>
      </c>
      <c r="IL87" t="e">
        <f>#REF!+"$Cm=!%o/"</f>
        <v>#REF!</v>
      </c>
      <c r="IM87" t="e">
        <f>#REF!+"$Cm=!%o0"</f>
        <v>#REF!</v>
      </c>
      <c r="IN87" t="e">
        <f>#REF!+"$Cm=!%o1"</f>
        <v>#REF!</v>
      </c>
      <c r="IO87" t="e">
        <f>#REF!+"$Cm=!%o2"</f>
        <v>#REF!</v>
      </c>
      <c r="IP87" t="e">
        <f>#REF!+"$Cm=!%o3"</f>
        <v>#REF!</v>
      </c>
      <c r="IQ87" t="e">
        <f>#REF!+"$Cm=!%o4"</f>
        <v>#REF!</v>
      </c>
      <c r="IR87" t="e">
        <f>#REF!+"$Cm=!%o5"</f>
        <v>#REF!</v>
      </c>
      <c r="IS87" t="e">
        <f>#REF!+"$Cm=!%o6"</f>
        <v>#REF!</v>
      </c>
      <c r="IT87" t="e">
        <f>#REF!+"$Cm=!%o7"</f>
        <v>#REF!</v>
      </c>
      <c r="IU87" t="e">
        <f>#REF!+"$Cm=!%o8"</f>
        <v>#REF!</v>
      </c>
      <c r="IV87" t="e">
        <f>#REF!+"$Cm=!%o9"</f>
        <v>#REF!</v>
      </c>
    </row>
    <row r="88" spans="6:256">
      <c r="F88" t="e">
        <f>#REF!+"$Cm=!%o:"</f>
        <v>#REF!</v>
      </c>
      <c r="G88" t="e">
        <f>#REF!+"$Cm=!%o;"</f>
        <v>#REF!</v>
      </c>
      <c r="H88" t="e">
        <f>#REF!+"$Cm=!%o&lt;"</f>
        <v>#REF!</v>
      </c>
      <c r="I88" t="e">
        <f>#REF!+"$Cm=!%o="</f>
        <v>#REF!</v>
      </c>
      <c r="J88" t="e">
        <f>#REF!+"$Cm=!%o&gt;"</f>
        <v>#REF!</v>
      </c>
      <c r="K88" t="e">
        <f>#REF!+"$Cm=!%o?"</f>
        <v>#REF!</v>
      </c>
      <c r="L88" t="e">
        <f>#REF!+"$Cm=!%o@"</f>
        <v>#REF!</v>
      </c>
      <c r="M88" t="e">
        <f>#REF!+"$Cm=!%oA"</f>
        <v>#REF!</v>
      </c>
      <c r="N88" t="e">
        <f>#REF!+"$Cm=!%oB"</f>
        <v>#REF!</v>
      </c>
      <c r="O88" t="e">
        <f>#REF!+"$Cm=!%oC"</f>
        <v>#REF!</v>
      </c>
      <c r="P88" t="e">
        <f>#REF!+"$Cm=!%oD"</f>
        <v>#REF!</v>
      </c>
      <c r="Q88" t="e">
        <f>#REF!+"$Cm=!%oE"</f>
        <v>#REF!</v>
      </c>
      <c r="R88" t="e">
        <f>#REF!+"$Cm=!%oF"</f>
        <v>#REF!</v>
      </c>
      <c r="S88" t="e">
        <f>#REF!+"$Cm=!%oG"</f>
        <v>#REF!</v>
      </c>
      <c r="T88" t="e">
        <f>#REF!+"$Cm=!%oH"</f>
        <v>#REF!</v>
      </c>
      <c r="U88" t="e">
        <f>#REF!+"$Cm=!%oI"</f>
        <v>#REF!</v>
      </c>
      <c r="V88" t="e">
        <f>#REF!+"$Cm=!%oJ"</f>
        <v>#REF!</v>
      </c>
      <c r="W88" t="e">
        <f>#REF!+"$Cm=!%oK"</f>
        <v>#REF!</v>
      </c>
      <c r="X88" t="e">
        <f>#REF!+"$Cm=!%oL"</f>
        <v>#REF!</v>
      </c>
      <c r="Y88" t="e">
        <f>#REF!+"$Cm=!%oM"</f>
        <v>#REF!</v>
      </c>
      <c r="Z88" t="e">
        <f>#REF!+"$Cm=!%oN"</f>
        <v>#REF!</v>
      </c>
      <c r="AA88" t="e">
        <f>#REF!+"$Cm=!%oO"</f>
        <v>#REF!</v>
      </c>
      <c r="AB88" t="e">
        <f>#REF!+"$Cm=!%oP"</f>
        <v>#REF!</v>
      </c>
      <c r="AC88" t="e">
        <f>#REF!+"$Cm=!%oQ"</f>
        <v>#REF!</v>
      </c>
      <c r="AD88" t="e">
        <f>#REF!+"$Cm=!%oR"</f>
        <v>#REF!</v>
      </c>
      <c r="AE88" t="e">
        <f>#REF!+"$Cm=!%oS"</f>
        <v>#REF!</v>
      </c>
      <c r="AF88" t="e">
        <f>#REF!+"$Cm=!%oT"</f>
        <v>#REF!</v>
      </c>
      <c r="AG88" t="e">
        <f>#REF!+"$Cm=!%oU"</f>
        <v>#REF!</v>
      </c>
      <c r="AH88" t="e">
        <f>#REF!+"$Cm=!%oV"</f>
        <v>#REF!</v>
      </c>
      <c r="AI88" t="e">
        <f>#REF!+"$Cm=!%oW"</f>
        <v>#REF!</v>
      </c>
      <c r="AJ88" t="e">
        <f>#REF!+"$Cm=!%oX"</f>
        <v>#REF!</v>
      </c>
      <c r="AK88" t="e">
        <f>#REF!+"$Cm=!%oY"</f>
        <v>#REF!</v>
      </c>
      <c r="AL88" t="e">
        <f>#REF!+"$Cm=!%oZ"</f>
        <v>#REF!</v>
      </c>
      <c r="AM88" t="e">
        <f>#REF!+"$Cm=!%o["</f>
        <v>#REF!</v>
      </c>
      <c r="AN88" t="e">
        <f>#REF!+"$Cm=!%o\"</f>
        <v>#REF!</v>
      </c>
      <c r="AO88" t="e">
        <f>#REF!+"$Cm=!%o]"</f>
        <v>#REF!</v>
      </c>
      <c r="AP88" t="e">
        <f>#REF!+"$Cm=!%o^"</f>
        <v>#REF!</v>
      </c>
      <c r="AQ88" t="e">
        <f>#REF!+"$Cm=!%o_"</f>
        <v>#REF!</v>
      </c>
      <c r="AR88" t="e">
        <f>#REF!+"$Cm=!%o`"</f>
        <v>#REF!</v>
      </c>
      <c r="AS88" t="e">
        <f>#REF!+"$Cm=!%oa"</f>
        <v>#REF!</v>
      </c>
      <c r="AT88" t="e">
        <f>#REF!+"$Cm=!%ob"</f>
        <v>#REF!</v>
      </c>
      <c r="AU88" t="e">
        <f>#REF!+"$Cm=!%oc"</f>
        <v>#REF!</v>
      </c>
      <c r="AV88" t="e">
        <f>#REF!+"$Cm=!%od"</f>
        <v>#REF!</v>
      </c>
      <c r="AW88" t="e">
        <f>#REF!+"$Cm=!%oe"</f>
        <v>#REF!</v>
      </c>
      <c r="AX88" t="e">
        <f>#REF!+"$Cm=!%of"</f>
        <v>#REF!</v>
      </c>
      <c r="AY88" t="e">
        <f>#REF!+"$Cm=!%og"</f>
        <v>#REF!</v>
      </c>
      <c r="AZ88" t="e">
        <f>#REF!+"$Cm=!%oh"</f>
        <v>#REF!</v>
      </c>
      <c r="BA88" t="e">
        <f>#REF!+"$Cm=!%oi"</f>
        <v>#REF!</v>
      </c>
      <c r="BB88" t="e">
        <f>#REF!+"$Cm=!%oj"</f>
        <v>#REF!</v>
      </c>
      <c r="BC88" t="e">
        <f>#REF!+"$Cm=!%ok"</f>
        <v>#REF!</v>
      </c>
      <c r="BD88" t="e">
        <f>#REF!+"$Cm=!%ol"</f>
        <v>#REF!</v>
      </c>
      <c r="BE88" t="e">
        <f>#REF!+"$Cm=!%om"</f>
        <v>#REF!</v>
      </c>
      <c r="BF88" t="e">
        <f>#REF!+"$Cm=!%on"</f>
        <v>#REF!</v>
      </c>
      <c r="BG88" t="e">
        <f>#REF!+"$Cm=!%oo"</f>
        <v>#REF!</v>
      </c>
      <c r="BH88" t="e">
        <f>#REF!+"$Cm=!%op"</f>
        <v>#REF!</v>
      </c>
      <c r="BI88" t="e">
        <f>#REF!+"$Cm=!%oq"</f>
        <v>#REF!</v>
      </c>
      <c r="BJ88" t="e">
        <f>#REF!+"$Cm=!%or"</f>
        <v>#REF!</v>
      </c>
      <c r="BK88" t="e">
        <f>#REF!+"$Cm=!%os"</f>
        <v>#REF!</v>
      </c>
      <c r="BL88" t="e">
        <f>#REF!+"$Cm=!%ot"</f>
        <v>#REF!</v>
      </c>
      <c r="BM88" t="e">
        <f>#REF!+"$Cm=!%ou"</f>
        <v>#REF!</v>
      </c>
      <c r="BN88" t="e">
        <f>#REF!+"$Cm=!%ov"</f>
        <v>#REF!</v>
      </c>
      <c r="BO88" t="e">
        <f>#REF!+"$Cm=!%ow"</f>
        <v>#REF!</v>
      </c>
      <c r="BP88" t="e">
        <f>#REF!+"$Cm=!%ox"</f>
        <v>#REF!</v>
      </c>
      <c r="BQ88" t="e">
        <f>#REF!+"$Cm=!%oy"</f>
        <v>#REF!</v>
      </c>
      <c r="BR88" t="e">
        <f>#REF!+"$Cm=!%oz"</f>
        <v>#REF!</v>
      </c>
      <c r="BS88" t="e">
        <f>#REF!+"$Cm=!%o{"</f>
        <v>#REF!</v>
      </c>
      <c r="BT88" t="e">
        <f>#REF!+"$Cm=!%o|"</f>
        <v>#REF!</v>
      </c>
      <c r="BU88" t="e">
        <f>#REF!+"$Cm=!%o}"</f>
        <v>#REF!</v>
      </c>
      <c r="BV88" t="e">
        <f>#REF!+"$Cm=!%o~"</f>
        <v>#REF!</v>
      </c>
      <c r="BW88" t="e">
        <f>#REF!+"$Cm=!%p#"</f>
        <v>#REF!</v>
      </c>
      <c r="BX88" t="e">
        <f>#REF!+"$Cm=!%p$"</f>
        <v>#REF!</v>
      </c>
      <c r="BY88" t="e">
        <f>#REF!+"$Cm=!%p%"</f>
        <v>#REF!</v>
      </c>
      <c r="BZ88" t="e">
        <f>#REF!+"$Cm=!%p&amp;"</f>
        <v>#REF!</v>
      </c>
      <c r="CA88" t="e">
        <f>#REF!+"$Cm=!%p'"</f>
        <v>#REF!</v>
      </c>
      <c r="CB88" t="e">
        <f>#REF!+"$Cm=!%p("</f>
        <v>#REF!</v>
      </c>
      <c r="CC88" t="e">
        <f>#REF!+"$Cm=!%p)"</f>
        <v>#REF!</v>
      </c>
      <c r="CD88" t="e">
        <f>#REF!+"$Cm=!%p."</f>
        <v>#REF!</v>
      </c>
      <c r="CE88" t="e">
        <f>#REF!+"$Cm=!%p/"</f>
        <v>#REF!</v>
      </c>
      <c r="CF88" t="e">
        <f>#REF!+"$Cm=!%p0"</f>
        <v>#REF!</v>
      </c>
      <c r="CG88" t="e">
        <f>#REF!+"$Cm=!%p1"</f>
        <v>#REF!</v>
      </c>
      <c r="CH88" t="e">
        <f>#REF!+"$Cm=!%p2"</f>
        <v>#REF!</v>
      </c>
      <c r="CI88" t="e">
        <f>#REF!+"$Cm=!%p3"</f>
        <v>#REF!</v>
      </c>
      <c r="CJ88" t="e">
        <f>#REF!+"$Cm=!%p4"</f>
        <v>#REF!</v>
      </c>
      <c r="CK88" t="e">
        <f>#REF!+"$Cm=!%p5"</f>
        <v>#REF!</v>
      </c>
      <c r="CL88" t="e">
        <f>#REF!+"$Cm=!%p6"</f>
        <v>#REF!</v>
      </c>
      <c r="CM88" t="e">
        <f>#REF!+"$Cm=!%p7"</f>
        <v>#REF!</v>
      </c>
      <c r="CN88" t="e">
        <f>#REF!+"$Cm=!%p8"</f>
        <v>#REF!</v>
      </c>
      <c r="CO88" t="e">
        <f>#REF!+"$Cm=!%p9"</f>
        <v>#REF!</v>
      </c>
      <c r="CP88" t="e">
        <f>#REF!+"$Cm=!%p:"</f>
        <v>#REF!</v>
      </c>
      <c r="CQ88" t="e">
        <f>#REF!+"$Cm=!%p;"</f>
        <v>#REF!</v>
      </c>
      <c r="CR88" t="e">
        <f>#REF!+"$Cm=!%p&lt;"</f>
        <v>#REF!</v>
      </c>
      <c r="CS88" t="e">
        <f>#REF!+"$Cm=!%p="</f>
        <v>#REF!</v>
      </c>
      <c r="CT88" t="e">
        <f>#REF!+"$Cm=!%p&gt;"</f>
        <v>#REF!</v>
      </c>
      <c r="CU88" t="e">
        <f>#REF!+"$Cm=!%p?"</f>
        <v>#REF!</v>
      </c>
      <c r="CV88" t="e">
        <f>#REF!+"$Cm=!%p@"</f>
        <v>#REF!</v>
      </c>
      <c r="CW88" t="e">
        <f>#REF!+"$Cm=!%pA"</f>
        <v>#REF!</v>
      </c>
      <c r="CX88" t="e">
        <f>#REF!+"$Cm=!%pB"</f>
        <v>#REF!</v>
      </c>
      <c r="CY88" t="e">
        <f>#REF!+"$Cm=!%pC"</f>
        <v>#REF!</v>
      </c>
      <c r="CZ88" t="e">
        <f>#REF!+"$Cm=!%pD"</f>
        <v>#REF!</v>
      </c>
      <c r="DA88" t="e">
        <f>#REF!+"$Cm=!%pE"</f>
        <v>#REF!</v>
      </c>
      <c r="DB88" t="e">
        <f>#REF!+"$Cm=!%pF"</f>
        <v>#REF!</v>
      </c>
      <c r="DC88" t="e">
        <f>#REF!+"$Cm=!%pG"</f>
        <v>#REF!</v>
      </c>
      <c r="DD88" t="e">
        <f>#REF!+"$Cm=!%pH"</f>
        <v>#REF!</v>
      </c>
      <c r="DE88" t="e">
        <f>#REF!+"$Cm=!%pI"</f>
        <v>#REF!</v>
      </c>
      <c r="DF88" t="e">
        <f>#REF!+"$Cm=!%pJ"</f>
        <v>#REF!</v>
      </c>
      <c r="DG88" t="e">
        <f>#REF!+"$Cm=!%pK"</f>
        <v>#REF!</v>
      </c>
      <c r="DH88" t="e">
        <f>#REF!+"$Cm=!%pL"</f>
        <v>#REF!</v>
      </c>
      <c r="DI88" t="e">
        <f>#REF!+"$Cm=!%pM"</f>
        <v>#REF!</v>
      </c>
      <c r="DJ88" t="e">
        <f>#REF!+"$Cm=!%pN"</f>
        <v>#REF!</v>
      </c>
      <c r="DK88" t="e">
        <f>#REF!+"$Cm=!%pO"</f>
        <v>#REF!</v>
      </c>
      <c r="DL88" t="e">
        <f>#REF!+"$Cm=!%pP"</f>
        <v>#REF!</v>
      </c>
      <c r="DM88" t="e">
        <f>#REF!+"$Cm=!%pQ"</f>
        <v>#REF!</v>
      </c>
      <c r="DN88" t="e">
        <f>#REF!+"$Cm=!%pR"</f>
        <v>#REF!</v>
      </c>
      <c r="DO88" t="e">
        <f>#REF!+"$Cm=!%pS"</f>
        <v>#REF!</v>
      </c>
      <c r="DP88" t="e">
        <f>#REF!+"$Cm=!%pT"</f>
        <v>#REF!</v>
      </c>
      <c r="DQ88" t="e">
        <f>#REF!+"$Cm=!%pU"</f>
        <v>#REF!</v>
      </c>
      <c r="DR88" t="e">
        <f>#REF!+"$Cm=!%pV"</f>
        <v>#REF!</v>
      </c>
      <c r="DS88" t="e">
        <f>#REF!+"$Cm=!%pW"</f>
        <v>#REF!</v>
      </c>
      <c r="DT88" t="e">
        <f>#REF!+"$Cm=!%pX"</f>
        <v>#REF!</v>
      </c>
      <c r="DU88" t="e">
        <f>#REF!+"$Cm=!%pY"</f>
        <v>#REF!</v>
      </c>
      <c r="DV88" t="e">
        <f>#REF!+"$Cm=!%pZ"</f>
        <v>#REF!</v>
      </c>
      <c r="DW88" t="e">
        <f>#REF!+"$Cm=!%p["</f>
        <v>#REF!</v>
      </c>
      <c r="DX88" t="e">
        <f>#REF!+"$Cm=!%p\"</f>
        <v>#REF!</v>
      </c>
      <c r="DY88" t="e">
        <f>#REF!+"$Cm=!%p]"</f>
        <v>#REF!</v>
      </c>
      <c r="DZ88" t="e">
        <f>#REF!+"$Cm=!%p^"</f>
        <v>#REF!</v>
      </c>
      <c r="EA88" t="e">
        <f>#REF!+"$Cm=!%p_"</f>
        <v>#REF!</v>
      </c>
      <c r="EB88" t="e">
        <f>#REF!+"$Cm=!%p`"</f>
        <v>#REF!</v>
      </c>
      <c r="EC88" t="e">
        <f>#REF!+"$Cm=!%pa"</f>
        <v>#REF!</v>
      </c>
      <c r="ED88" t="e">
        <f>#REF!+"$Cm=!%pb"</f>
        <v>#REF!</v>
      </c>
      <c r="EE88" t="e">
        <f>#REF!+"$Cm=!%pc"</f>
        <v>#REF!</v>
      </c>
      <c r="EF88" t="e">
        <f>#REF!+"$Cm=!%pd"</f>
        <v>#REF!</v>
      </c>
      <c r="EG88" t="e">
        <f>#REF!+"$Cm=!%pe"</f>
        <v>#REF!</v>
      </c>
      <c r="EH88" t="e">
        <f>#REF!+"$Cm=!%pf"</f>
        <v>#REF!</v>
      </c>
      <c r="EI88" t="e">
        <f>#REF!+"$Cm=!%pg"</f>
        <v>#REF!</v>
      </c>
      <c r="EJ88" t="e">
        <f>#REF!+"$Cm=!%ph"</f>
        <v>#REF!</v>
      </c>
      <c r="EK88" t="e">
        <f>#REF!+"$Cm=!%pi"</f>
        <v>#REF!</v>
      </c>
      <c r="EL88" t="e">
        <f>#REF!+"$Cm=!%pj"</f>
        <v>#REF!</v>
      </c>
      <c r="EM88" t="e">
        <f>#REF!+"$Cm=!%pk"</f>
        <v>#REF!</v>
      </c>
      <c r="EN88" t="e">
        <f>#REF!+"$Cm=!%pl"</f>
        <v>#REF!</v>
      </c>
      <c r="EO88" t="e">
        <f>#REF!+"$Cm=!%pm"</f>
        <v>#REF!</v>
      </c>
      <c r="EP88" t="e">
        <f>#REF!+"$Cm=!%pn"</f>
        <v>#REF!</v>
      </c>
      <c r="EQ88" t="e">
        <f>#REF!+"$Cm=!%po"</f>
        <v>#REF!</v>
      </c>
      <c r="ER88" t="e">
        <f>#REF!+"$Cm=!%pp"</f>
        <v>#REF!</v>
      </c>
      <c r="ES88" t="e">
        <f>#REF!+"$Cm=!%pq"</f>
        <v>#REF!</v>
      </c>
      <c r="ET88" t="e">
        <f>#REF!+"$Cm=!%pr"</f>
        <v>#REF!</v>
      </c>
      <c r="EU88" t="e">
        <f>#REF!+"$Cm=!%ps"</f>
        <v>#REF!</v>
      </c>
      <c r="EV88" t="e">
        <f>#REF!+"$Cm=!%pt"</f>
        <v>#REF!</v>
      </c>
      <c r="EW88" t="e">
        <f>#REF!+"$Cm=!%pu"</f>
        <v>#REF!</v>
      </c>
      <c r="EX88" t="e">
        <f>#REF!+"$Cm=!%pv"</f>
        <v>#REF!</v>
      </c>
      <c r="EY88" t="e">
        <f>#REF!+"$Cm=!%pw"</f>
        <v>#REF!</v>
      </c>
      <c r="EZ88" t="e">
        <f>#REF!+"$Cm=!%px"</f>
        <v>#REF!</v>
      </c>
      <c r="FA88" t="e">
        <f>#REF!+"$Cm=!%py"</f>
        <v>#REF!</v>
      </c>
      <c r="FB88" t="e">
        <f>#REF!+"$Cm=!%pz"</f>
        <v>#REF!</v>
      </c>
      <c r="FC88" t="e">
        <f>#REF!+"$Cm=!%p{"</f>
        <v>#REF!</v>
      </c>
      <c r="FD88" t="e">
        <f>#REF!+"$Cm=!%p|"</f>
        <v>#REF!</v>
      </c>
      <c r="FE88" t="e">
        <f>#REF!+"$Cm=!%p}"</f>
        <v>#REF!</v>
      </c>
      <c r="FF88" t="e">
        <f>#REF!+"$Cm=!%p~"</f>
        <v>#REF!</v>
      </c>
      <c r="FG88" t="e">
        <f>#REF!+"$Cm=!%q#"</f>
        <v>#REF!</v>
      </c>
      <c r="FH88" t="e">
        <f>#REF!+"$Cm=!%q$"</f>
        <v>#REF!</v>
      </c>
      <c r="FI88" t="e">
        <f>#REF!+"$Cm=!%q%"</f>
        <v>#REF!</v>
      </c>
      <c r="FJ88" t="e">
        <f>#REF!+"$Cm=!%q&amp;"</f>
        <v>#REF!</v>
      </c>
      <c r="FK88" t="e">
        <f>#REF!+"$Cm=!%q'"</f>
        <v>#REF!</v>
      </c>
      <c r="FL88" t="e">
        <f>#REF!+"$Cm=!%q("</f>
        <v>#REF!</v>
      </c>
      <c r="FM88" t="e">
        <f>#REF!+"$Cm=!%q)"</f>
        <v>#REF!</v>
      </c>
      <c r="FN88" t="e">
        <f>#REF!+"$Cm=!%q."</f>
        <v>#REF!</v>
      </c>
      <c r="FO88" t="e">
        <f>#REF!+"$Cm=!%q/"</f>
        <v>#REF!</v>
      </c>
      <c r="FP88" t="e">
        <f>#REF!+"$Cm=!%q0"</f>
        <v>#REF!</v>
      </c>
      <c r="FQ88" t="e">
        <f>#REF!+"$Cm=!%q1"</f>
        <v>#REF!</v>
      </c>
      <c r="FR88" t="e">
        <f>#REF!+"$Cm=!%q2"</f>
        <v>#REF!</v>
      </c>
      <c r="FS88" t="e">
        <f>#REF!+"$Cm=!%q3"</f>
        <v>#REF!</v>
      </c>
      <c r="FT88" t="e">
        <f>#REF!+"$Cm=!%q4"</f>
        <v>#REF!</v>
      </c>
      <c r="FU88" t="e">
        <f>#REF!+"$Cm=!%q5"</f>
        <v>#REF!</v>
      </c>
      <c r="FV88" t="e">
        <f>#REF!+"$Cm=!%q6"</f>
        <v>#REF!</v>
      </c>
      <c r="FW88" t="e">
        <f>#REF!+"$Cm=!%q7"</f>
        <v>#REF!</v>
      </c>
      <c r="FX88" t="e">
        <f>#REF!+"$Cm=!%q8"</f>
        <v>#REF!</v>
      </c>
      <c r="FY88" t="e">
        <f>#REF!+"$Cm=!%q9"</f>
        <v>#REF!</v>
      </c>
      <c r="FZ88" t="e">
        <f>#REF!+"$Cm=!%q:"</f>
        <v>#REF!</v>
      </c>
      <c r="GA88" t="e">
        <f>#REF!+"$Cm=!%q;"</f>
        <v>#REF!</v>
      </c>
      <c r="GB88" t="e">
        <f>#REF!+"$Cm=!%q&lt;"</f>
        <v>#REF!</v>
      </c>
      <c r="GC88" t="e">
        <f>#REF!+"$Cm=!%q="</f>
        <v>#REF!</v>
      </c>
      <c r="GD88" t="e">
        <f>#REF!+"$Cm=!%q&gt;"</f>
        <v>#REF!</v>
      </c>
      <c r="GE88" t="e">
        <f>#REF!+"$Cm=!%q?"</f>
        <v>#REF!</v>
      </c>
      <c r="GF88" t="e">
        <f>#REF!+"$Cm=!%q@"</f>
        <v>#REF!</v>
      </c>
      <c r="GG88" t="e">
        <f>#REF!+"$Cm=!%qA"</f>
        <v>#REF!</v>
      </c>
      <c r="GH88" t="e">
        <f>#REF!+"$Cm=!%qB"</f>
        <v>#REF!</v>
      </c>
      <c r="GI88" t="e">
        <f>#REF!+"$Cm=!%qC"</f>
        <v>#REF!</v>
      </c>
      <c r="GJ88" t="e">
        <f>#REF!+"$Cm=!%qD"</f>
        <v>#REF!</v>
      </c>
      <c r="GK88" t="e">
        <f>#REF!+"$Cm=!%qE"</f>
        <v>#REF!</v>
      </c>
      <c r="GL88" t="e">
        <f>#REF!+"$Cm=!%qF"</f>
        <v>#REF!</v>
      </c>
      <c r="GM88" t="e">
        <f>#REF!+"$Cm=!%qG"</f>
        <v>#REF!</v>
      </c>
      <c r="GN88" t="e">
        <f>#REF!+"$Cm=!%qH"</f>
        <v>#REF!</v>
      </c>
      <c r="GO88" t="e">
        <f>#REF!+"$Cm=!%qI"</f>
        <v>#REF!</v>
      </c>
      <c r="GP88" t="e">
        <f>#REF!+"$Cm=!%qJ"</f>
        <v>#REF!</v>
      </c>
      <c r="GQ88" t="e">
        <f>#REF!+"$Cm=!%qK"</f>
        <v>#REF!</v>
      </c>
      <c r="GR88" t="e">
        <f>#REF!+"$Cm=!%qL"</f>
        <v>#REF!</v>
      </c>
      <c r="GS88" t="e">
        <f>#REF!+"$Cm=!%qM"</f>
        <v>#REF!</v>
      </c>
      <c r="GT88" t="e">
        <f>#REF!+"$Cm=!%qN"</f>
        <v>#REF!</v>
      </c>
      <c r="GU88" t="e">
        <f>#REF!+"$Cm=!%qO"</f>
        <v>#REF!</v>
      </c>
      <c r="GV88" t="e">
        <f>#REF!+"$Cm=!%qP"</f>
        <v>#REF!</v>
      </c>
      <c r="GW88" t="e">
        <f>#REF!+"$Cm=!%qQ"</f>
        <v>#REF!</v>
      </c>
      <c r="GX88" t="e">
        <f>#REF!+"$Cm=!%qR"</f>
        <v>#REF!</v>
      </c>
      <c r="GY88" t="e">
        <f>#REF!+"$Cm=!%qS"</f>
        <v>#REF!</v>
      </c>
      <c r="GZ88" t="e">
        <f>#REF!+"$Cm=!%qT"</f>
        <v>#REF!</v>
      </c>
      <c r="HA88" t="e">
        <f>#REF!+"$Cm=!%qU"</f>
        <v>#REF!</v>
      </c>
      <c r="HB88" t="e">
        <f>#REF!+"$Cm=!%qV"</f>
        <v>#REF!</v>
      </c>
      <c r="HC88" t="e">
        <f>#REF!+"$Cm=!%qW"</f>
        <v>#REF!</v>
      </c>
      <c r="HD88" t="e">
        <f>#REF!+"$Cm=!%qX"</f>
        <v>#REF!</v>
      </c>
      <c r="HE88" t="e">
        <f>#REF!+"$Cm=!%qY"</f>
        <v>#REF!</v>
      </c>
      <c r="HF88" t="e">
        <f>#REF!+"$Cm=!%qZ"</f>
        <v>#REF!</v>
      </c>
      <c r="HG88" t="e">
        <f>#REF!+"$Cm=!%q["</f>
        <v>#REF!</v>
      </c>
      <c r="HH88" t="e">
        <f>#REF!+"$Cm=!%q\"</f>
        <v>#REF!</v>
      </c>
      <c r="HI88" t="e">
        <f>#REF!+"$Cm=!%q]"</f>
        <v>#REF!</v>
      </c>
      <c r="HJ88" t="e">
        <f>#REF!+"$Cm=!%q^"</f>
        <v>#REF!</v>
      </c>
      <c r="HK88" t="e">
        <f>#REF!+"$Cm=!%q_"</f>
        <v>#REF!</v>
      </c>
      <c r="HL88" t="e">
        <f>#REF!+"$Cm=!%q`"</f>
        <v>#REF!</v>
      </c>
      <c r="HM88" t="e">
        <f>#REF!+"$Cm=!%qa"</f>
        <v>#REF!</v>
      </c>
      <c r="HN88" t="e">
        <f>#REF!+"$Cm=!%qb"</f>
        <v>#REF!</v>
      </c>
      <c r="HO88" t="e">
        <f>#REF!+"$Cm=!%qc"</f>
        <v>#REF!</v>
      </c>
      <c r="HP88" t="e">
        <f>#REF!+"$Cm=!%qd"</f>
        <v>#REF!</v>
      </c>
      <c r="HQ88" t="e">
        <f>#REF!+"$Cm=!%qe"</f>
        <v>#REF!</v>
      </c>
      <c r="HR88" t="e">
        <f>#REF!+"$Cm=!%qf"</f>
        <v>#REF!</v>
      </c>
      <c r="HS88" t="e">
        <f>#REF!+"$Cm=!%qg"</f>
        <v>#REF!</v>
      </c>
      <c r="HT88" t="e">
        <f>#REF!+"$Cm=!%qh"</f>
        <v>#REF!</v>
      </c>
      <c r="HU88" t="e">
        <f>#REF!+"$Cm=!%qi"</f>
        <v>#REF!</v>
      </c>
      <c r="HV88" t="e">
        <f>#REF!+"$Cm=!%qj"</f>
        <v>#REF!</v>
      </c>
      <c r="HW88" t="e">
        <f>#REF!+"$Cm=!%qk"</f>
        <v>#REF!</v>
      </c>
      <c r="HX88" t="e">
        <f>#REF!+"$Cm=!%ql"</f>
        <v>#REF!</v>
      </c>
      <c r="HY88" t="e">
        <f>#REF!+"$Cm=!%qm"</f>
        <v>#REF!</v>
      </c>
      <c r="HZ88" t="e">
        <f>#REF!+"$Cm=!%qn"</f>
        <v>#REF!</v>
      </c>
      <c r="IA88" t="e">
        <f>#REF!+"$Cm=!%qo"</f>
        <v>#REF!</v>
      </c>
      <c r="IB88" t="e">
        <f>#REF!+"$Cm=!%qp"</f>
        <v>#REF!</v>
      </c>
      <c r="IC88" t="e">
        <f>#REF!+"$Cm=!%qq"</f>
        <v>#REF!</v>
      </c>
      <c r="ID88" t="e">
        <f>#REF!+"$Cm=!%qr"</f>
        <v>#REF!</v>
      </c>
      <c r="IE88" t="e">
        <f>#REF!+"$Cm=!%qs"</f>
        <v>#REF!</v>
      </c>
      <c r="IF88" t="e">
        <f>#REF!+"$Cm=!%qt"</f>
        <v>#REF!</v>
      </c>
      <c r="IG88" t="e">
        <f>#REF!+"$Cm=!%qu"</f>
        <v>#REF!</v>
      </c>
      <c r="IH88" t="e">
        <f>#REF!+"$Cm=!%qv"</f>
        <v>#REF!</v>
      </c>
      <c r="II88" t="e">
        <f>#REF!+"$Cm=!%qw"</f>
        <v>#REF!</v>
      </c>
      <c r="IJ88" t="e">
        <f>#REF!+"$Cm=!%qx"</f>
        <v>#REF!</v>
      </c>
      <c r="IK88" t="e">
        <f>#REF!+"$Cm=!%qy"</f>
        <v>#REF!</v>
      </c>
      <c r="IL88" t="e">
        <f>#REF!+"$Cm=!%qz"</f>
        <v>#REF!</v>
      </c>
      <c r="IM88" t="e">
        <f>#REF!+"$Cm=!%q{"</f>
        <v>#REF!</v>
      </c>
      <c r="IN88" t="e">
        <f>#REF!+"$Cm=!%q|"</f>
        <v>#REF!</v>
      </c>
      <c r="IO88" t="e">
        <f>#REF!+"$Cm=!%q}"</f>
        <v>#REF!</v>
      </c>
      <c r="IP88" t="e">
        <f>#REF!+"$Cm=!%q~"</f>
        <v>#REF!</v>
      </c>
      <c r="IQ88" t="e">
        <f>#REF!+"$Cm=!%r#"</f>
        <v>#REF!</v>
      </c>
      <c r="IR88" t="e">
        <f>#REF!+"$Cm=!%r$"</f>
        <v>#REF!</v>
      </c>
      <c r="IS88" t="e">
        <f>#REF!+"$Cm=!%r%"</f>
        <v>#REF!</v>
      </c>
      <c r="IT88" t="e">
        <f>#REF!+"$Cm=!%r&amp;"</f>
        <v>#REF!</v>
      </c>
      <c r="IU88" t="e">
        <f>#REF!+"$Cm=!%r'"</f>
        <v>#REF!</v>
      </c>
      <c r="IV88" t="e">
        <f>#REF!+"$Cm=!%r("</f>
        <v>#REF!</v>
      </c>
    </row>
    <row r="89" spans="6:256">
      <c r="F89" t="e">
        <f>#REF!+"$Cm=!%r)"</f>
        <v>#REF!</v>
      </c>
      <c r="G89" t="e">
        <f>#REF!+"$Cm=!%r."</f>
        <v>#REF!</v>
      </c>
      <c r="H89" t="e">
        <f>#REF!+"$Cm=!%r/"</f>
        <v>#REF!</v>
      </c>
      <c r="I89" t="e">
        <f>#REF!+"$Cm=!%r0"</f>
        <v>#REF!</v>
      </c>
      <c r="J89" t="e">
        <f>#REF!+"$Cm=!%r1"</f>
        <v>#REF!</v>
      </c>
      <c r="K89" t="e">
        <f>#REF!+"$Cm=!%r2"</f>
        <v>#REF!</v>
      </c>
      <c r="L89" t="e">
        <f>#REF!+"$Cm=!%r3"</f>
        <v>#REF!</v>
      </c>
      <c r="M89" t="e">
        <f>#REF!+"$Cm=!%r4"</f>
        <v>#REF!</v>
      </c>
      <c r="N89" t="e">
        <f>#REF!+"$Cm=!%r5"</f>
        <v>#REF!</v>
      </c>
      <c r="O89" t="e">
        <f>#REF!+"$Cm=!%r6"</f>
        <v>#REF!</v>
      </c>
      <c r="P89" t="e">
        <f>#REF!+"$Cm=!%r7"</f>
        <v>#REF!</v>
      </c>
      <c r="Q89" t="e">
        <f>#REF!+"$Cm=!%r8"</f>
        <v>#REF!</v>
      </c>
      <c r="R89" t="e">
        <f>#REF!+"$Cm=!%r9"</f>
        <v>#REF!</v>
      </c>
      <c r="S89" t="e">
        <f>#REF!+"$Cm=!%r:"</f>
        <v>#REF!</v>
      </c>
      <c r="T89" t="e">
        <f>#REF!+"$Cm=!%r;"</f>
        <v>#REF!</v>
      </c>
      <c r="U89" t="e">
        <f>#REF!+"$Cm=!%r&lt;"</f>
        <v>#REF!</v>
      </c>
      <c r="V89" t="e">
        <f>#REF!+"$Cm=!%r="</f>
        <v>#REF!</v>
      </c>
      <c r="W89" t="e">
        <f>#REF!+"$Cm=!%r&gt;"</f>
        <v>#REF!</v>
      </c>
      <c r="X89" t="e">
        <f>#REF!+"$Cm=!%r?"</f>
        <v>#REF!</v>
      </c>
      <c r="Y89" t="e">
        <f>#REF!+"$Cm=!%r@"</f>
        <v>#REF!</v>
      </c>
      <c r="Z89" t="e">
        <f>#REF!+"$Cm=!%rA"</f>
        <v>#REF!</v>
      </c>
      <c r="AA89" t="e">
        <f>#REF!+"$Cm=!%rB"</f>
        <v>#REF!</v>
      </c>
      <c r="AB89" t="e">
        <f>#REF!+"$Cm=!%rC"</f>
        <v>#REF!</v>
      </c>
      <c r="AC89" t="e">
        <f>#REF!+"$Cm=!%rD"</f>
        <v>#REF!</v>
      </c>
      <c r="AD89" t="e">
        <f>#REF!+"$Cm=!%rE"</f>
        <v>#REF!</v>
      </c>
      <c r="AE89" t="e">
        <f>#REF!+"$Cm=!%rF"</f>
        <v>#REF!</v>
      </c>
      <c r="AF89" t="e">
        <f>#REF!+"$Cm=!%rG"</f>
        <v>#REF!</v>
      </c>
      <c r="AG89" t="e">
        <f>#REF!+"$Cm=!%rH"</f>
        <v>#REF!</v>
      </c>
      <c r="AH89" t="e">
        <f>#REF!+"$Cm=!%rI"</f>
        <v>#REF!</v>
      </c>
      <c r="AI89" t="e">
        <f>#REF!+"$Cm=!%rJ"</f>
        <v>#REF!</v>
      </c>
      <c r="AJ89" t="e">
        <f>#REF!+"$Cm=!%rK"</f>
        <v>#REF!</v>
      </c>
      <c r="AK89" t="e">
        <f>#REF!+"$Cm=!%rL"</f>
        <v>#REF!</v>
      </c>
      <c r="AL89" t="e">
        <f>#REF!+"$Cm=!%rM"</f>
        <v>#REF!</v>
      </c>
      <c r="AM89" t="e">
        <f>#REF!+"$Cm=!%rN"</f>
        <v>#REF!</v>
      </c>
      <c r="AN89" t="e">
        <f>#REF!+"$Cm=!%rO"</f>
        <v>#REF!</v>
      </c>
      <c r="AO89" t="e">
        <f>#REF!+"$Cm=!%rP"</f>
        <v>#REF!</v>
      </c>
      <c r="AP89" t="e">
        <f>#REF!+"$Cm=!%rQ"</f>
        <v>#REF!</v>
      </c>
      <c r="AQ89" t="e">
        <f>#REF!+"$Cm=!%rR"</f>
        <v>#REF!</v>
      </c>
      <c r="AR89" t="e">
        <f>#REF!+"$Cm=!%rS"</f>
        <v>#REF!</v>
      </c>
      <c r="AS89" t="e">
        <f>#REF!+"$Cm=!%rT"</f>
        <v>#REF!</v>
      </c>
      <c r="AT89" t="e">
        <f>#REF!+"$Cm=!%rU"</f>
        <v>#REF!</v>
      </c>
      <c r="AU89" t="e">
        <f>#REF!+"$Cm=!%rV"</f>
        <v>#REF!</v>
      </c>
      <c r="AV89" t="e">
        <f>#REF!+"$Cm=!%rW"</f>
        <v>#REF!</v>
      </c>
      <c r="AW89" t="e">
        <f>#REF!+"$Cm=!%rX"</f>
        <v>#REF!</v>
      </c>
      <c r="AX89" t="e">
        <f>#REF!+"$Cm=!%rY"</f>
        <v>#REF!</v>
      </c>
      <c r="AY89" t="e">
        <f>#REF!+"$Cm=!%rZ"</f>
        <v>#REF!</v>
      </c>
      <c r="AZ89" t="e">
        <f>#REF!+"$Cm=!%r["</f>
        <v>#REF!</v>
      </c>
      <c r="BA89" t="e">
        <f>#REF!+"$Cm=!%r\"</f>
        <v>#REF!</v>
      </c>
      <c r="BB89" t="e">
        <f>#REF!+"$Cm=!%r]"</f>
        <v>#REF!</v>
      </c>
      <c r="BC89" t="e">
        <f>#REF!+"$Cm=!%r^"</f>
        <v>#REF!</v>
      </c>
      <c r="BD89" t="e">
        <f>#REF!+"$Cm=!%r_"</f>
        <v>#REF!</v>
      </c>
      <c r="BE89" t="e">
        <f>#REF!+"$Cm=!%r`"</f>
        <v>#REF!</v>
      </c>
      <c r="BF89" t="e">
        <f>#REF!+"$Cm=!%ra"</f>
        <v>#REF!</v>
      </c>
      <c r="BG89" t="e">
        <f>#REF!+"$Cm=!%rb"</f>
        <v>#REF!</v>
      </c>
      <c r="BH89" t="e">
        <f>#REF!+"$Cm=!%rc"</f>
        <v>#REF!</v>
      </c>
      <c r="BI89" t="e">
        <f>#REF!+"$Cm=!%rd"</f>
        <v>#REF!</v>
      </c>
      <c r="BJ89" t="e">
        <f>#REF!+"$Cm=!%re"</f>
        <v>#REF!</v>
      </c>
      <c r="BK89" t="e">
        <f>#REF!+"$Cm=!%rf"</f>
        <v>#REF!</v>
      </c>
      <c r="BL89" t="e">
        <f>#REF!+"$Cm=!%rg"</f>
        <v>#REF!</v>
      </c>
      <c r="BM89" t="e">
        <f>#REF!+"$Cm=!%rh"</f>
        <v>#REF!</v>
      </c>
      <c r="BN89" t="e">
        <f>#REF!+"$Cm=!%ri"</f>
        <v>#REF!</v>
      </c>
      <c r="BO89" t="e">
        <f>#REF!+"$Cm=!%rj"</f>
        <v>#REF!</v>
      </c>
      <c r="BP89" t="e">
        <f>#REF!+"$Cm=!%rk"</f>
        <v>#REF!</v>
      </c>
      <c r="BQ89" t="e">
        <f>#REF!+"$Cm=!%rl"</f>
        <v>#REF!</v>
      </c>
      <c r="BR89" t="e">
        <f>#REF!+"$Cm=!%rm"</f>
        <v>#REF!</v>
      </c>
      <c r="BS89" t="e">
        <f>#REF!+"$Cm=!%rn"</f>
        <v>#REF!</v>
      </c>
      <c r="BT89" t="e">
        <f>#REF!+"$Cm=!%ro"</f>
        <v>#REF!</v>
      </c>
      <c r="BU89" t="e">
        <f>#REF!+"$Cm=!%rp"</f>
        <v>#REF!</v>
      </c>
      <c r="BV89" t="e">
        <f>#REF!+"$Cm=!%rq"</f>
        <v>#REF!</v>
      </c>
      <c r="BW89" t="e">
        <f>#REF!+"$Cm=!%rr"</f>
        <v>#REF!</v>
      </c>
      <c r="BX89" t="e">
        <f>#REF!+"$Cm=!%rs"</f>
        <v>#REF!</v>
      </c>
      <c r="BY89" t="e">
        <f>#REF!+"$Cm=!%rt"</f>
        <v>#REF!</v>
      </c>
      <c r="BZ89" t="e">
        <f>#REF!+"$Cm=!%ru"</f>
        <v>#REF!</v>
      </c>
      <c r="CA89" t="e">
        <f>#REF!+"$Cm=!%rv"</f>
        <v>#REF!</v>
      </c>
      <c r="CB89" t="e">
        <f>#REF!+"$Cm=!%rw"</f>
        <v>#REF!</v>
      </c>
      <c r="CC89" t="e">
        <f>#REF!+"$Cm=!%rx"</f>
        <v>#REF!</v>
      </c>
      <c r="CD89" t="e">
        <f>#REF!+"$Cm=!%ry"</f>
        <v>#REF!</v>
      </c>
      <c r="CE89" t="e">
        <f>#REF!+"$Cm=!%rz"</f>
        <v>#REF!</v>
      </c>
      <c r="CF89" t="e">
        <f>#REF!+"$Cm=!%r{"</f>
        <v>#REF!</v>
      </c>
      <c r="CG89" t="e">
        <f>#REF!+"$Cm=!%r|"</f>
        <v>#REF!</v>
      </c>
      <c r="CH89" t="e">
        <f>#REF!+"$Cm=!%r}"</f>
        <v>#REF!</v>
      </c>
      <c r="CI89" t="e">
        <f>#REF!+"$Cm=!%r~"</f>
        <v>#REF!</v>
      </c>
      <c r="CJ89" t="e">
        <f>#REF!+"$Cm=!%s#"</f>
        <v>#REF!</v>
      </c>
      <c r="CK89" t="e">
        <f>#REF!+"$Cm=!%s$"</f>
        <v>#REF!</v>
      </c>
      <c r="CL89" t="e">
        <f>#REF!+"$Cm=!%s%"</f>
        <v>#REF!</v>
      </c>
      <c r="CM89" t="e">
        <f>#REF!+"$Cm=!%s&amp;"</f>
        <v>#REF!</v>
      </c>
      <c r="CN89" t="e">
        <f>#REF!+"$Cm=!%s'"</f>
        <v>#REF!</v>
      </c>
      <c r="CO89" t="e">
        <f>#REF!+"$Cm=!%s("</f>
        <v>#REF!</v>
      </c>
      <c r="CP89" t="e">
        <f>#REF!+"$Cm=!%s)"</f>
        <v>#REF!</v>
      </c>
      <c r="CQ89" t="e">
        <f>#REF!+"$Cm=!%s."</f>
        <v>#REF!</v>
      </c>
      <c r="CR89" t="e">
        <f>#REF!+"$Cm=!%s/"</f>
        <v>#REF!</v>
      </c>
      <c r="CS89" t="e">
        <f>#REF!+"$Cm=!%s0"</f>
        <v>#REF!</v>
      </c>
      <c r="CT89" t="e">
        <f>#REF!+"$Cm=!%s1"</f>
        <v>#REF!</v>
      </c>
      <c r="CU89" t="e">
        <f>#REF!+"$Cm=!%s2"</f>
        <v>#REF!</v>
      </c>
      <c r="CV89" t="e">
        <f>#REF!+"$Cm=!%s3"</f>
        <v>#REF!</v>
      </c>
      <c r="CW89" t="e">
        <f>#REF!+"$Cm=!%s4"</f>
        <v>#REF!</v>
      </c>
      <c r="CX89" t="e">
        <f>#REF!+"$Cm=!%s5"</f>
        <v>#REF!</v>
      </c>
      <c r="CY89" t="e">
        <f>#REF!+"$Cm=!%s6"</f>
        <v>#REF!</v>
      </c>
      <c r="CZ89" t="e">
        <f>#REF!+"$Cm=!%s7"</f>
        <v>#REF!</v>
      </c>
      <c r="DA89" t="e">
        <f>#REF!+"$Cm=!%s8"</f>
        <v>#REF!</v>
      </c>
      <c r="DB89" t="e">
        <f>#REF!+"$Cm=!%s9"</f>
        <v>#REF!</v>
      </c>
      <c r="DC89" t="e">
        <f>#REF!+"$Cm=!%s:"</f>
        <v>#REF!</v>
      </c>
      <c r="DD89" t="e">
        <f>#REF!+"$Cm=!%s;"</f>
        <v>#REF!</v>
      </c>
      <c r="DE89" t="e">
        <f>#REF!+"$Cm=!%s&lt;"</f>
        <v>#REF!</v>
      </c>
      <c r="DF89" t="e">
        <f>#REF!+"$Cm=!%s="</f>
        <v>#REF!</v>
      </c>
      <c r="DG89" t="e">
        <f>#REF!+"$Cm=!%s&gt;"</f>
        <v>#REF!</v>
      </c>
      <c r="DH89" t="e">
        <f>#REF!+"$Cm=!%s?"</f>
        <v>#REF!</v>
      </c>
      <c r="DI89" t="e">
        <f>#REF!+"$Cm=!%s@"</f>
        <v>#REF!</v>
      </c>
      <c r="DJ89" t="e">
        <f>#REF!+"$Cm=!%sA"</f>
        <v>#REF!</v>
      </c>
      <c r="DK89" t="e">
        <f>#REF!+"$Cm=!%sB"</f>
        <v>#REF!</v>
      </c>
      <c r="DL89" t="e">
        <f>#REF!+"$Cm=!%sC"</f>
        <v>#REF!</v>
      </c>
      <c r="DM89" t="e">
        <f>#REF!+"$Cm=!%sD"</f>
        <v>#REF!</v>
      </c>
      <c r="DN89" t="e">
        <f>#REF!+"$Cm=!%sE"</f>
        <v>#REF!</v>
      </c>
      <c r="DO89" t="e">
        <f>#REF!+"$Cm=!%sF"</f>
        <v>#REF!</v>
      </c>
      <c r="DP89" t="e">
        <f>#REF!+"$Cm=!%sG"</f>
        <v>#REF!</v>
      </c>
      <c r="DQ89" t="e">
        <f>#REF!+"$Cm=!%sH"</f>
        <v>#REF!</v>
      </c>
      <c r="DR89" t="e">
        <f>#REF!+"$Cm=!%sI"</f>
        <v>#REF!</v>
      </c>
      <c r="DS89" t="e">
        <f>#REF!+"$Cm=!%sJ"</f>
        <v>#REF!</v>
      </c>
      <c r="DT89" t="e">
        <f>#REF!+"$Cm=!%sK"</f>
        <v>#REF!</v>
      </c>
      <c r="DU89" t="e">
        <f>#REF!+"$Cm=!%sL"</f>
        <v>#REF!</v>
      </c>
      <c r="DV89" t="e">
        <f>#REF!+"$Cm=!%sM"</f>
        <v>#REF!</v>
      </c>
      <c r="DW89" t="e">
        <f>#REF!+"$Cm=!%sN"</f>
        <v>#REF!</v>
      </c>
      <c r="DX89" t="e">
        <f>#REF!+"$Cm=!%sO"</f>
        <v>#REF!</v>
      </c>
      <c r="DY89" t="e">
        <f>#REF!+"$Cm=!%sP"</f>
        <v>#REF!</v>
      </c>
      <c r="DZ89" t="e">
        <f>#REF!+"$Cm=!%sQ"</f>
        <v>#REF!</v>
      </c>
      <c r="EA89" t="e">
        <f>#REF!+"$Cm=!%sR"</f>
        <v>#REF!</v>
      </c>
      <c r="EB89" t="e">
        <f>#REF!+"$Cm=!%sS"</f>
        <v>#REF!</v>
      </c>
      <c r="EC89" t="e">
        <f>#REF!+"$Cm=!%sT"</f>
        <v>#REF!</v>
      </c>
      <c r="ED89" t="e">
        <f>#REF!+"$Cm=!%sU"</f>
        <v>#REF!</v>
      </c>
      <c r="EE89" t="e">
        <f>#REF!+"$Cm=!%sV"</f>
        <v>#REF!</v>
      </c>
      <c r="EF89" t="e">
        <f>#REF!+"$Cm=!%sW"</f>
        <v>#REF!</v>
      </c>
      <c r="EG89" t="e">
        <f>#REF!+"$Cm=!%sX"</f>
        <v>#REF!</v>
      </c>
      <c r="EH89" t="e">
        <f>#REF!+"$Cm=!%sY"</f>
        <v>#REF!</v>
      </c>
      <c r="EI89" t="e">
        <f>#REF!+"$Cm=!%sZ"</f>
        <v>#REF!</v>
      </c>
      <c r="EJ89" t="e">
        <f>#REF!+"$Cm=!%s["</f>
        <v>#REF!</v>
      </c>
      <c r="EK89" t="e">
        <f>#REF!+"$Cm=!%s\"</f>
        <v>#REF!</v>
      </c>
      <c r="EL89" t="e">
        <f>#REF!+"$Cm=!%s]"</f>
        <v>#REF!</v>
      </c>
      <c r="EM89" t="e">
        <f>#REF!+"$Cm=!%s^"</f>
        <v>#REF!</v>
      </c>
      <c r="EN89" t="e">
        <f>#REF!+"$Cm=!%s_"</f>
        <v>#REF!</v>
      </c>
      <c r="EO89" t="e">
        <f>#REF!+"$Cm=!%s`"</f>
        <v>#REF!</v>
      </c>
      <c r="EP89" t="e">
        <f>#REF!+"$Cm=!%sa"</f>
        <v>#REF!</v>
      </c>
      <c r="EQ89" t="e">
        <f>#REF!+"$Cm=!%sb"</f>
        <v>#REF!</v>
      </c>
      <c r="ER89" t="e">
        <f>#REF!+"$Cm=!%sc"</f>
        <v>#REF!</v>
      </c>
      <c r="ES89" t="e">
        <f>#REF!+"$Cm=!%sd"</f>
        <v>#REF!</v>
      </c>
      <c r="ET89" t="e">
        <f>#REF!+"$Cm=!%se"</f>
        <v>#REF!</v>
      </c>
      <c r="EU89" t="e">
        <f>#REF!+"$Cm=!%sf"</f>
        <v>#REF!</v>
      </c>
      <c r="EV89" t="e">
        <f>#REF!+"$Cm=!%sg"</f>
        <v>#REF!</v>
      </c>
      <c r="EW89" t="e">
        <f>#REF!+"$Cm=!%sh"</f>
        <v>#REF!</v>
      </c>
      <c r="EX89" t="e">
        <f>#REF!+"$Cm=!%si"</f>
        <v>#REF!</v>
      </c>
      <c r="EY89" t="e">
        <f>#REF!+"$Cm=!%sj"</f>
        <v>#REF!</v>
      </c>
      <c r="EZ89" t="e">
        <f>#REF!+"$Cm=!%sk"</f>
        <v>#REF!</v>
      </c>
      <c r="FA89" t="e">
        <f>#REF!+"$Cm=!%sl"</f>
        <v>#REF!</v>
      </c>
      <c r="FB89" t="e">
        <f>#REF!+"$Cm=!%sm"</f>
        <v>#REF!</v>
      </c>
      <c r="FC89" t="e">
        <f>#REF!+"$Cm=!%sn"</f>
        <v>#REF!</v>
      </c>
      <c r="FD89" t="e">
        <f>#REF!+"$Cm=!%so"</f>
        <v>#REF!</v>
      </c>
      <c r="FE89" t="e">
        <f>#REF!+"$Cm=!%sp"</f>
        <v>#REF!</v>
      </c>
      <c r="FF89" t="e">
        <f>#REF!+"$Cm=!%sq"</f>
        <v>#REF!</v>
      </c>
      <c r="FG89" t="e">
        <f>#REF!+"$Cm=!%sr"</f>
        <v>#REF!</v>
      </c>
      <c r="FH89" t="e">
        <f>#REF!+"$Cm=!%ss"</f>
        <v>#REF!</v>
      </c>
      <c r="FI89" t="e">
        <f>#REF!+"$Cm=!%st"</f>
        <v>#REF!</v>
      </c>
      <c r="FJ89" t="e">
        <f>#REF!+"$Cm=!%su"</f>
        <v>#REF!</v>
      </c>
      <c r="FK89" t="e">
        <f>#REF!+"$Cm=!%sv"</f>
        <v>#REF!</v>
      </c>
      <c r="FL89" t="e">
        <f>#REF!+"$Cm=!%sw"</f>
        <v>#REF!</v>
      </c>
      <c r="FM89" t="e">
        <f>#REF!+"$Cm=!%sx"</f>
        <v>#REF!</v>
      </c>
      <c r="FN89" t="e">
        <f>#REF!+"$Cm=!%sy"</f>
        <v>#REF!</v>
      </c>
      <c r="FO89" t="e">
        <f>#REF!+"$Cm=!%sz"</f>
        <v>#REF!</v>
      </c>
      <c r="FP89" t="e">
        <f>#REF!+"$Cm=!%s{"</f>
        <v>#REF!</v>
      </c>
      <c r="FQ89" t="e">
        <f>#REF!+"$Cm=!%s|"</f>
        <v>#REF!</v>
      </c>
      <c r="FR89" t="e">
        <f>#REF!+"$Cm=!%s}"</f>
        <v>#REF!</v>
      </c>
      <c r="FS89" t="e">
        <f>#REF!+"$Cm=!%s~"</f>
        <v>#REF!</v>
      </c>
      <c r="FT89" t="e">
        <f>#REF!+"$Cm=!%t#"</f>
        <v>#REF!</v>
      </c>
      <c r="FU89" t="e">
        <f>#REF!+"$Cm=!%t$"</f>
        <v>#REF!</v>
      </c>
      <c r="FV89" t="e">
        <f>#REF!+"$Cm=!%t%"</f>
        <v>#REF!</v>
      </c>
      <c r="FW89" t="e">
        <f>#REF!+"$Cm=!%t&amp;"</f>
        <v>#REF!</v>
      </c>
      <c r="FX89" t="e">
        <f>#REF!+"$Cm=!%t'"</f>
        <v>#REF!</v>
      </c>
      <c r="FY89" t="e">
        <f>#REF!+"$Cm=!%t("</f>
        <v>#REF!</v>
      </c>
      <c r="FZ89" t="e">
        <f>#REF!+"$Cm=!%t)"</f>
        <v>#REF!</v>
      </c>
      <c r="GA89" t="e">
        <f>#REF!+"$Cm=!%t."</f>
        <v>#REF!</v>
      </c>
      <c r="GB89" t="e">
        <f>#REF!+"$Cm=!%t/"</f>
        <v>#REF!</v>
      </c>
      <c r="GC89" t="e">
        <f>#REF!+"$Cm=!%t0"</f>
        <v>#REF!</v>
      </c>
      <c r="GD89" t="e">
        <f>#REF!+"$Cm=!%t1"</f>
        <v>#REF!</v>
      </c>
      <c r="GE89" t="e">
        <f>#REF!+"$Cm=!%t2"</f>
        <v>#REF!</v>
      </c>
      <c r="GF89" t="e">
        <f>#REF!+"$Cm=!%t3"</f>
        <v>#REF!</v>
      </c>
      <c r="GG89" t="e">
        <f>#REF!+"$Cm=!%t4"</f>
        <v>#REF!</v>
      </c>
      <c r="GH89" t="e">
        <f>#REF!+"$Cm=!%t5"</f>
        <v>#REF!</v>
      </c>
      <c r="GI89" t="e">
        <f>#REF!+"$Cm=!%t6"</f>
        <v>#REF!</v>
      </c>
      <c r="GJ89" t="e">
        <f>#REF!+"$Cm=!%t7"</f>
        <v>#REF!</v>
      </c>
      <c r="GK89" t="e">
        <f>#REF!+"$Cm=!%t8"</f>
        <v>#REF!</v>
      </c>
      <c r="GL89" t="e">
        <f>#REF!+"$Cm=!%t9"</f>
        <v>#REF!</v>
      </c>
      <c r="GM89" t="e">
        <f>#REF!+"$Cm=!%t:"</f>
        <v>#REF!</v>
      </c>
      <c r="GN89" t="e">
        <f>#REF!+"$Cm=!%t;"</f>
        <v>#REF!</v>
      </c>
      <c r="GO89" t="e">
        <f>#REF!+"$Cm=!%t&lt;"</f>
        <v>#REF!</v>
      </c>
      <c r="GP89" t="e">
        <f>#REF!+"$Cm=!%t="</f>
        <v>#REF!</v>
      </c>
      <c r="GQ89" t="e">
        <f>#REF!+"$Cm=!%t&gt;"</f>
        <v>#REF!</v>
      </c>
      <c r="GR89" t="e">
        <f>#REF!+"$Cm=!%t?"</f>
        <v>#REF!</v>
      </c>
      <c r="GS89" t="e">
        <f>#REF!+"$Cm=!%t@"</f>
        <v>#REF!</v>
      </c>
      <c r="GT89" t="e">
        <f>#REF!+"$Cm=!%tA"</f>
        <v>#REF!</v>
      </c>
      <c r="GU89" t="e">
        <f>#REF!+"$Cm=!%tB"</f>
        <v>#REF!</v>
      </c>
      <c r="GV89" t="e">
        <f>#REF!+"$Cm=!%tC"</f>
        <v>#REF!</v>
      </c>
      <c r="GW89" t="e">
        <f>#REF!+"$Cm=!%tD"</f>
        <v>#REF!</v>
      </c>
      <c r="GX89" t="e">
        <f>#REF!+"$Cm=!%tE"</f>
        <v>#REF!</v>
      </c>
      <c r="GY89" t="e">
        <f>#REF!+"$Cm=!%tF"</f>
        <v>#REF!</v>
      </c>
      <c r="GZ89" t="e">
        <f>#REF!+"$Cm=!%tG"</f>
        <v>#REF!</v>
      </c>
      <c r="HA89" t="e">
        <f>#REF!+"$Cm=!%tH"</f>
        <v>#REF!</v>
      </c>
      <c r="HB89" t="e">
        <f>#REF!+"$Cm=!%tI"</f>
        <v>#REF!</v>
      </c>
      <c r="HC89" t="e">
        <f>#REF!+"$Cm=!%tJ"</f>
        <v>#REF!</v>
      </c>
      <c r="HD89" t="e">
        <f>#REF!+"$Cm=!%tK"</f>
        <v>#REF!</v>
      </c>
      <c r="HE89" t="e">
        <f>#REF!+"$Cm=!%tL"</f>
        <v>#REF!</v>
      </c>
      <c r="HF89" t="e">
        <f>#REF!+"$Cm=!%tM"</f>
        <v>#REF!</v>
      </c>
      <c r="HG89" t="e">
        <f>#REF!+"$Cm=!%tN"</f>
        <v>#REF!</v>
      </c>
      <c r="HH89" t="e">
        <f>#REF!+"$Cm=!%tO"</f>
        <v>#REF!</v>
      </c>
      <c r="HI89" t="e">
        <f>#REF!+"$Cm=!%tP"</f>
        <v>#REF!</v>
      </c>
      <c r="HJ89" t="e">
        <f>#REF!+"$Cm=!%tQ"</f>
        <v>#REF!</v>
      </c>
      <c r="HK89" t="e">
        <f>#REF!+"$Cm=!%tR"</f>
        <v>#REF!</v>
      </c>
      <c r="HL89" t="e">
        <f>#REF!+"$Cm=!%tS"</f>
        <v>#REF!</v>
      </c>
      <c r="HM89" t="e">
        <f>#REF!+"$Cm=!%tT"</f>
        <v>#REF!</v>
      </c>
      <c r="HN89" t="e">
        <f>#REF!+"$Cm=!%tU"</f>
        <v>#REF!</v>
      </c>
      <c r="HO89" t="e">
        <f>#REF!+"$Cm=!%tV"</f>
        <v>#REF!</v>
      </c>
      <c r="HP89" t="e">
        <f>#REF!+"$Cm=!%tW"</f>
        <v>#REF!</v>
      </c>
      <c r="HQ89" t="e">
        <f>#REF!+"$Cm=!%tX"</f>
        <v>#REF!</v>
      </c>
      <c r="HR89" t="e">
        <f>#REF!+"$Cm=!%tY"</f>
        <v>#REF!</v>
      </c>
      <c r="HS89" t="e">
        <f>#REF!+"$Cm=!%tZ"</f>
        <v>#REF!</v>
      </c>
      <c r="HT89" t="e">
        <f>#REF!+"$Cm=!%t["</f>
        <v>#REF!</v>
      </c>
      <c r="HU89" t="e">
        <f>#REF!+"$Cm=!%t\"</f>
        <v>#REF!</v>
      </c>
      <c r="HV89" t="e">
        <f>#REF!+"$Cm=!%t]"</f>
        <v>#REF!</v>
      </c>
      <c r="HW89" t="e">
        <f>#REF!+"$Cm=!%t^"</f>
        <v>#REF!</v>
      </c>
      <c r="HX89" t="e">
        <f>#REF!+"$Cm=!%t_"</f>
        <v>#REF!</v>
      </c>
      <c r="HY89" t="e">
        <f>#REF!+"$Cm=!%t`"</f>
        <v>#REF!</v>
      </c>
      <c r="HZ89" t="e">
        <f>#REF!+"$Cm=!%ta"</f>
        <v>#REF!</v>
      </c>
      <c r="IA89" t="e">
        <f>#REF!+"$Cm=!%tb"</f>
        <v>#REF!</v>
      </c>
      <c r="IB89" t="e">
        <f>#REF!+"$Cm=!%tc"</f>
        <v>#REF!</v>
      </c>
      <c r="IC89" t="e">
        <f>#REF!+"$Cm=!%td"</f>
        <v>#REF!</v>
      </c>
      <c r="ID89" t="e">
        <f>#REF!+"$Cm=!%te"</f>
        <v>#REF!</v>
      </c>
      <c r="IE89" t="e">
        <f>#REF!+"$Cm=!%tf"</f>
        <v>#REF!</v>
      </c>
      <c r="IF89" t="e">
        <f>#REF!+"$Cm=!%tg"</f>
        <v>#REF!</v>
      </c>
      <c r="IG89" t="e">
        <f>#REF!+"$Cm=!%th"</f>
        <v>#REF!</v>
      </c>
      <c r="IH89" t="e">
        <f>#REF!+"$Cm=!%ti"</f>
        <v>#REF!</v>
      </c>
      <c r="II89" t="e">
        <f>#REF!+"$Cm=!%tj"</f>
        <v>#REF!</v>
      </c>
      <c r="IJ89" t="e">
        <f>#REF!+"$Cm=!%tk"</f>
        <v>#REF!</v>
      </c>
      <c r="IK89" t="e">
        <f>#REF!+"$Cm=!%tl"</f>
        <v>#REF!</v>
      </c>
      <c r="IL89" t="e">
        <f>#REF!+"$Cm=!%tm"</f>
        <v>#REF!</v>
      </c>
      <c r="IM89" t="e">
        <f>#REF!+"$Cm=!%tn"</f>
        <v>#REF!</v>
      </c>
      <c r="IN89" t="e">
        <f>#REF!+"$Cm=!%to"</f>
        <v>#REF!</v>
      </c>
      <c r="IO89" t="e">
        <f>#REF!+"$Cm=!%tp"</f>
        <v>#REF!</v>
      </c>
      <c r="IP89" t="e">
        <f>#REF!+"$Cm=!%tq"</f>
        <v>#REF!</v>
      </c>
      <c r="IQ89" t="e">
        <f>#REF!+"$Cm=!%tr"</f>
        <v>#REF!</v>
      </c>
      <c r="IR89" t="e">
        <f>#REF!+"$Cm=!%ts"</f>
        <v>#REF!</v>
      </c>
      <c r="IS89" t="e">
        <f>#REF!+"$Cm=!%tt"</f>
        <v>#REF!</v>
      </c>
      <c r="IT89" t="e">
        <f>#REF!+"$Cm=!%tu"</f>
        <v>#REF!</v>
      </c>
      <c r="IU89" t="e">
        <f>#REF!+"$Cm=!%tv"</f>
        <v>#REF!</v>
      </c>
      <c r="IV89" t="e">
        <f>#REF!+"$Cm=!%tw"</f>
        <v>#REF!</v>
      </c>
    </row>
    <row r="90" spans="6:256">
      <c r="F90" t="e">
        <f>#REF!+"$Cm=!%tx"</f>
        <v>#REF!</v>
      </c>
      <c r="G90" t="e">
        <f>#REF!+"$Cm=!%ty"</f>
        <v>#REF!</v>
      </c>
      <c r="H90" t="e">
        <f>#REF!+"$Cm=!%tz"</f>
        <v>#REF!</v>
      </c>
      <c r="I90" t="e">
        <f>#REF!+"$Cm=!%t{"</f>
        <v>#REF!</v>
      </c>
      <c r="J90" t="e">
        <f>#REF!+"$Cm=!%t|"</f>
        <v>#REF!</v>
      </c>
      <c r="K90" t="e">
        <f>#REF!+"$Cm=!%t}"</f>
        <v>#REF!</v>
      </c>
      <c r="L90" t="e">
        <f>#REF!+"$Cm=!%t~"</f>
        <v>#REF!</v>
      </c>
      <c r="M90" t="e">
        <f>#REF!+"$Cm=!%u#"</f>
        <v>#REF!</v>
      </c>
      <c r="N90" t="e">
        <f>#REF!+"$Cm=!%u$"</f>
        <v>#REF!</v>
      </c>
      <c r="O90" t="e">
        <f>#REF!+"$Cm=!%u%"</f>
        <v>#REF!</v>
      </c>
      <c r="P90" t="e">
        <f>#REF!+"$Cm=!%u&amp;"</f>
        <v>#REF!</v>
      </c>
      <c r="Q90" t="e">
        <f>#REF!+"$Cm=!%u'"</f>
        <v>#REF!</v>
      </c>
      <c r="R90" t="e">
        <f>#REF!+"$Cm=!%u("</f>
        <v>#REF!</v>
      </c>
      <c r="S90" t="e">
        <f>#REF!+"$Cm=!%u)"</f>
        <v>#REF!</v>
      </c>
      <c r="T90" t="e">
        <f>#REF!+"$Cm=!%u."</f>
        <v>#REF!</v>
      </c>
      <c r="U90" t="e">
        <f>#REF!+"$Cm=!%u/"</f>
        <v>#REF!</v>
      </c>
      <c r="V90" t="e">
        <f>#REF!+"$Cm=!%u0"</f>
        <v>#REF!</v>
      </c>
      <c r="W90" t="e">
        <f>#REF!+"$Cm=!%u1"</f>
        <v>#REF!</v>
      </c>
      <c r="X90" t="e">
        <f>#REF!+"$Cm=!%u2"</f>
        <v>#REF!</v>
      </c>
      <c r="Y90" t="e">
        <f>#REF!+"$Cm=!%u3"</f>
        <v>#REF!</v>
      </c>
      <c r="Z90" t="e">
        <f>#REF!+"$Cm=!%u4"</f>
        <v>#REF!</v>
      </c>
      <c r="AA90" t="e">
        <f>#REF!+"$Cm=!%u5"</f>
        <v>#REF!</v>
      </c>
      <c r="AB90" t="e">
        <f>#REF!+"$Cm=!%u6"</f>
        <v>#REF!</v>
      </c>
      <c r="AC90" t="e">
        <f>#REF!+"$Cm=!%u7"</f>
        <v>#REF!</v>
      </c>
      <c r="AD90" t="e">
        <f>#REF!+"$Cm=!%u8"</f>
        <v>#REF!</v>
      </c>
      <c r="AE90" t="e">
        <f>#REF!+"$Cm=!%u9"</f>
        <v>#REF!</v>
      </c>
      <c r="AF90" t="e">
        <f>#REF!+"$Cm=!%u:"</f>
        <v>#REF!</v>
      </c>
      <c r="AG90" t="e">
        <f>#REF!+"$Cm=!%u;"</f>
        <v>#REF!</v>
      </c>
      <c r="AH90" t="e">
        <f>#REF!+"$Cm=!%u&lt;"</f>
        <v>#REF!</v>
      </c>
      <c r="AI90" t="e">
        <f>#REF!+"$Cm=!%u="</f>
        <v>#REF!</v>
      </c>
      <c r="AJ90" t="e">
        <f>#REF!+"$Cm=!%u&gt;"</f>
        <v>#REF!</v>
      </c>
      <c r="AK90" t="e">
        <f>#REF!+"$Cm=!%u?"</f>
        <v>#REF!</v>
      </c>
      <c r="AL90" t="e">
        <f>#REF!+"$Cm=!%u@"</f>
        <v>#REF!</v>
      </c>
      <c r="AM90" t="e">
        <f>#REF!+"$Cm=!%uA"</f>
        <v>#REF!</v>
      </c>
      <c r="AN90" t="e">
        <f>#REF!+"$Cm=!%uB"</f>
        <v>#REF!</v>
      </c>
      <c r="AO90" t="e">
        <f>#REF!+"$Cm=!%uC"</f>
        <v>#REF!</v>
      </c>
      <c r="AP90" t="e">
        <f>#REF!+"$Cm=!%uD"</f>
        <v>#REF!</v>
      </c>
      <c r="AQ90" t="e">
        <f>#REF!+"$Cm=!%uE"</f>
        <v>#REF!</v>
      </c>
      <c r="AR90" t="e">
        <f>#REF!+"$Cm=!%uF"</f>
        <v>#REF!</v>
      </c>
      <c r="AS90" t="e">
        <f>#REF!+"$Cm=!%uG"</f>
        <v>#REF!</v>
      </c>
      <c r="AT90" t="e">
        <f>#REF!+"$Cm=!%uH"</f>
        <v>#REF!</v>
      </c>
      <c r="AU90" t="e">
        <f>#REF!+"$Cm=!%uI"</f>
        <v>#REF!</v>
      </c>
      <c r="AV90" t="e">
        <f>#REF!+"$Cm=!%uJ"</f>
        <v>#REF!</v>
      </c>
      <c r="AW90" t="e">
        <f>#REF!+"$Cm=!%uK"</f>
        <v>#REF!</v>
      </c>
      <c r="AX90" t="e">
        <f>#REF!+"$Cm=!%uL"</f>
        <v>#REF!</v>
      </c>
      <c r="AY90" t="e">
        <f>#REF!+"$Cm=!%uM"</f>
        <v>#REF!</v>
      </c>
      <c r="AZ90" t="e">
        <f>#REF!+"$Cm=!%uN"</f>
        <v>#REF!</v>
      </c>
      <c r="BA90" t="e">
        <f>#REF!+"$Cm=!%uO"</f>
        <v>#REF!</v>
      </c>
      <c r="BB90" t="e">
        <f>#REF!+"$Cm=!%uP"</f>
        <v>#REF!</v>
      </c>
      <c r="BC90" t="e">
        <f>#REF!+"$Cm=!%uQ"</f>
        <v>#REF!</v>
      </c>
      <c r="BD90" t="e">
        <f>#REF!+"$Cm=!%uR"</f>
        <v>#REF!</v>
      </c>
      <c r="BE90" t="e">
        <f>#REF!+"$Cm=!%uS"</f>
        <v>#REF!</v>
      </c>
      <c r="BF90" t="e">
        <f>#REF!+"$Cm=!%uT"</f>
        <v>#REF!</v>
      </c>
      <c r="BG90" t="e">
        <f>#REF!+"$Cm=!%uU"</f>
        <v>#REF!</v>
      </c>
      <c r="BH90" t="e">
        <f>#REF!+"$Cm=!%uV"</f>
        <v>#REF!</v>
      </c>
      <c r="BI90" t="e">
        <f>#REF!+"$Cm=!%uW"</f>
        <v>#REF!</v>
      </c>
      <c r="BJ90" t="e">
        <f>#REF!+"$Cm=!%uX"</f>
        <v>#REF!</v>
      </c>
      <c r="BK90" t="e">
        <f>#REF!+"$Cm=!%uY"</f>
        <v>#REF!</v>
      </c>
      <c r="BL90" t="e">
        <f>#REF!+"$Cm=!%uZ"</f>
        <v>#REF!</v>
      </c>
      <c r="BM90" t="e">
        <f>#REF!+"$Cm=!%u["</f>
        <v>#REF!</v>
      </c>
      <c r="BN90" t="e">
        <f>#REF!+"$Cm=!%u\"</f>
        <v>#REF!</v>
      </c>
      <c r="BO90" t="e">
        <f>#REF!+"$Cm=!%u]"</f>
        <v>#REF!</v>
      </c>
      <c r="BP90" t="e">
        <f>#REF!+"$Cm=!%u^"</f>
        <v>#REF!</v>
      </c>
      <c r="BQ90" t="e">
        <f>#REF!+"$Cm=!%u_"</f>
        <v>#REF!</v>
      </c>
      <c r="BR90" t="e">
        <f>#REF!+"$Cm=!%u`"</f>
        <v>#REF!</v>
      </c>
      <c r="BS90" t="e">
        <f>#REF!+"$Cm=!%ua"</f>
        <v>#REF!</v>
      </c>
      <c r="BT90" t="e">
        <f>#REF!+"$Cm=!%ub"</f>
        <v>#REF!</v>
      </c>
      <c r="BU90" t="e">
        <f>#REF!+"$Cm=!%uc"</f>
        <v>#REF!</v>
      </c>
      <c r="BV90" t="e">
        <f>#REF!+"$Cm=!%ud"</f>
        <v>#REF!</v>
      </c>
      <c r="BW90" t="e">
        <f>#REF!+"$Cm=!%ue"</f>
        <v>#REF!</v>
      </c>
      <c r="BX90" t="e">
        <f>#REF!+"$Cm=!%uf"</f>
        <v>#REF!</v>
      </c>
      <c r="BY90" t="e">
        <f>#REF!+"$Cm=!%ug"</f>
        <v>#REF!</v>
      </c>
      <c r="BZ90" t="e">
        <f>#REF!+"$Cm=!%uh"</f>
        <v>#REF!</v>
      </c>
      <c r="CA90" t="e">
        <f>#REF!+"$Cm=!%ui"</f>
        <v>#REF!</v>
      </c>
      <c r="CB90" t="e">
        <f>#REF!+"$Cm=!%uj"</f>
        <v>#REF!</v>
      </c>
      <c r="CC90" t="e">
        <f>#REF!+"$Cm=!%uk"</f>
        <v>#REF!</v>
      </c>
      <c r="CD90" t="e">
        <f>#REF!+"$Cm=!%ul"</f>
        <v>#REF!</v>
      </c>
      <c r="CE90" t="e">
        <f>#REF!+"$Cm=!%um"</f>
        <v>#REF!</v>
      </c>
      <c r="CF90" t="e">
        <f>#REF!+"$Cm=!%un"</f>
        <v>#REF!</v>
      </c>
      <c r="CG90" t="e">
        <f>#REF!+"$Cm=!%uo"</f>
        <v>#REF!</v>
      </c>
      <c r="CH90" t="e">
        <f>#REF!+"$Cm=!%up"</f>
        <v>#REF!</v>
      </c>
      <c r="CI90" t="e">
        <f>#REF!+"$Cm=!%uq"</f>
        <v>#REF!</v>
      </c>
      <c r="CJ90" t="e">
        <f>#REF!+"$Cm=!%ur"</f>
        <v>#REF!</v>
      </c>
      <c r="CK90" t="e">
        <f>#REF!+"$Cm=!%us"</f>
        <v>#REF!</v>
      </c>
      <c r="CL90" t="e">
        <f>#REF!+"$Cm=!%ut"</f>
        <v>#REF!</v>
      </c>
      <c r="CM90" t="e">
        <f>#REF!+"$Cm=!%uu"</f>
        <v>#REF!</v>
      </c>
      <c r="CN90" t="e">
        <f>#REF!+"$Cm=!%uv"</f>
        <v>#REF!</v>
      </c>
      <c r="CO90" t="e">
        <f>#REF!+"$Cm=!%uw"</f>
        <v>#REF!</v>
      </c>
      <c r="CP90" t="e">
        <f>#REF!+"$Cm=!%ux"</f>
        <v>#REF!</v>
      </c>
      <c r="CQ90" t="e">
        <f>#REF!+"$Cm=!%uy"</f>
        <v>#REF!</v>
      </c>
      <c r="CR90" t="e">
        <f>#REF!+"$Cm=!%uz"</f>
        <v>#REF!</v>
      </c>
      <c r="CS90" t="e">
        <f>#REF!+"$Cm=!%u{"</f>
        <v>#REF!</v>
      </c>
      <c r="CT90" t="e">
        <f>#REF!+"$Cm=!%u|"</f>
        <v>#REF!</v>
      </c>
      <c r="CU90" t="e">
        <f>#REF!+"$Cm=!%u}"</f>
        <v>#REF!</v>
      </c>
      <c r="CV90" t="e">
        <f>#REF!+"$Cm=!%u~"</f>
        <v>#REF!</v>
      </c>
      <c r="CW90" t="e">
        <f>#REF!+"$Cm=!%v#"</f>
        <v>#REF!</v>
      </c>
      <c r="CX90" t="e">
        <f>#REF!+"$Cm=!%v$"</f>
        <v>#REF!</v>
      </c>
      <c r="CY90" t="e">
        <f>#REF!+"$Cm=!%v%"</f>
        <v>#REF!</v>
      </c>
      <c r="CZ90" t="e">
        <f>#REF!+"$Cm=!%v&amp;"</f>
        <v>#REF!</v>
      </c>
      <c r="DA90" t="e">
        <f>#REF!+"$Cm=!%v'"</f>
        <v>#REF!</v>
      </c>
      <c r="DB90" t="e">
        <f>#REF!+"$Cm=!%v("</f>
        <v>#REF!</v>
      </c>
      <c r="DC90" t="e">
        <f>#REF!+"$Cm=!%v)"</f>
        <v>#REF!</v>
      </c>
      <c r="DD90" t="e">
        <f>#REF!+"$Cm=!%v."</f>
        <v>#REF!</v>
      </c>
      <c r="DE90" t="e">
        <f>#REF!+"$Cm=!%v/"</f>
        <v>#REF!</v>
      </c>
      <c r="DF90" t="e">
        <f>#REF!+"$Cm=!%v0"</f>
        <v>#REF!</v>
      </c>
      <c r="DG90" t="e">
        <f>#REF!+"$Cm=!%v1"</f>
        <v>#REF!</v>
      </c>
      <c r="DH90" t="e">
        <f>#REF!+"$Cm=!%v2"</f>
        <v>#REF!</v>
      </c>
      <c r="DI90" t="e">
        <f>#REF!+"$Cm=!%v3"</f>
        <v>#REF!</v>
      </c>
      <c r="DJ90" t="e">
        <f>#REF!+"$Cm=!%v4"</f>
        <v>#REF!</v>
      </c>
      <c r="DK90" t="e">
        <f>#REF!+"$Cm=!%v5"</f>
        <v>#REF!</v>
      </c>
      <c r="DL90" t="e">
        <f>#REF!+"$Cm=!%v6"</f>
        <v>#REF!</v>
      </c>
      <c r="DM90" t="e">
        <f>#REF!+"$Cm=!%v7"</f>
        <v>#REF!</v>
      </c>
      <c r="DN90" t="e">
        <f>#REF!+"$Cm=!%v8"</f>
        <v>#REF!</v>
      </c>
      <c r="DO90" t="e">
        <f>#REF!+"$Cm=!%v9"</f>
        <v>#REF!</v>
      </c>
      <c r="DP90" t="e">
        <f>#REF!+"$Cm=!%v:"</f>
        <v>#REF!</v>
      </c>
      <c r="DQ90" t="e">
        <f>#REF!+"$Cm=!%v;"</f>
        <v>#REF!</v>
      </c>
      <c r="DR90" t="e">
        <f>#REF!+"$Cm=!%v&lt;"</f>
        <v>#REF!</v>
      </c>
      <c r="DS90" t="e">
        <f>#REF!+"$Cm=!%v="</f>
        <v>#REF!</v>
      </c>
      <c r="DT90" t="e">
        <f>#REF!+"$Cm=!%v&gt;"</f>
        <v>#REF!</v>
      </c>
      <c r="DU90" t="e">
        <f>#REF!+"$Cm=!%v?"</f>
        <v>#REF!</v>
      </c>
      <c r="DV90" t="e">
        <f>#REF!+"$Cm=!%v@"</f>
        <v>#REF!</v>
      </c>
      <c r="DW90" t="e">
        <f>#REF!+"$Cm=!%vA"</f>
        <v>#REF!</v>
      </c>
      <c r="DX90" t="e">
        <f>#REF!+"$Cm=!%vB"</f>
        <v>#REF!</v>
      </c>
      <c r="DY90" t="e">
        <f>#REF!+"$Cm=!%vC"</f>
        <v>#REF!</v>
      </c>
      <c r="DZ90" t="e">
        <f>#REF!+"$Cm=!%vD"</f>
        <v>#REF!</v>
      </c>
      <c r="EA90" t="e">
        <f>#REF!+"$Cm=!%vE"</f>
        <v>#REF!</v>
      </c>
      <c r="EB90" t="e">
        <f>#REF!+"$Cm=!%vF"</f>
        <v>#REF!</v>
      </c>
      <c r="EC90" t="e">
        <f>#REF!+"$Cm=!%vG"</f>
        <v>#REF!</v>
      </c>
      <c r="ED90" t="e">
        <f>#REF!+"$Cm=!%vH"</f>
        <v>#REF!</v>
      </c>
      <c r="EE90" t="e">
        <f>#REF!+"$Cm=!%vI"</f>
        <v>#REF!</v>
      </c>
      <c r="EF90" t="e">
        <f>#REF!+"$Cm=!%vJ"</f>
        <v>#REF!</v>
      </c>
      <c r="EG90" t="e">
        <f>#REF!+"$Cm=!%vK"</f>
        <v>#REF!</v>
      </c>
      <c r="EH90" t="e">
        <f>#REF!+"$Cm=!%vL"</f>
        <v>#REF!</v>
      </c>
      <c r="EI90" t="e">
        <f>#REF!+"$Cm=!%vM"</f>
        <v>#REF!</v>
      </c>
      <c r="EJ90" t="e">
        <f>#REF!+"$Cm=!%vN"</f>
        <v>#REF!</v>
      </c>
      <c r="EK90" t="e">
        <f>#REF!+"$Cm=!%vO"</f>
        <v>#REF!</v>
      </c>
      <c r="EL90" t="e">
        <f>#REF!+"$Cm=!%vP"</f>
        <v>#REF!</v>
      </c>
      <c r="EM90" t="e">
        <f>#REF!+"$Cm=!%vQ"</f>
        <v>#REF!</v>
      </c>
      <c r="EN90" t="e">
        <f>#REF!+"$Cm=!%vR"</f>
        <v>#REF!</v>
      </c>
      <c r="EO90" t="e">
        <f>#REF!+"$Cm=!%vS"</f>
        <v>#REF!</v>
      </c>
      <c r="EP90" t="e">
        <f>#REF!+"$Cm=!%vT"</f>
        <v>#REF!</v>
      </c>
      <c r="EQ90" t="e">
        <f>#REF!+"$Cm=!%vU"</f>
        <v>#REF!</v>
      </c>
      <c r="ER90" t="e">
        <f>#REF!+"$Cm=!%vV"</f>
        <v>#REF!</v>
      </c>
      <c r="ES90" t="e">
        <f>#REF!+"$Cm=!%vW"</f>
        <v>#REF!</v>
      </c>
      <c r="ET90" t="e">
        <f>#REF!+"$Cm=!%vX"</f>
        <v>#REF!</v>
      </c>
      <c r="EU90" t="e">
        <f>#REF!+"$Cm=!%vY"</f>
        <v>#REF!</v>
      </c>
      <c r="EV90" t="e">
        <f>#REF!+"$Cm=!%vZ"</f>
        <v>#REF!</v>
      </c>
      <c r="EW90" t="e">
        <f>#REF!+"$Cm=!%v["</f>
        <v>#REF!</v>
      </c>
      <c r="EX90" t="e">
        <f>#REF!+"$Cm=!%v\"</f>
        <v>#REF!</v>
      </c>
      <c r="EY90" t="e">
        <f>#REF!+"$Cm=!%v]"</f>
        <v>#REF!</v>
      </c>
      <c r="EZ90" t="e">
        <f>#REF!+"$Cm=!%v^"</f>
        <v>#REF!</v>
      </c>
      <c r="FA90" t="e">
        <f>#REF!+"$Cm=!%v_"</f>
        <v>#REF!</v>
      </c>
      <c r="FB90" t="e">
        <f>#REF!+"$Cm=!%v`"</f>
        <v>#REF!</v>
      </c>
      <c r="FC90" t="e">
        <f>#REF!+"$Cm=!%va"</f>
        <v>#REF!</v>
      </c>
      <c r="FD90" t="e">
        <f>#REF!+"$Cm=!%vb"</f>
        <v>#REF!</v>
      </c>
      <c r="FE90" t="e">
        <f>#REF!+"$Cm=!%vc"</f>
        <v>#REF!</v>
      </c>
      <c r="FF90" t="e">
        <f>#REF!+"$Cm=!%vd"</f>
        <v>#REF!</v>
      </c>
      <c r="FG90" t="e">
        <f>#REF!+"$Cm=!%ve"</f>
        <v>#REF!</v>
      </c>
      <c r="FH90" t="e">
        <f>#REF!+"$Cm=!%vf"</f>
        <v>#REF!</v>
      </c>
      <c r="FI90" t="e">
        <f>#REF!+"$Cm=!%vg"</f>
        <v>#REF!</v>
      </c>
      <c r="FJ90" t="e">
        <f>#REF!+"$Cm=!%vh"</f>
        <v>#REF!</v>
      </c>
      <c r="FK90" t="e">
        <f>#REF!+"$Cm=!%vi"</f>
        <v>#REF!</v>
      </c>
      <c r="FL90" t="e">
        <f>#REF!+"$Cm=!%vj"</f>
        <v>#REF!</v>
      </c>
      <c r="FM90" t="e">
        <f>#REF!+"$Cm=!%vk"</f>
        <v>#REF!</v>
      </c>
      <c r="FN90" t="e">
        <f>#REF!+"$Cm=!%vl"</f>
        <v>#REF!</v>
      </c>
      <c r="FO90" t="e">
        <f>#REF!+"$Cm=!%vm"</f>
        <v>#REF!</v>
      </c>
      <c r="FP90" t="e">
        <f>#REF!+"$Cm=!%vn"</f>
        <v>#REF!</v>
      </c>
      <c r="FQ90" t="e">
        <f>#REF!+"$Cm=!%vo"</f>
        <v>#REF!</v>
      </c>
      <c r="FR90" t="e">
        <f>#REF!+"$Cm=!%vp"</f>
        <v>#REF!</v>
      </c>
      <c r="FS90" t="e">
        <f>#REF!+"$Cm=!%vq"</f>
        <v>#REF!</v>
      </c>
      <c r="FT90" t="e">
        <f>#REF!+"$Cm=!%vr"</f>
        <v>#REF!</v>
      </c>
      <c r="FU90" t="e">
        <f>#REF!+"$Cm=!%vs"</f>
        <v>#REF!</v>
      </c>
      <c r="FV90" t="e">
        <f>#REF!+"$Cm=!%vt"</f>
        <v>#REF!</v>
      </c>
      <c r="FW90" t="e">
        <f>#REF!+"$Cm=!%vu"</f>
        <v>#REF!</v>
      </c>
      <c r="FX90" t="e">
        <f>#REF!+"$Cm=!%vv"</f>
        <v>#REF!</v>
      </c>
      <c r="FY90" t="e">
        <f>#REF!+"$Cm=!%vw"</f>
        <v>#REF!</v>
      </c>
      <c r="FZ90" t="e">
        <f>#REF!+"$Cm=!%vx"</f>
        <v>#REF!</v>
      </c>
      <c r="GA90" t="e">
        <f>#REF!+"$Cm=!%vy"</f>
        <v>#REF!</v>
      </c>
      <c r="GB90" t="e">
        <f>#REF!+"$Cm=!%vz"</f>
        <v>#REF!</v>
      </c>
      <c r="GC90" t="e">
        <f>#REF!+"$Cm=!%v{"</f>
        <v>#REF!</v>
      </c>
      <c r="GD90" t="e">
        <f>#REF!+"$Cm=!%v|"</f>
        <v>#REF!</v>
      </c>
      <c r="GE90" t="e">
        <f>#REF!+"$Cm=!%v}"</f>
        <v>#REF!</v>
      </c>
      <c r="GF90" t="e">
        <f>#REF!+"$Cm=!%v~"</f>
        <v>#REF!</v>
      </c>
      <c r="GG90" t="e">
        <f>#REF!+"$Cm=!%w#"</f>
        <v>#REF!</v>
      </c>
      <c r="GH90" t="e">
        <f>#REF!+"$Cm=!%w$"</f>
        <v>#REF!</v>
      </c>
      <c r="GI90" t="e">
        <f>#REF!+"$Cm=!%w%"</f>
        <v>#REF!</v>
      </c>
      <c r="GJ90" t="e">
        <f>#REF!+"$Cm=!%w&amp;"</f>
        <v>#REF!</v>
      </c>
      <c r="GK90" t="e">
        <f>#REF!+"$Cm=!%w'"</f>
        <v>#REF!</v>
      </c>
      <c r="GL90" t="e">
        <f>#REF!+"$Cm=!%w("</f>
        <v>#REF!</v>
      </c>
      <c r="GM90" t="e">
        <f>#REF!+"$Cm=!%w)"</f>
        <v>#REF!</v>
      </c>
      <c r="GN90" t="e">
        <f>#REF!+"$Cm=!%w."</f>
        <v>#REF!</v>
      </c>
      <c r="GO90" t="e">
        <f>#REF!+"$Cm=!%w/"</f>
        <v>#REF!</v>
      </c>
      <c r="GP90" t="e">
        <f>#REF!+"$Cm=!%w0"</f>
        <v>#REF!</v>
      </c>
      <c r="GQ90" t="e">
        <f>#REF!+"$Cm=!%w1"</f>
        <v>#REF!</v>
      </c>
      <c r="GR90" t="e">
        <f>#REF!+"$Cm=!%w2"</f>
        <v>#REF!</v>
      </c>
      <c r="GS90" t="e">
        <f>#REF!+"$Cm=!%w3"</f>
        <v>#REF!</v>
      </c>
      <c r="GT90" t="e">
        <f>#REF!+"$Cm=!%w4"</f>
        <v>#REF!</v>
      </c>
      <c r="GU90" t="e">
        <f>#REF!+"$Cm=!%w5"</f>
        <v>#REF!</v>
      </c>
      <c r="GV90" t="e">
        <f>#REF!+"$Cm=!%w6"</f>
        <v>#REF!</v>
      </c>
      <c r="GW90" t="e">
        <f>#REF!+"$Cm=!%w7"</f>
        <v>#REF!</v>
      </c>
      <c r="GX90" t="e">
        <f>#REF!+"$Cm=!%w8"</f>
        <v>#REF!</v>
      </c>
      <c r="GY90" t="e">
        <f>#REF!+"$Cm=!%w9"</f>
        <v>#REF!</v>
      </c>
      <c r="GZ90" t="e">
        <f>#REF!+"$Cm=!%w:"</f>
        <v>#REF!</v>
      </c>
      <c r="HA90" t="e">
        <f>#REF!+"$Cm=!%w;"</f>
        <v>#REF!</v>
      </c>
      <c r="HB90" t="e">
        <f>#REF!+"$Cm=!%w&lt;"</f>
        <v>#REF!</v>
      </c>
      <c r="HC90" t="e">
        <f>#REF!+"$Cm=!%w="</f>
        <v>#REF!</v>
      </c>
      <c r="HD90" t="e">
        <f>#REF!+"$Cm=!%w&gt;"</f>
        <v>#REF!</v>
      </c>
      <c r="HE90" t="e">
        <f>#REF!+"$Cm=!%w?"</f>
        <v>#REF!</v>
      </c>
      <c r="HF90" t="e">
        <f>#REF!+"$Cm=!%w@"</f>
        <v>#REF!</v>
      </c>
      <c r="HG90" t="e">
        <f>#REF!+"$Cm=!%wA"</f>
        <v>#REF!</v>
      </c>
      <c r="HH90" t="e">
        <f>#REF!+"$Cm=!%wB"</f>
        <v>#REF!</v>
      </c>
      <c r="HI90" t="e">
        <f>#REF!+"$Cm=!%wC"</f>
        <v>#REF!</v>
      </c>
      <c r="HJ90" t="e">
        <f>#REF!+"$Cm=!%wD"</f>
        <v>#REF!</v>
      </c>
      <c r="HK90" t="e">
        <f>#REF!+"$Cm=!%wE"</f>
        <v>#REF!</v>
      </c>
      <c r="HL90" t="e">
        <f>#REF!+"$Cm=!%wF"</f>
        <v>#REF!</v>
      </c>
      <c r="HM90" t="e">
        <f>#REF!+"$Cm=!%wG"</f>
        <v>#REF!</v>
      </c>
      <c r="HN90" t="e">
        <f>#REF!+"$Cm=!%wH"</f>
        <v>#REF!</v>
      </c>
      <c r="HO90" t="e">
        <f>#REF!+"$Cm=!%wI"</f>
        <v>#REF!</v>
      </c>
      <c r="HP90" t="e">
        <f>#REF!+"$Cm=!%wJ"</f>
        <v>#REF!</v>
      </c>
      <c r="HQ90" t="e">
        <f>#REF!+"$Cm=!%wK"</f>
        <v>#REF!</v>
      </c>
      <c r="HR90" t="e">
        <f>#REF!+"$Cm=!%wL"</f>
        <v>#REF!</v>
      </c>
      <c r="HS90" t="e">
        <f>#REF!+"$Cm=!%wM"</f>
        <v>#REF!</v>
      </c>
      <c r="HT90" t="e">
        <f>#REF!+"$Cm=!%wN"</f>
        <v>#REF!</v>
      </c>
      <c r="HU90" t="e">
        <f>#REF!+"$Cm=!%wO"</f>
        <v>#REF!</v>
      </c>
      <c r="HV90" t="e">
        <f>#REF!+"$Cm=!%wP"</f>
        <v>#REF!</v>
      </c>
      <c r="HW90" t="e">
        <f>#REF!+"$Cm=!%wQ"</f>
        <v>#REF!</v>
      </c>
      <c r="HX90" t="e">
        <f>#REF!+"$Cm=!%wR"</f>
        <v>#REF!</v>
      </c>
      <c r="HY90" t="e">
        <f>#REF!+"$Cm=!%wS"</f>
        <v>#REF!</v>
      </c>
      <c r="HZ90" t="e">
        <f>#REF!+"$Cm=!%wT"</f>
        <v>#REF!</v>
      </c>
      <c r="IA90" t="e">
        <f>#REF!+"$Cm=!%wU"</f>
        <v>#REF!</v>
      </c>
      <c r="IB90" t="e">
        <f>#REF!+"$Cm=!%wV"</f>
        <v>#REF!</v>
      </c>
      <c r="IC90" t="e">
        <f>#REF!+"$Cm=!%wW"</f>
        <v>#REF!</v>
      </c>
      <c r="ID90" t="e">
        <f>#REF!+"$Cm=!%wX"</f>
        <v>#REF!</v>
      </c>
      <c r="IE90" t="e">
        <f>#REF!+"$Cm=!%wY"</f>
        <v>#REF!</v>
      </c>
      <c r="IF90" t="e">
        <f>#REF!+"$Cm=!%wZ"</f>
        <v>#REF!</v>
      </c>
      <c r="IG90" t="e">
        <f>#REF!+"$Cm=!%w["</f>
        <v>#REF!</v>
      </c>
      <c r="IH90" t="e">
        <f>#REF!+"$Cm=!%w\"</f>
        <v>#REF!</v>
      </c>
      <c r="II90" t="e">
        <f>#REF!+"$Cm=!%w]"</f>
        <v>#REF!</v>
      </c>
      <c r="IJ90" t="e">
        <f>#REF!+"$Cm=!%w^"</f>
        <v>#REF!</v>
      </c>
      <c r="IK90" t="e">
        <f>#REF!+"$Cm=!%w_"</f>
        <v>#REF!</v>
      </c>
      <c r="IL90" t="e">
        <f>#REF!+"$Cm=!%w`"</f>
        <v>#REF!</v>
      </c>
      <c r="IM90" t="e">
        <f>#REF!+"$Cm=!%wa"</f>
        <v>#REF!</v>
      </c>
      <c r="IN90" t="e">
        <f>#REF!+"$Cm=!%wb"</f>
        <v>#REF!</v>
      </c>
      <c r="IO90" t="e">
        <f>#REF!+"$Cm=!%wc"</f>
        <v>#REF!</v>
      </c>
      <c r="IP90" t="e">
        <f>#REF!+"$Cm=!%wd"</f>
        <v>#REF!</v>
      </c>
      <c r="IQ90" t="e">
        <f>#REF!+"$Cm=!%we"</f>
        <v>#REF!</v>
      </c>
      <c r="IR90" t="e">
        <f>#REF!+"$Cm=!%wf"</f>
        <v>#REF!</v>
      </c>
      <c r="IS90" t="e">
        <f>#REF!+"$Cm=!%wg"</f>
        <v>#REF!</v>
      </c>
      <c r="IT90" t="e">
        <f>#REF!+"$Cm=!%wh"</f>
        <v>#REF!</v>
      </c>
      <c r="IU90" t="e">
        <f>#REF!+"$Cm=!%wi"</f>
        <v>#REF!</v>
      </c>
      <c r="IV90" t="e">
        <f>#REF!+"$Cm=!%wj"</f>
        <v>#REF!</v>
      </c>
    </row>
    <row r="91" spans="6:256">
      <c r="F91" t="e">
        <f>#REF!+"$Cm=!%wk"</f>
        <v>#REF!</v>
      </c>
      <c r="G91" t="e">
        <f>#REF!+"$Cm=!%wl"</f>
        <v>#REF!</v>
      </c>
      <c r="H91" t="e">
        <f>#REF!+"$Cm=!%wm"</f>
        <v>#REF!</v>
      </c>
      <c r="I91" t="e">
        <f>#REF!+"$Cm=!%wn"</f>
        <v>#REF!</v>
      </c>
      <c r="J91" t="e">
        <f>#REF!+"$Cm=!%wo"</f>
        <v>#REF!</v>
      </c>
      <c r="K91" t="e">
        <f>#REF!+"$Cm=!%wp"</f>
        <v>#REF!</v>
      </c>
      <c r="L91" t="e">
        <f>#REF!+"$Cm=!%wq"</f>
        <v>#REF!</v>
      </c>
      <c r="M91" t="e">
        <f>#REF!+"$Cm=!%wr"</f>
        <v>#REF!</v>
      </c>
      <c r="N91" t="e">
        <f>#REF!+"$Cm=!%ws"</f>
        <v>#REF!</v>
      </c>
      <c r="O91" t="e">
        <f>#REF!+"$Cm=!%wt"</f>
        <v>#REF!</v>
      </c>
      <c r="P91" t="e">
        <f>#REF!+"$Cm=!%wu"</f>
        <v>#REF!</v>
      </c>
      <c r="Q91" t="e">
        <f>#REF!+"$Cm=!%wv"</f>
        <v>#REF!</v>
      </c>
      <c r="R91" t="e">
        <f>#REF!+"$Cm=!%ww"</f>
        <v>#REF!</v>
      </c>
      <c r="S91" t="e">
        <f>#REF!+"$Cm=!%wx"</f>
        <v>#REF!</v>
      </c>
      <c r="T91" t="e">
        <f>#REF!+"$Cm=!%wy"</f>
        <v>#REF!</v>
      </c>
      <c r="U91" t="e">
        <f>#REF!+"$Cm=!%wz"</f>
        <v>#REF!</v>
      </c>
      <c r="V91" t="e">
        <f>#REF!+"$Cm=!%w{"</f>
        <v>#REF!</v>
      </c>
      <c r="W91" t="e">
        <f>#REF!+"$Cm=!%w|"</f>
        <v>#REF!</v>
      </c>
      <c r="X91" t="e">
        <f>#REF!+"$Cm=!%w}"</f>
        <v>#REF!</v>
      </c>
      <c r="Y91" t="e">
        <f>#REF!+"$Cm=!%w~"</f>
        <v>#REF!</v>
      </c>
      <c r="Z91" t="e">
        <f>#REF!+"$Cm=!%x#"</f>
        <v>#REF!</v>
      </c>
      <c r="AA91" t="e">
        <f>#REF!+"$Cm=!%x$"</f>
        <v>#REF!</v>
      </c>
      <c r="AB91" t="e">
        <f>#REF!+"$Cm=!%x%"</f>
        <v>#REF!</v>
      </c>
      <c r="AC91" t="e">
        <f>#REF!+"$Cm=!%x&amp;"</f>
        <v>#REF!</v>
      </c>
      <c r="AD91" t="e">
        <f>#REF!+"$Cm=!%x'"</f>
        <v>#REF!</v>
      </c>
      <c r="AE91" t="e">
        <f>#REF!+"$Cm=!%x("</f>
        <v>#REF!</v>
      </c>
      <c r="AF91" t="e">
        <f>#REF!+"$Cm=!%x)"</f>
        <v>#REF!</v>
      </c>
      <c r="AG91" t="e">
        <f>#REF!+"$Cm=!%x."</f>
        <v>#REF!</v>
      </c>
      <c r="AH91" t="e">
        <f>#REF!+"$Cm=!%x/"</f>
        <v>#REF!</v>
      </c>
      <c r="AI91" t="e">
        <f>#REF!+"$Cm=!%x0"</f>
        <v>#REF!</v>
      </c>
      <c r="AJ91" t="e">
        <f>#REF!+"$Cm=!%x1"</f>
        <v>#REF!</v>
      </c>
      <c r="AK91" t="e">
        <f>#REF!+"$Cm=!%x2"</f>
        <v>#REF!</v>
      </c>
      <c r="AL91" t="e">
        <f>#REF!+"$Cm=!%x3"</f>
        <v>#REF!</v>
      </c>
      <c r="AM91" t="e">
        <f>#REF!+"$Cm=!%x4"</f>
        <v>#REF!</v>
      </c>
      <c r="AN91" t="e">
        <f>#REF!+"$Cm=!%x5"</f>
        <v>#REF!</v>
      </c>
      <c r="AO91" t="e">
        <f>#REF!+"$Cm=!%x6"</f>
        <v>#REF!</v>
      </c>
      <c r="AP91" t="e">
        <f>#REF!+"$Cm=!%x7"</f>
        <v>#REF!</v>
      </c>
      <c r="AQ91" t="e">
        <f>#REF!+"$Cm=!%x8"</f>
        <v>#REF!</v>
      </c>
      <c r="AR91" t="e">
        <f>#REF!+"$Cm=!%x9"</f>
        <v>#REF!</v>
      </c>
      <c r="AS91" t="e">
        <f>#REF!+"$Cm=!%x:"</f>
        <v>#REF!</v>
      </c>
      <c r="AT91" t="e">
        <f>#REF!+"$Cm=!%x;"</f>
        <v>#REF!</v>
      </c>
      <c r="AU91" t="e">
        <f>#REF!+"$Cm=!%x&lt;"</f>
        <v>#REF!</v>
      </c>
      <c r="AV91" t="e">
        <f>#REF!+"$Cm=!%x="</f>
        <v>#REF!</v>
      </c>
      <c r="AW91" t="e">
        <f>#REF!+"$Cm=!%x&gt;"</f>
        <v>#REF!</v>
      </c>
      <c r="AX91" t="e">
        <f>#REF!+"$Cm=!%x?"</f>
        <v>#REF!</v>
      </c>
      <c r="AY91" t="e">
        <f>#REF!+"$Cm=!%x@"</f>
        <v>#REF!</v>
      </c>
      <c r="AZ91" t="e">
        <f>#REF!+"$Cm=!%xA"</f>
        <v>#REF!</v>
      </c>
      <c r="BA91" t="e">
        <f>#REF!+"$Cm=!%xB"</f>
        <v>#REF!</v>
      </c>
      <c r="BB91" t="e">
        <f>#REF!+"$Cm=!%xC"</f>
        <v>#REF!</v>
      </c>
      <c r="BC91" t="e">
        <f>#REF!+"$Cm=!%xD"</f>
        <v>#REF!</v>
      </c>
      <c r="BD91" t="e">
        <f>#REF!+"$Cm=!%xE"</f>
        <v>#REF!</v>
      </c>
      <c r="BE91" t="e">
        <f>#REF!+"$Cm=!%xF"</f>
        <v>#REF!</v>
      </c>
      <c r="BF91" t="e">
        <f>#REF!+"$Cm=!%xG"</f>
        <v>#REF!</v>
      </c>
      <c r="BG91" t="e">
        <f>#REF!+"$Cm=!%xH"</f>
        <v>#REF!</v>
      </c>
      <c r="BH91" t="e">
        <f>#REF!+"$Cm=!%xI"</f>
        <v>#REF!</v>
      </c>
      <c r="BI91" t="e">
        <f>#REF!+"$Cm=!%xJ"</f>
        <v>#REF!</v>
      </c>
      <c r="BJ91" t="e">
        <f>#REF!+"$Cm=!%xK"</f>
        <v>#REF!</v>
      </c>
      <c r="BK91" t="e">
        <f>#REF!+"$Cm=!%xL"</f>
        <v>#REF!</v>
      </c>
      <c r="BL91" t="e">
        <f>#REF!+"$Cm=!%xM"</f>
        <v>#REF!</v>
      </c>
      <c r="BM91" t="e">
        <f>#REF!+"$Cm=!%xN"</f>
        <v>#REF!</v>
      </c>
      <c r="BN91" t="e">
        <f>#REF!+"$Cm=!%xO"</f>
        <v>#REF!</v>
      </c>
      <c r="BO91" t="e">
        <f>#REF!+"$Cm=!%xP"</f>
        <v>#REF!</v>
      </c>
      <c r="BP91" t="e">
        <f>#REF!+"$Cm=!%xQ"</f>
        <v>#REF!</v>
      </c>
      <c r="BQ91" t="e">
        <f>#REF!+"$Cm=!%xR"</f>
        <v>#REF!</v>
      </c>
      <c r="BR91" t="e">
        <f>#REF!+"$Cm=!%xS"</f>
        <v>#REF!</v>
      </c>
      <c r="BS91" t="e">
        <f>#REF!+"$Cm=!%xT"</f>
        <v>#REF!</v>
      </c>
      <c r="BT91" t="e">
        <f>#REF!+"$Cm=!%xU"</f>
        <v>#REF!</v>
      </c>
      <c r="BU91" t="e">
        <f>#REF!+"$Cm=!%xV"</f>
        <v>#REF!</v>
      </c>
      <c r="BV91" t="e">
        <f>#REF!+"$Cm=!%xW"</f>
        <v>#REF!</v>
      </c>
      <c r="BW91" t="e">
        <f>#REF!+"$Cm=!%xX"</f>
        <v>#REF!</v>
      </c>
      <c r="BX91" t="e">
        <f>#REF!+"$Cm=!%xY"</f>
        <v>#REF!</v>
      </c>
      <c r="BY91" t="e">
        <f>#REF!+"$Cm=!%xZ"</f>
        <v>#REF!</v>
      </c>
      <c r="BZ91" t="e">
        <f>#REF!+"$Cm=!%x["</f>
        <v>#REF!</v>
      </c>
      <c r="CA91" t="e">
        <f>#REF!+"$Cm=!%x\"</f>
        <v>#REF!</v>
      </c>
      <c r="CB91" t="e">
        <f>#REF!+"$Cm=!%x]"</f>
        <v>#REF!</v>
      </c>
      <c r="CC91" t="e">
        <f>#REF!+"$Cm=!%x^"</f>
        <v>#REF!</v>
      </c>
      <c r="CD91" t="e">
        <f>#REF!+"$Cm=!%x_"</f>
        <v>#REF!</v>
      </c>
      <c r="CE91" t="e">
        <f>#REF!+"$Cm=!%x`"</f>
        <v>#REF!</v>
      </c>
      <c r="CF91" t="e">
        <f>#REF!+"$Cm=!%xa"</f>
        <v>#REF!</v>
      </c>
      <c r="CG91" t="e">
        <f>#REF!+"$Cm=!%xb"</f>
        <v>#REF!</v>
      </c>
      <c r="CH91" t="e">
        <f>#REF!+"$Cm=!%xc"</f>
        <v>#REF!</v>
      </c>
      <c r="CI91" t="e">
        <f>#REF!+"$Cm=!%xd"</f>
        <v>#REF!</v>
      </c>
      <c r="CJ91" t="e">
        <f>#REF!+"$Cm=!%xe"</f>
        <v>#REF!</v>
      </c>
      <c r="CK91" t="e">
        <f>#REF!+"$Cm=!%xf"</f>
        <v>#REF!</v>
      </c>
      <c r="CL91" t="e">
        <f>#REF!+"$Cm=!%xg"</f>
        <v>#REF!</v>
      </c>
      <c r="CM91" t="e">
        <f>#REF!+"$Cm=!%xh"</f>
        <v>#REF!</v>
      </c>
      <c r="CN91" t="e">
        <f>#REF!+"$Cm=!%xi"</f>
        <v>#REF!</v>
      </c>
      <c r="CO91" t="e">
        <f>#REF!+"$Cm=!%xj"</f>
        <v>#REF!</v>
      </c>
      <c r="CP91" t="e">
        <f>#REF!+"$Cm=!%xk"</f>
        <v>#REF!</v>
      </c>
      <c r="CQ91" t="e">
        <f>#REF!+"$Cm=!%xl"</f>
        <v>#REF!</v>
      </c>
      <c r="CR91" t="e">
        <f>#REF!+"$Cm=!%xm"</f>
        <v>#REF!</v>
      </c>
      <c r="CS91" t="e">
        <f>#REF!+"$Cm=!%xn"</f>
        <v>#REF!</v>
      </c>
      <c r="CT91" t="e">
        <f>#REF!+"$Cm=!%xo"</f>
        <v>#REF!</v>
      </c>
      <c r="CU91" t="e">
        <f>#REF!+"$Cm=!%xp"</f>
        <v>#REF!</v>
      </c>
      <c r="CV91" t="e">
        <f>#REF!+"$Cm=!%xq"</f>
        <v>#REF!</v>
      </c>
      <c r="CW91" t="e">
        <f>#REF!+"$Cm=!%xr"</f>
        <v>#REF!</v>
      </c>
      <c r="CX91" t="e">
        <f>#REF!+"$Cm=!%xs"</f>
        <v>#REF!</v>
      </c>
      <c r="CY91" t="e">
        <f>#REF!+"$Cm=!%xt"</f>
        <v>#REF!</v>
      </c>
      <c r="CZ91" t="e">
        <f>#REF!+"$Cm=!%xu"</f>
        <v>#REF!</v>
      </c>
      <c r="DA91" t="e">
        <f>#REF!+"$Cm=!%xv"</f>
        <v>#REF!</v>
      </c>
      <c r="DB91" t="e">
        <f>#REF!+"$Cm=!%xw"</f>
        <v>#REF!</v>
      </c>
      <c r="DC91" t="e">
        <f>#REF!+"$Cm=!%xx"</f>
        <v>#REF!</v>
      </c>
      <c r="DD91" t="e">
        <f>#REF!+"$Cm=!%xy"</f>
        <v>#REF!</v>
      </c>
      <c r="DE91" t="e">
        <f>#REF!+"$Cm=!%xz"</f>
        <v>#REF!</v>
      </c>
      <c r="DF91" t="e">
        <f>#REF!+"$Cm=!%x{"</f>
        <v>#REF!</v>
      </c>
      <c r="DG91" t="e">
        <f>#REF!+"$Cm=!%x|"</f>
        <v>#REF!</v>
      </c>
      <c r="DH91" t="e">
        <f>#REF!+"$Cm=!%x}"</f>
        <v>#REF!</v>
      </c>
      <c r="DI91" t="e">
        <f>#REF!+"$Cm=!%x~"</f>
        <v>#REF!</v>
      </c>
      <c r="DJ91" t="e">
        <f>#REF!+"$Cm=!%y#"</f>
        <v>#REF!</v>
      </c>
      <c r="DK91" t="e">
        <f>#REF!+"$Cm=!%y$"</f>
        <v>#REF!</v>
      </c>
      <c r="DL91" t="e">
        <f>#REF!+"$Cm=!%y%"</f>
        <v>#REF!</v>
      </c>
      <c r="DM91" t="e">
        <f>#REF!+"$Cm=!%y&amp;"</f>
        <v>#REF!</v>
      </c>
      <c r="DN91" t="e">
        <f>#REF!+"$Cm=!%y'"</f>
        <v>#REF!</v>
      </c>
      <c r="DO91" t="e">
        <f>#REF!+"$Cm=!%y("</f>
        <v>#REF!</v>
      </c>
      <c r="DP91" t="e">
        <f>#REF!+"$Cm=!%y)"</f>
        <v>#REF!</v>
      </c>
      <c r="DQ91" t="e">
        <f>#REF!+"$Cm=!%y."</f>
        <v>#REF!</v>
      </c>
      <c r="DR91" t="e">
        <f>#REF!+"$Cm=!%y/"</f>
        <v>#REF!</v>
      </c>
      <c r="DS91" t="e">
        <f>#REF!+"$Cm=!%y0"</f>
        <v>#REF!</v>
      </c>
      <c r="DT91" t="e">
        <f>#REF!+"$Cm=!%y1"</f>
        <v>#REF!</v>
      </c>
      <c r="DU91" t="e">
        <f>#REF!+"$Cm=!%y2"</f>
        <v>#REF!</v>
      </c>
      <c r="DV91" t="e">
        <f>#REF!+"$Cm=!%y3"</f>
        <v>#REF!</v>
      </c>
      <c r="DW91" t="e">
        <f>#REF!+"$Cm=!%y4"</f>
        <v>#REF!</v>
      </c>
      <c r="DX91" t="e">
        <f>#REF!+"$Cm=!%y5"</f>
        <v>#REF!</v>
      </c>
      <c r="DY91" t="e">
        <f>#REF!+"$Cm=!%y6"</f>
        <v>#REF!</v>
      </c>
      <c r="DZ91" t="e">
        <f>#REF!+"$Cm=!%y7"</f>
        <v>#REF!</v>
      </c>
      <c r="EA91" t="e">
        <f>#REF!+"$Cm=!%y8"</f>
        <v>#REF!</v>
      </c>
      <c r="EB91" t="e">
        <f>#REF!+"$Cm=!%y9"</f>
        <v>#REF!</v>
      </c>
      <c r="EC91" t="e">
        <f>#REF!+"$Cm=!%y:"</f>
        <v>#REF!</v>
      </c>
      <c r="ED91" t="e">
        <f>#REF!+"$Cm=!%y;"</f>
        <v>#REF!</v>
      </c>
      <c r="EE91" t="e">
        <f>#REF!+"$Cm=!%y&lt;"</f>
        <v>#REF!</v>
      </c>
      <c r="EF91" t="e">
        <f>#REF!+"$Cm=!%y="</f>
        <v>#REF!</v>
      </c>
      <c r="EG91" t="e">
        <f>#REF!+"$Cm=!%y&gt;"</f>
        <v>#REF!</v>
      </c>
      <c r="EH91" t="e">
        <f>#REF!+"$Cm=!%y?"</f>
        <v>#REF!</v>
      </c>
      <c r="EI91" t="e">
        <f>#REF!+"$Cm=!%y@"</f>
        <v>#REF!</v>
      </c>
      <c r="EJ91" t="e">
        <f>#REF!+"$Cm=!%yA"</f>
        <v>#REF!</v>
      </c>
      <c r="EK91" t="e">
        <f>#REF!+"$Cm=!%yB"</f>
        <v>#REF!</v>
      </c>
      <c r="EL91" t="e">
        <f>#REF!+"$Cm=!%yC"</f>
        <v>#REF!</v>
      </c>
      <c r="EM91" t="e">
        <f>#REF!+"$Cm=!%yD"</f>
        <v>#REF!</v>
      </c>
      <c r="EN91" t="e">
        <f>#REF!+"$Cm=!%yE"</f>
        <v>#REF!</v>
      </c>
      <c r="EO91" t="e">
        <f>#REF!+"$Cm=!%yF"</f>
        <v>#REF!</v>
      </c>
      <c r="EP91" t="e">
        <f>#REF!+"$Cm=!%yG"</f>
        <v>#REF!</v>
      </c>
      <c r="EQ91" t="e">
        <f>#REF!+"$Cm=!%yH"</f>
        <v>#REF!</v>
      </c>
      <c r="ER91" t="e">
        <f>#REF!+"$Cm=!%yI"</f>
        <v>#REF!</v>
      </c>
      <c r="ES91" t="e">
        <f>#REF!+"$Cm=!%yJ"</f>
        <v>#REF!</v>
      </c>
      <c r="ET91" t="e">
        <f>#REF!+"$Cm=!%yK"</f>
        <v>#REF!</v>
      </c>
      <c r="EU91" t="e">
        <f>#REF!+"$Cm=!%yL"</f>
        <v>#REF!</v>
      </c>
      <c r="EV91" t="e">
        <f>#REF!+"$Cm=!%yM"</f>
        <v>#REF!</v>
      </c>
      <c r="EW91" t="e">
        <f>#REF!+"$Cm=!%yN"</f>
        <v>#REF!</v>
      </c>
      <c r="EX91" t="e">
        <f>#REF!+"$Cm=!%yO"</f>
        <v>#REF!</v>
      </c>
      <c r="EY91" t="e">
        <f>#REF!+"$Cm=!%yP"</f>
        <v>#REF!</v>
      </c>
      <c r="EZ91" t="e">
        <f>#REF!+"$Cm=!%yQ"</f>
        <v>#REF!</v>
      </c>
      <c r="FA91" t="e">
        <f>#REF!+"$Cm=!%yR"</f>
        <v>#REF!</v>
      </c>
      <c r="FB91" t="e">
        <f>#REF!+"$Cm=!%yS"</f>
        <v>#REF!</v>
      </c>
      <c r="FC91" t="e">
        <f>#REF!+"$Cm=!%yT"</f>
        <v>#REF!</v>
      </c>
      <c r="FD91" t="e">
        <f>#REF!+"$Cm=!%yU"</f>
        <v>#REF!</v>
      </c>
      <c r="FE91" t="e">
        <f>#REF!+"$Cm=!%yV"</f>
        <v>#REF!</v>
      </c>
      <c r="FF91" t="e">
        <f>#REF!+"$Cm=!%yW"</f>
        <v>#REF!</v>
      </c>
      <c r="FG91" t="e">
        <f>#REF!+"$Cm=!%yX"</f>
        <v>#REF!</v>
      </c>
      <c r="FH91" t="e">
        <f>#REF!+"$Cm=!%yY"</f>
        <v>#REF!</v>
      </c>
      <c r="FI91" t="e">
        <f>#REF!+"$Cm=!%yZ"</f>
        <v>#REF!</v>
      </c>
      <c r="FJ91" t="e">
        <f>#REF!+"$Cm=!%y["</f>
        <v>#REF!</v>
      </c>
      <c r="FK91" t="e">
        <f>#REF!+"$Cm=!%y\"</f>
        <v>#REF!</v>
      </c>
      <c r="FL91" t="e">
        <f>#REF!+"$Cm=!%y]"</f>
        <v>#REF!</v>
      </c>
      <c r="FM91" t="e">
        <f>#REF!+"$Cm=!%y^"</f>
        <v>#REF!</v>
      </c>
      <c r="FN91" t="e">
        <f>#REF!+"$Cm=!%y_"</f>
        <v>#REF!</v>
      </c>
      <c r="FO91" t="e">
        <f>#REF!+"$Cm=!%y`"</f>
        <v>#REF!</v>
      </c>
      <c r="FP91" t="e">
        <f>#REF!+"$Cm=!%ya"</f>
        <v>#REF!</v>
      </c>
      <c r="FQ91" t="e">
        <f>#REF!+"$Cm=!%yb"</f>
        <v>#REF!</v>
      </c>
      <c r="FR91" t="e">
        <f>#REF!+"$Cm=!%yc"</f>
        <v>#REF!</v>
      </c>
      <c r="FS91" t="e">
        <f>#REF!+"$Cm=!%yd"</f>
        <v>#REF!</v>
      </c>
      <c r="FT91" t="e">
        <f>#REF!+"$Cm=!%ye"</f>
        <v>#REF!</v>
      </c>
      <c r="FU91" t="e">
        <f>#REF!+"$Cm=!%yf"</f>
        <v>#REF!</v>
      </c>
      <c r="FV91" t="e">
        <f>#REF!+"$Cm=!%yg"</f>
        <v>#REF!</v>
      </c>
      <c r="FW91" t="e">
        <f>#REF!+"$Cm=!%yh"</f>
        <v>#REF!</v>
      </c>
      <c r="FX91" t="e">
        <f>#REF!+"$Cm=!%yi"</f>
        <v>#REF!</v>
      </c>
      <c r="FY91" t="e">
        <f>#REF!+"$Cm=!%yj"</f>
        <v>#REF!</v>
      </c>
      <c r="FZ91" t="e">
        <f>#REF!+"$Cm=!%yk"</f>
        <v>#REF!</v>
      </c>
      <c r="GA91" t="e">
        <f>#REF!+"$Cm=!%yl"</f>
        <v>#REF!</v>
      </c>
      <c r="GB91" t="e">
        <f>#REF!+"$Cm=!%ym"</f>
        <v>#REF!</v>
      </c>
      <c r="GC91" t="e">
        <f>#REF!+"$Cm=!%yn"</f>
        <v>#REF!</v>
      </c>
      <c r="GD91" t="e">
        <f>#REF!+"$Cm=!%yo"</f>
        <v>#REF!</v>
      </c>
      <c r="GE91" t="e">
        <f>#REF!+"$Cm=!%yp"</f>
        <v>#REF!</v>
      </c>
      <c r="GF91" t="e">
        <f>#REF!+"$Cm=!%yq"</f>
        <v>#REF!</v>
      </c>
      <c r="GG91" t="e">
        <f>#REF!+"$Cm=!%yr"</f>
        <v>#REF!</v>
      </c>
      <c r="GH91" t="e">
        <f>#REF!+"$Cm=!%ys"</f>
        <v>#REF!</v>
      </c>
      <c r="GI91" t="e">
        <f>#REF!+"$Cm=!%yt"</f>
        <v>#REF!</v>
      </c>
      <c r="GJ91" t="e">
        <f>#REF!+"$Cm=!%yu"</f>
        <v>#REF!</v>
      </c>
      <c r="GK91" t="e">
        <f>#REF!+"$Cm=!%yv"</f>
        <v>#REF!</v>
      </c>
      <c r="GL91" t="e">
        <f>#REF!+"$Cm=!%yw"</f>
        <v>#REF!</v>
      </c>
      <c r="GM91" t="e">
        <f>#REF!+"$Cm=!%yx"</f>
        <v>#REF!</v>
      </c>
      <c r="GN91" t="e">
        <f>#REF!+"$Cm=!%yy"</f>
        <v>#REF!</v>
      </c>
      <c r="GO91" t="e">
        <f>#REF!+"$Cm=!%yz"</f>
        <v>#REF!</v>
      </c>
      <c r="GP91" t="e">
        <f>#REF!+"$Cm=!%y{"</f>
        <v>#REF!</v>
      </c>
      <c r="GQ91" t="e">
        <f>#REF!+"$Cm=!%y|"</f>
        <v>#REF!</v>
      </c>
      <c r="GR91" t="e">
        <f>#REF!+"$Cm=!%y}"</f>
        <v>#REF!</v>
      </c>
      <c r="GS91" t="e">
        <f>#REF!+"$Cm=!%y~"</f>
        <v>#REF!</v>
      </c>
      <c r="GT91" t="e">
        <f>#REF!+"$Cm=!%z#"</f>
        <v>#REF!</v>
      </c>
      <c r="GU91" t="e">
        <f>#REF!+"$Cm=!%z$"</f>
        <v>#REF!</v>
      </c>
      <c r="GV91" t="e">
        <f>#REF!+"$Cm=!%z%"</f>
        <v>#REF!</v>
      </c>
      <c r="GW91" t="e">
        <f>#REF!+"$Cm=!%z&amp;"</f>
        <v>#REF!</v>
      </c>
      <c r="GX91" t="e">
        <f>#REF!+"$Cm=!%z'"</f>
        <v>#REF!</v>
      </c>
      <c r="GY91" t="e">
        <f>#REF!+"$Cm=!%z("</f>
        <v>#REF!</v>
      </c>
      <c r="GZ91" t="e">
        <f>#REF!+"$Cm=!%z)"</f>
        <v>#REF!</v>
      </c>
      <c r="HA91" t="e">
        <f>#REF!+"$Cm=!%z."</f>
        <v>#REF!</v>
      </c>
      <c r="HB91" t="e">
        <f>#REF!+"$Cm=!%z/"</f>
        <v>#REF!</v>
      </c>
      <c r="HC91" t="e">
        <f>#REF!+"$Cm=!%z0"</f>
        <v>#REF!</v>
      </c>
      <c r="HD91" t="e">
        <f>#REF!+"$Cm=!%z1"</f>
        <v>#REF!</v>
      </c>
      <c r="HE91" t="e">
        <f>#REF!+"$Cm=!%z2"</f>
        <v>#REF!</v>
      </c>
      <c r="HF91" t="e">
        <f>#REF!+"$Cm=!%z3"</f>
        <v>#REF!</v>
      </c>
      <c r="HG91" t="e">
        <f>#REF!+"$Cm=!%z4"</f>
        <v>#REF!</v>
      </c>
      <c r="HH91" t="e">
        <f>#REF!+"$Cm=!%z5"</f>
        <v>#REF!</v>
      </c>
      <c r="HI91" t="e">
        <f>#REF!+"$Cm=!%z6"</f>
        <v>#REF!</v>
      </c>
      <c r="HJ91" t="e">
        <f>#REF!+"$Cm=!%z7"</f>
        <v>#REF!</v>
      </c>
      <c r="HK91" t="e">
        <f>#REF!+"$Cm=!%z8"</f>
        <v>#REF!</v>
      </c>
      <c r="HL91" t="e">
        <f>#REF!+"$Cm=!%z9"</f>
        <v>#REF!</v>
      </c>
      <c r="HM91" t="e">
        <f>#REF!+"$Cm=!%z:"</f>
        <v>#REF!</v>
      </c>
      <c r="HN91" t="e">
        <f>#REF!+"$Cm=!%z;"</f>
        <v>#REF!</v>
      </c>
      <c r="HO91" t="e">
        <f>#REF!+"$Cm=!%z&lt;"</f>
        <v>#REF!</v>
      </c>
      <c r="HP91" t="e">
        <f>#REF!+"$Cm=!%z="</f>
        <v>#REF!</v>
      </c>
      <c r="HQ91" t="e">
        <f>#REF!+"$Cm=!%z&gt;"</f>
        <v>#REF!</v>
      </c>
      <c r="HR91" t="e">
        <f>#REF!+"$Cm=!%z?"</f>
        <v>#REF!</v>
      </c>
      <c r="HS91" t="e">
        <f>#REF!+"$Cm=!%z@"</f>
        <v>#REF!</v>
      </c>
      <c r="HT91" t="e">
        <f>#REF!+"$Cm=!%zA"</f>
        <v>#REF!</v>
      </c>
      <c r="HU91" t="e">
        <f>#REF!+"$Cm=!%zB"</f>
        <v>#REF!</v>
      </c>
      <c r="HV91" t="e">
        <f>#REF!+"$Cm=!%zC"</f>
        <v>#REF!</v>
      </c>
      <c r="HW91" t="e">
        <f>#REF!+"$Cm=!%zD"</f>
        <v>#REF!</v>
      </c>
      <c r="HX91" t="e">
        <f>#REF!+"$Cm=!%zE"</f>
        <v>#REF!</v>
      </c>
      <c r="HY91" t="e">
        <f>#REF!+"$Cm=!%zF"</f>
        <v>#REF!</v>
      </c>
      <c r="HZ91" t="e">
        <f>#REF!+"$Cm=!%zG"</f>
        <v>#REF!</v>
      </c>
      <c r="IA91" t="e">
        <f>#REF!+"$Cm=!%zH"</f>
        <v>#REF!</v>
      </c>
      <c r="IB91" t="e">
        <f>#REF!+"$Cm=!%zI"</f>
        <v>#REF!</v>
      </c>
      <c r="IC91" t="e">
        <f>#REF!+"$Cm=!%zJ"</f>
        <v>#REF!</v>
      </c>
      <c r="ID91" t="e">
        <f>#REF!+"$Cm=!%zK"</f>
        <v>#REF!</v>
      </c>
      <c r="IE91" t="e">
        <f>#REF!+"$Cm=!%zL"</f>
        <v>#REF!</v>
      </c>
      <c r="IF91" t="e">
        <f>#REF!+"$Cm=!%zM"</f>
        <v>#REF!</v>
      </c>
      <c r="IG91" t="e">
        <f>#REF!+"$Cm=!%zN"</f>
        <v>#REF!</v>
      </c>
      <c r="IH91" t="e">
        <f>#REF!+"$Cm=!%zO"</f>
        <v>#REF!</v>
      </c>
      <c r="II91" t="e">
        <f>#REF!+"$Cm=!%zP"</f>
        <v>#REF!</v>
      </c>
      <c r="IJ91" t="e">
        <f>#REF!+"$Cm=!%zQ"</f>
        <v>#REF!</v>
      </c>
      <c r="IK91" t="e">
        <f>#REF!+"$Cm=!%zR"</f>
        <v>#REF!</v>
      </c>
      <c r="IL91" t="e">
        <f>#REF!+"$Cm=!%zS"</f>
        <v>#REF!</v>
      </c>
      <c r="IM91" t="e">
        <f>#REF!+"$Cm=!%zT"</f>
        <v>#REF!</v>
      </c>
      <c r="IN91" t="e">
        <f>#REF!+"$Cm=!%zU"</f>
        <v>#REF!</v>
      </c>
      <c r="IO91" t="e">
        <f>#REF!+"$Cm=!%zV"</f>
        <v>#REF!</v>
      </c>
      <c r="IP91" t="e">
        <f>#REF!+"$Cm=!%zW"</f>
        <v>#REF!</v>
      </c>
      <c r="IQ91" t="e">
        <f>#REF!+"$Cm=!%zX"</f>
        <v>#REF!</v>
      </c>
      <c r="IR91" t="e">
        <f>#REF!+"$Cm=!%zY"</f>
        <v>#REF!</v>
      </c>
      <c r="IS91" t="e">
        <f>#REF!+"$Cm=!%zZ"</f>
        <v>#REF!</v>
      </c>
      <c r="IT91" t="e">
        <f>#REF!+"$Cm=!%z["</f>
        <v>#REF!</v>
      </c>
      <c r="IU91" t="e">
        <f>#REF!+"$Cm=!%z\"</f>
        <v>#REF!</v>
      </c>
      <c r="IV91" t="e">
        <f>#REF!+"$Cm=!%z]"</f>
        <v>#REF!</v>
      </c>
    </row>
    <row r="92" spans="6:256">
      <c r="F92" t="e">
        <f>#REF!+"$Cm=!%z^"</f>
        <v>#REF!</v>
      </c>
      <c r="G92" t="e">
        <f>#REF!+"$Cm=!%z_"</f>
        <v>#REF!</v>
      </c>
      <c r="H92" t="e">
        <f>#REF!+"$Cm=!%z`"</f>
        <v>#REF!</v>
      </c>
      <c r="I92" t="e">
        <f>#REF!+"$Cm=!%za"</f>
        <v>#REF!</v>
      </c>
      <c r="J92" t="e">
        <f>#REF!+"$Cm=!%zb"</f>
        <v>#REF!</v>
      </c>
      <c r="K92" t="e">
        <f>#REF!+"$Cm=!%zc"</f>
        <v>#REF!</v>
      </c>
      <c r="L92" t="e">
        <f>#REF!+"$Cm=!%zd"</f>
        <v>#REF!</v>
      </c>
      <c r="M92" t="e">
        <f>#REF!+"$Cm=!%ze"</f>
        <v>#REF!</v>
      </c>
      <c r="N92" t="e">
        <f>#REF!+"$Cm=!%zf"</f>
        <v>#REF!</v>
      </c>
      <c r="O92" t="e">
        <f>#REF!+"$Cm=!%zg"</f>
        <v>#REF!</v>
      </c>
      <c r="P92" t="e">
        <f>#REF!+"$Cm=!%zh"</f>
        <v>#REF!</v>
      </c>
      <c r="Q92" t="e">
        <f>#REF!+"$Cm=!%zi"</f>
        <v>#REF!</v>
      </c>
      <c r="R92" t="e">
        <f>#REF!+"$Cm=!%zj"</f>
        <v>#REF!</v>
      </c>
      <c r="S92" t="e">
        <f>#REF!+"$Cm=!%zk"</f>
        <v>#REF!</v>
      </c>
      <c r="T92" t="e">
        <f>#REF!+"$Cm=!%zl"</f>
        <v>#REF!</v>
      </c>
      <c r="U92" t="e">
        <f>#REF!+"$Cm=!%zm"</f>
        <v>#REF!</v>
      </c>
      <c r="V92" t="e">
        <f>#REF!+"$Cm=!%zn"</f>
        <v>#REF!</v>
      </c>
      <c r="W92" t="e">
        <f>#REF!+"$Cm=!%zo"</f>
        <v>#REF!</v>
      </c>
      <c r="X92" t="e">
        <f>#REF!+"$Cm=!%zp"</f>
        <v>#REF!</v>
      </c>
      <c r="Y92" t="e">
        <f>#REF!+"$Cm=!%zq"</f>
        <v>#REF!</v>
      </c>
      <c r="Z92" t="e">
        <f>#REF!+"$Cm=!%zr"</f>
        <v>#REF!</v>
      </c>
      <c r="AA92" t="e">
        <f>#REF!+"$Cm=!%zs"</f>
        <v>#REF!</v>
      </c>
      <c r="AB92" t="e">
        <f>#REF!+"$Cm=!%zt"</f>
        <v>#REF!</v>
      </c>
      <c r="AC92" t="e">
        <f>#REF!+"$Cm=!%zu"</f>
        <v>#REF!</v>
      </c>
      <c r="AD92" t="e">
        <f>#REF!+"$Cm=!%zv"</f>
        <v>#REF!</v>
      </c>
      <c r="AE92" t="e">
        <f>#REF!+"$Cm=!%zw"</f>
        <v>#REF!</v>
      </c>
      <c r="AF92" t="e">
        <f>#REF!+"$Cm=!%zx"</f>
        <v>#REF!</v>
      </c>
      <c r="AG92" t="e">
        <f>#REF!+"$Cm=!%zy"</f>
        <v>#REF!</v>
      </c>
      <c r="AH92" t="e">
        <f>#REF!+"$Cm=!%zz"</f>
        <v>#REF!</v>
      </c>
      <c r="AI92" t="e">
        <f>#REF!+"$Cm=!%z{"</f>
        <v>#REF!</v>
      </c>
      <c r="AJ92" t="e">
        <f>#REF!+"$Cm=!%z|"</f>
        <v>#REF!</v>
      </c>
      <c r="AK92" t="e">
        <f>#REF!+"$Cm=!%z}"</f>
        <v>#REF!</v>
      </c>
      <c r="AL92" t="e">
        <f>#REF!+"$Cm=!%z~"</f>
        <v>#REF!</v>
      </c>
      <c r="AM92" t="e">
        <f>#REF!+"$Cm=!%{#"</f>
        <v>#REF!</v>
      </c>
      <c r="AN92" t="e">
        <f>#REF!+"$Cm=!%{$"</f>
        <v>#REF!</v>
      </c>
      <c r="AO92" t="e">
        <f>#REF!+"$Cm=!%{%"</f>
        <v>#REF!</v>
      </c>
      <c r="AP92" t="e">
        <f>#REF!+"$Cm=!%{&amp;"</f>
        <v>#REF!</v>
      </c>
      <c r="AQ92" t="e">
        <f>#REF!+"$Cm=!%{'"</f>
        <v>#REF!</v>
      </c>
      <c r="AR92" t="e">
        <f>#REF!+"$Cm=!%{("</f>
        <v>#REF!</v>
      </c>
      <c r="AS92" t="e">
        <f>#REF!+"$Cm=!%{)"</f>
        <v>#REF!</v>
      </c>
      <c r="AT92" t="e">
        <f>#REF!+"$Cm=!%{."</f>
        <v>#REF!</v>
      </c>
      <c r="AU92" t="e">
        <f>#REF!+"$Cm=!%{/"</f>
        <v>#REF!</v>
      </c>
      <c r="AV92" t="e">
        <f>#REF!+"$Cm=!%{0"</f>
        <v>#REF!</v>
      </c>
      <c r="AW92" t="e">
        <f>#REF!+"$Cm=!%{1"</f>
        <v>#REF!</v>
      </c>
      <c r="AX92" t="e">
        <f>#REF!+"$Cm=!%{2"</f>
        <v>#REF!</v>
      </c>
      <c r="AY92" t="e">
        <f>#REF!+"$Cm=!%{3"</f>
        <v>#REF!</v>
      </c>
      <c r="AZ92" t="e">
        <f>#REF!+"$Cm=!%{4"</f>
        <v>#REF!</v>
      </c>
      <c r="BA92" t="e">
        <f>#REF!+"$Cm=!%{5"</f>
        <v>#REF!</v>
      </c>
      <c r="BB92" t="e">
        <f>#REF!+"$Cm=!%{6"</f>
        <v>#REF!</v>
      </c>
      <c r="BC92" t="e">
        <f>#REF!+"$Cm=!%{7"</f>
        <v>#REF!</v>
      </c>
      <c r="BD92" t="e">
        <f>#REF!+"$Cm=!%{8"</f>
        <v>#REF!</v>
      </c>
      <c r="BE92" t="e">
        <f>#REF!+"$Cm=!%{9"</f>
        <v>#REF!</v>
      </c>
      <c r="BF92" t="e">
        <f>#REF!+"$Cm=!%{:"</f>
        <v>#REF!</v>
      </c>
      <c r="BG92" t="e">
        <f>#REF!+"$Cm=!%{;"</f>
        <v>#REF!</v>
      </c>
      <c r="BH92" t="e">
        <f>#REF!+"$Cm=!%{&lt;"</f>
        <v>#REF!</v>
      </c>
      <c r="BI92" t="e">
        <f>#REF!+"$Cm=!%{="</f>
        <v>#REF!</v>
      </c>
      <c r="BJ92" t="e">
        <f>#REF!+"$Cm=!%{&gt;"</f>
        <v>#REF!</v>
      </c>
      <c r="BK92" t="e">
        <f>#REF!+"$Cm=!%{?"</f>
        <v>#REF!</v>
      </c>
      <c r="BL92" t="e">
        <f>#REF!+"$Cm=!%{@"</f>
        <v>#REF!</v>
      </c>
      <c r="BM92" t="e">
        <f>#REF!+"$Cm=!%{A"</f>
        <v>#REF!</v>
      </c>
      <c r="BN92" t="e">
        <f>#REF!+"$Cm=!%{B"</f>
        <v>#REF!</v>
      </c>
      <c r="BO92" t="e">
        <f>#REF!+"$Cm=!%{C"</f>
        <v>#REF!</v>
      </c>
      <c r="BP92" t="e">
        <f>#REF!+"$Cm=!%{D"</f>
        <v>#REF!</v>
      </c>
      <c r="BQ92" t="e">
        <f>#REF!+"$Cm=!%{E"</f>
        <v>#REF!</v>
      </c>
      <c r="BR92" t="e">
        <f>#REF!+"$Cm=!%{F"</f>
        <v>#REF!</v>
      </c>
      <c r="BS92" t="e">
        <f>#REF!+"$Cm=!%{G"</f>
        <v>#REF!</v>
      </c>
      <c r="BT92" t="e">
        <f>#REF!+"$Cm=!%{H"</f>
        <v>#REF!</v>
      </c>
      <c r="BU92" t="e">
        <f>#REF!+"$Cm=!%{I"</f>
        <v>#REF!</v>
      </c>
      <c r="BV92" t="e">
        <f>#REF!+"$Cm=!%{J"</f>
        <v>#REF!</v>
      </c>
      <c r="BW92" t="e">
        <f>#REF!+"$Cm=!%{K"</f>
        <v>#REF!</v>
      </c>
      <c r="BX92" t="e">
        <f>#REF!+"$Cm=!%{L"</f>
        <v>#REF!</v>
      </c>
      <c r="BY92" t="e">
        <f>#REF!+"$Cm=!%{M"</f>
        <v>#REF!</v>
      </c>
      <c r="BZ92" t="e">
        <f>#REF!+"$Cm=!%{N"</f>
        <v>#REF!</v>
      </c>
      <c r="CA92" t="e">
        <f>#REF!+"$Cm=!%{O"</f>
        <v>#REF!</v>
      </c>
      <c r="CB92" t="e">
        <f>#REF!+"$Cm=!%{P"</f>
        <v>#REF!</v>
      </c>
      <c r="CC92" t="e">
        <f>#REF!+"$Cm=!%{Q"</f>
        <v>#REF!</v>
      </c>
      <c r="CD92" t="e">
        <f>#REF!+"$Cm=!%{R"</f>
        <v>#REF!</v>
      </c>
      <c r="CE92" t="e">
        <f>#REF!+"$Cm=!%{S"</f>
        <v>#REF!</v>
      </c>
      <c r="CF92" t="e">
        <f>#REF!+"$Cm=!%{T"</f>
        <v>#REF!</v>
      </c>
      <c r="CG92" t="e">
        <f>#REF!+"$Cm=!%{U"</f>
        <v>#REF!</v>
      </c>
      <c r="CH92" t="e">
        <f>#REF!+"$Cm=!%{V"</f>
        <v>#REF!</v>
      </c>
      <c r="CI92" t="e">
        <f>#REF!+"$Cm=!%{W"</f>
        <v>#REF!</v>
      </c>
      <c r="CJ92" t="e">
        <f>#REF!+"$Cm=!%{X"</f>
        <v>#REF!</v>
      </c>
      <c r="CK92" t="e">
        <f>#REF!+"$Cm=!%{Y"</f>
        <v>#REF!</v>
      </c>
      <c r="CL92" t="e">
        <f>#REF!+"$Cm=!%{Z"</f>
        <v>#REF!</v>
      </c>
      <c r="CM92" t="e">
        <f>#REF!+"$Cm=!%{["</f>
        <v>#REF!</v>
      </c>
      <c r="CN92" t="e">
        <f>#REF!+"$Cm=!%{\"</f>
        <v>#REF!</v>
      </c>
      <c r="CO92" t="e">
        <f>#REF!+"$Cm=!%{]"</f>
        <v>#REF!</v>
      </c>
      <c r="CP92" t="e">
        <f>#REF!+"$Cm=!%{^"</f>
        <v>#REF!</v>
      </c>
      <c r="CQ92" t="e">
        <f>#REF!+"$Cm=!%{_"</f>
        <v>#REF!</v>
      </c>
      <c r="CR92" t="e">
        <f>#REF!+"$Cm=!%{`"</f>
        <v>#REF!</v>
      </c>
      <c r="CS92" t="e">
        <f>#REF!+"$Cm=!%{a"</f>
        <v>#REF!</v>
      </c>
      <c r="CT92" t="e">
        <f>#REF!+"$Cm=!%{b"</f>
        <v>#REF!</v>
      </c>
      <c r="CU92" t="e">
        <f>#REF!+"$Cm=!%{c"</f>
        <v>#REF!</v>
      </c>
      <c r="CV92" t="e">
        <f>#REF!+"$Cm=!%{d"</f>
        <v>#REF!</v>
      </c>
      <c r="CW92" t="e">
        <f>#REF!+"$Cm=!%{e"</f>
        <v>#REF!</v>
      </c>
      <c r="CX92" t="e">
        <f>#REF!+"$Cm=!%{f"</f>
        <v>#REF!</v>
      </c>
      <c r="CY92" t="e">
        <f>#REF!+"$Cm=!%{g"</f>
        <v>#REF!</v>
      </c>
      <c r="CZ92" t="e">
        <f>#REF!+"$Cm=!%{h"</f>
        <v>#REF!</v>
      </c>
      <c r="DA92" t="e">
        <f>#REF!+"$Cm=!%{i"</f>
        <v>#REF!</v>
      </c>
      <c r="DB92" t="e">
        <f>#REF!+"$Cm=!%{j"</f>
        <v>#REF!</v>
      </c>
      <c r="DC92" t="e">
        <f>#REF!+"$Cm=!%{k"</f>
        <v>#REF!</v>
      </c>
      <c r="DD92" t="e">
        <f>#REF!+"$Cm=!%{l"</f>
        <v>#REF!</v>
      </c>
      <c r="DE92" t="e">
        <f>#REF!+"$Cm=!%{m"</f>
        <v>#REF!</v>
      </c>
      <c r="DF92" t="e">
        <f>#REF!+"$Cm=!%{n"</f>
        <v>#REF!</v>
      </c>
      <c r="DG92" t="e">
        <f>#REF!+"$Cm=!%{o"</f>
        <v>#REF!</v>
      </c>
      <c r="DH92" t="e">
        <f>#REF!+"$Cm=!%{p"</f>
        <v>#REF!</v>
      </c>
      <c r="DI92" t="e">
        <f>#REF!+"$Cm=!%{q"</f>
        <v>#REF!</v>
      </c>
      <c r="DJ92" t="e">
        <f>#REF!+"$Cm=!%{r"</f>
        <v>#REF!</v>
      </c>
      <c r="DK92" t="e">
        <f>#REF!+"$Cm=!%{s"</f>
        <v>#REF!</v>
      </c>
      <c r="DL92" t="e">
        <f>#REF!+"$Cm=!%{t"</f>
        <v>#REF!</v>
      </c>
      <c r="DM92" t="e">
        <f>#REF!+"$Cm=!%{u"</f>
        <v>#REF!</v>
      </c>
      <c r="DN92" t="e">
        <f>#REF!+"$Cm=!%{v"</f>
        <v>#REF!</v>
      </c>
      <c r="DO92" t="e">
        <f>#REF!+"$Cm=!%{w"</f>
        <v>#REF!</v>
      </c>
      <c r="DP92" t="e">
        <f>#REF!+"$Cm=!%{x"</f>
        <v>#REF!</v>
      </c>
      <c r="DQ92" t="e">
        <f>#REF!+"$Cm=!%{y"</f>
        <v>#REF!</v>
      </c>
      <c r="DR92" t="e">
        <f>#REF!+"$Cm=!%{z"</f>
        <v>#REF!</v>
      </c>
      <c r="DS92" t="e">
        <f>#REF!+"$Cm=!%{{"</f>
        <v>#REF!</v>
      </c>
      <c r="DT92" t="e">
        <f>#REF!+"$Cm=!%{|"</f>
        <v>#REF!</v>
      </c>
      <c r="DU92" t="e">
        <f>#REF!+"$Cm=!%{}"</f>
        <v>#REF!</v>
      </c>
      <c r="DV92" t="e">
        <f>#REF!+"$Cm=!%{~"</f>
        <v>#REF!</v>
      </c>
      <c r="DW92" t="e">
        <f>#REF!+"$Cm=!%|#"</f>
        <v>#REF!</v>
      </c>
      <c r="DX92" t="e">
        <f>#REF!+"$Cm=!%|$"</f>
        <v>#REF!</v>
      </c>
      <c r="DY92" t="e">
        <f>#REF!+"$Cm=!%|%"</f>
        <v>#REF!</v>
      </c>
      <c r="DZ92" t="e">
        <f>#REF!+"$Cm=!%|&amp;"</f>
        <v>#REF!</v>
      </c>
      <c r="EA92" t="e">
        <f>#REF!+"$Cm=!%|'"</f>
        <v>#REF!</v>
      </c>
      <c r="EB92" t="e">
        <f>#REF!+"$Cm=!%|("</f>
        <v>#REF!</v>
      </c>
      <c r="EC92" t="e">
        <f>#REF!+"$Cm=!%|)"</f>
        <v>#REF!</v>
      </c>
      <c r="ED92" t="e">
        <f>#REF!+"$Cm=!%|."</f>
        <v>#REF!</v>
      </c>
      <c r="EE92" t="e">
        <f>#REF!+"$Cm=!%|/"</f>
        <v>#REF!</v>
      </c>
      <c r="EF92" t="e">
        <f>#REF!+"$Cm=!%|0"</f>
        <v>#REF!</v>
      </c>
      <c r="EG92" t="e">
        <f>#REF!+"$Cm=!%|1"</f>
        <v>#REF!</v>
      </c>
      <c r="EH92" t="e">
        <f>#REF!+"$Cm=!%|2"</f>
        <v>#REF!</v>
      </c>
      <c r="EI92" t="e">
        <f>#REF!+"$Cm=!%|3"</f>
        <v>#REF!</v>
      </c>
      <c r="EJ92" t="e">
        <f>#REF!+"$Cm=!%|4"</f>
        <v>#REF!</v>
      </c>
      <c r="EK92" t="e">
        <f>#REF!+"$Cm=!%|5"</f>
        <v>#REF!</v>
      </c>
      <c r="EL92" t="e">
        <f>#REF!+"$Cm=!%|6"</f>
        <v>#REF!</v>
      </c>
      <c r="EM92" t="e">
        <f>#REF!+"$Cm=!%|7"</f>
        <v>#REF!</v>
      </c>
      <c r="EN92" t="e">
        <f>#REF!+"$Cm=!%|8"</f>
        <v>#REF!</v>
      </c>
      <c r="EO92" t="e">
        <f>#REF!+"$Cm=!%|9"</f>
        <v>#REF!</v>
      </c>
      <c r="EP92" t="e">
        <f>#REF!+"$Cm=!%|:"</f>
        <v>#REF!</v>
      </c>
      <c r="EQ92" t="e">
        <f>#REF!+"$Cm=!%|;"</f>
        <v>#REF!</v>
      </c>
      <c r="ER92" t="e">
        <f>#REF!+"$Cm=!%|&lt;"</f>
        <v>#REF!</v>
      </c>
      <c r="ES92" t="e">
        <f>#REF!+"$Cm=!%|="</f>
        <v>#REF!</v>
      </c>
      <c r="ET92" t="e">
        <f>#REF!+"$Cm=!%|&gt;"</f>
        <v>#REF!</v>
      </c>
      <c r="EU92" t="e">
        <f>#REF!+"$Cm=!%|?"</f>
        <v>#REF!</v>
      </c>
      <c r="EV92" t="e">
        <f>#REF!+"$Cm=!%|@"</f>
        <v>#REF!</v>
      </c>
      <c r="EW92" t="e">
        <f>#REF!+"$Cm=!%|A"</f>
        <v>#REF!</v>
      </c>
      <c r="EX92" t="e">
        <f>#REF!+"$Cm=!%|B"</f>
        <v>#REF!</v>
      </c>
      <c r="EY92" t="e">
        <f>#REF!+"$Cm=!%|C"</f>
        <v>#REF!</v>
      </c>
      <c r="EZ92" t="e">
        <f>#REF!+"$Cm=!%|D"</f>
        <v>#REF!</v>
      </c>
      <c r="FA92" t="e">
        <f>#REF!+"$Cm=!%|E"</f>
        <v>#REF!</v>
      </c>
      <c r="FB92" t="e">
        <f>#REF!+"$Cm=!%|F"</f>
        <v>#REF!</v>
      </c>
      <c r="FC92" t="e">
        <f>#REF!+"$Cm=!%|G"</f>
        <v>#REF!</v>
      </c>
      <c r="FD92" t="e">
        <f>#REF!+"$Cm=!%|H"</f>
        <v>#REF!</v>
      </c>
      <c r="FE92" t="e">
        <f>#REF!+"$Cm=!%|I"</f>
        <v>#REF!</v>
      </c>
      <c r="FF92" t="e">
        <f>#REF!+"$Cm=!%|J"</f>
        <v>#REF!</v>
      </c>
      <c r="FG92" t="e">
        <f>#REF!+"$Cm=!%|K"</f>
        <v>#REF!</v>
      </c>
      <c r="FH92" t="e">
        <f>#REF!+"$Cm=!%|L"</f>
        <v>#REF!</v>
      </c>
      <c r="FI92" t="e">
        <f>#REF!+"$Cm=!%|M"</f>
        <v>#REF!</v>
      </c>
      <c r="FJ92" t="e">
        <f>#REF!+"$Cm=!%|N"</f>
        <v>#REF!</v>
      </c>
      <c r="FK92" t="e">
        <f>#REF!+"$Cm=!%|O"</f>
        <v>#REF!</v>
      </c>
      <c r="FL92" t="e">
        <f>#REF!+"$Cm=!%|P"</f>
        <v>#REF!</v>
      </c>
      <c r="FM92" t="e">
        <f>#REF!+"$Cm=!%|Q"</f>
        <v>#REF!</v>
      </c>
      <c r="FN92" t="e">
        <f>#REF!+"$Cm=!%|R"</f>
        <v>#REF!</v>
      </c>
      <c r="FO92" t="e">
        <f>#REF!+"$Cm=!%|S"</f>
        <v>#REF!</v>
      </c>
      <c r="FP92" t="e">
        <f>#REF!+"$Cm=!%|T"</f>
        <v>#REF!</v>
      </c>
      <c r="FQ92" t="e">
        <f>#REF!+"$Cm=!%|U"</f>
        <v>#REF!</v>
      </c>
      <c r="FR92" t="e">
        <f>#REF!+"$Cm=!%|V"</f>
        <v>#REF!</v>
      </c>
      <c r="FS92" t="e">
        <f>#REF!+"$Cm=!%|W"</f>
        <v>#REF!</v>
      </c>
      <c r="FT92" t="e">
        <f>#REF!+"$Cm=!%|X"</f>
        <v>#REF!</v>
      </c>
      <c r="FU92" t="e">
        <f>#REF!+"$Cm=!%|Y"</f>
        <v>#REF!</v>
      </c>
      <c r="FV92" t="e">
        <f>#REF!+"$Cm=!%|Z"</f>
        <v>#REF!</v>
      </c>
      <c r="FW92" t="e">
        <f>#REF!+"$Cm=!%|["</f>
        <v>#REF!</v>
      </c>
      <c r="FX92" t="e">
        <f>#REF!+"$Cm=!%|\"</f>
        <v>#REF!</v>
      </c>
      <c r="FY92" t="e">
        <f>#REF!+"$Cm=!%|]"</f>
        <v>#REF!</v>
      </c>
      <c r="FZ92" t="e">
        <f>#REF!+"$Cm=!%|^"</f>
        <v>#REF!</v>
      </c>
      <c r="GA92" t="e">
        <f>#REF!+"$Cm=!%|_"</f>
        <v>#REF!</v>
      </c>
      <c r="GB92" t="e">
        <f>#REF!+"$Cm=!%|`"</f>
        <v>#REF!</v>
      </c>
      <c r="GC92" t="e">
        <f>#REF!+"$Cm=!%|a"</f>
        <v>#REF!</v>
      </c>
      <c r="GD92" t="e">
        <f>#REF!+"$Cm=!%|b"</f>
        <v>#REF!</v>
      </c>
      <c r="GE92" t="e">
        <f>#REF!+"$Cm=!%|c"</f>
        <v>#REF!</v>
      </c>
      <c r="GF92" t="e">
        <f>#REF!+"$Cm=!%|d"</f>
        <v>#REF!</v>
      </c>
      <c r="GG92" t="e">
        <f>#REF!+"$Cm=!%|e"</f>
        <v>#REF!</v>
      </c>
      <c r="GH92" t="e">
        <f>#REF!+"$Cm=!%|f"</f>
        <v>#REF!</v>
      </c>
      <c r="GI92" t="e">
        <f>#REF!+"$Cm=!%|g"</f>
        <v>#REF!</v>
      </c>
      <c r="GJ92" t="e">
        <f>#REF!+"$Cm=!%|h"</f>
        <v>#REF!</v>
      </c>
      <c r="GK92" t="e">
        <f>#REF!+"$Cm=!%|i"</f>
        <v>#REF!</v>
      </c>
      <c r="GL92" t="e">
        <f>#REF!+"$Cm=!%|j"</f>
        <v>#REF!</v>
      </c>
      <c r="GM92" t="e">
        <f>#REF!+"$Cm=!%|k"</f>
        <v>#REF!</v>
      </c>
      <c r="GN92" t="e">
        <f>#REF!+"$Cm=!%|l"</f>
        <v>#REF!</v>
      </c>
      <c r="GO92" t="e">
        <f>#REF!+"$Cm=!%|m"</f>
        <v>#REF!</v>
      </c>
      <c r="GP92" t="e">
        <f>#REF!+"$Cm=!%|n"</f>
        <v>#REF!</v>
      </c>
      <c r="GQ92" t="e">
        <f>#REF!+"$Cm=!%|o"</f>
        <v>#REF!</v>
      </c>
      <c r="GR92" t="e">
        <f>#REF!+"$Cm=!%|p"</f>
        <v>#REF!</v>
      </c>
      <c r="GS92" t="e">
        <f>#REF!+"$Cm=!%|q"</f>
        <v>#REF!</v>
      </c>
      <c r="GT92" t="e">
        <f>#REF!+"$Cm=!%|r"</f>
        <v>#REF!</v>
      </c>
      <c r="GU92" t="e">
        <f>#REF!+"$Cm=!%|s"</f>
        <v>#REF!</v>
      </c>
      <c r="GV92" t="e">
        <f>#REF!+"$Cm=!%|t"</f>
        <v>#REF!</v>
      </c>
      <c r="GW92" t="e">
        <f>#REF!+"$Cm=!%|u"</f>
        <v>#REF!</v>
      </c>
      <c r="GX92" t="e">
        <f>#REF!+"$Cm=!%|v"</f>
        <v>#REF!</v>
      </c>
      <c r="GY92" t="e">
        <f>#REF!+"$Cm=!%|w"</f>
        <v>#REF!</v>
      </c>
      <c r="GZ92" t="e">
        <f>#REF!+"$Cm=!%|x"</f>
        <v>#REF!</v>
      </c>
      <c r="HA92" t="e">
        <f>#REF!+"$Cm=!%|y"</f>
        <v>#REF!</v>
      </c>
      <c r="HB92" t="e">
        <f>#REF!+"$Cm=!%|z"</f>
        <v>#REF!</v>
      </c>
      <c r="HC92" t="e">
        <f>#REF!+"$Cm=!%|{"</f>
        <v>#REF!</v>
      </c>
      <c r="HD92" t="e">
        <f>#REF!+"$Cm=!%||"</f>
        <v>#REF!</v>
      </c>
      <c r="HE92" t="e">
        <f>#REF!+"$Cm=!%|}"</f>
        <v>#REF!</v>
      </c>
      <c r="HF92" t="e">
        <f>#REF!+"$Cm=!%|~"</f>
        <v>#REF!</v>
      </c>
      <c r="HG92" t="e">
        <f>#REF!+"$Cm=!%}#"</f>
        <v>#REF!</v>
      </c>
      <c r="HH92" t="e">
        <f>#REF!+"$Cm=!%}$"</f>
        <v>#REF!</v>
      </c>
      <c r="HI92" t="e">
        <f>#REF!+"$Cm=!%}%"</f>
        <v>#REF!</v>
      </c>
      <c r="HJ92" t="e">
        <f>#REF!+"$Cm=!%}&amp;"</f>
        <v>#REF!</v>
      </c>
      <c r="HK92" t="e">
        <f>#REF!+"$Cm=!%}'"</f>
        <v>#REF!</v>
      </c>
      <c r="HL92" t="e">
        <f>#REF!+"$Cm=!%}("</f>
        <v>#REF!</v>
      </c>
      <c r="HM92" t="e">
        <f>#REF!+"$Cm=!%})"</f>
        <v>#REF!</v>
      </c>
      <c r="HN92" t="e">
        <f>#REF!+"$Cm=!%}."</f>
        <v>#REF!</v>
      </c>
      <c r="HO92" t="e">
        <f>#REF!+"$Cm=!%}/"</f>
        <v>#REF!</v>
      </c>
      <c r="HP92" t="e">
        <f>#REF!+"$Cm=!%}0"</f>
        <v>#REF!</v>
      </c>
      <c r="HQ92" t="e">
        <f>#REF!+"$Cm=!%}1"</f>
        <v>#REF!</v>
      </c>
      <c r="HR92" t="e">
        <f>#REF!+"$Cm=!%}2"</f>
        <v>#REF!</v>
      </c>
      <c r="HS92" t="e">
        <f>#REF!+"$Cm=!%}3"</f>
        <v>#REF!</v>
      </c>
      <c r="HT92" t="e">
        <f>#REF!+"$Cm=!%}4"</f>
        <v>#REF!</v>
      </c>
      <c r="HU92" t="e">
        <f>#REF!+"$Cm=!%}5"</f>
        <v>#REF!</v>
      </c>
      <c r="HV92" t="e">
        <f>#REF!+"$Cm=!%}6"</f>
        <v>#REF!</v>
      </c>
      <c r="HW92" t="e">
        <f>#REF!+"$Cm=!%}7"</f>
        <v>#REF!</v>
      </c>
      <c r="HX92" t="e">
        <f>#REF!+"$Cm=!%}8"</f>
        <v>#REF!</v>
      </c>
      <c r="HY92" t="e">
        <f>#REF!+"$Cm=!%}9"</f>
        <v>#REF!</v>
      </c>
      <c r="HZ92" t="e">
        <f>#REF!+"$Cm=!%}:"</f>
        <v>#REF!</v>
      </c>
      <c r="IA92" t="e">
        <f>#REF!+"$Cm=!%};"</f>
        <v>#REF!</v>
      </c>
      <c r="IB92" t="e">
        <f>#REF!+"$Cm=!%}&lt;"</f>
        <v>#REF!</v>
      </c>
      <c r="IC92" t="e">
        <f>#REF!+"$Cm=!%}="</f>
        <v>#REF!</v>
      </c>
      <c r="ID92" t="e">
        <f>#REF!+"$Cm=!%}&gt;"</f>
        <v>#REF!</v>
      </c>
      <c r="IE92" t="e">
        <f>#REF!+"$Cm=!%}?"</f>
        <v>#REF!</v>
      </c>
      <c r="IF92" t="e">
        <f>#REF!+"$Cm=!%}@"</f>
        <v>#REF!</v>
      </c>
      <c r="IG92" t="e">
        <f>#REF!+"$Cm=!%}A"</f>
        <v>#REF!</v>
      </c>
      <c r="IH92" t="e">
        <f>#REF!+"$Cm=!%}B"</f>
        <v>#REF!</v>
      </c>
      <c r="II92" t="e">
        <f>#REF!+"$Cm=!%}C"</f>
        <v>#REF!</v>
      </c>
      <c r="IJ92" t="e">
        <f>#REF!+"$Cm=!%}D"</f>
        <v>#REF!</v>
      </c>
      <c r="IK92" t="e">
        <f>#REF!+"$Cm=!%}E"</f>
        <v>#REF!</v>
      </c>
      <c r="IL92" t="e">
        <f>#REF!+"$Cm=!%}F"</f>
        <v>#REF!</v>
      </c>
      <c r="IM92" t="e">
        <f>#REF!+"$Cm=!%}G"</f>
        <v>#REF!</v>
      </c>
      <c r="IN92" t="e">
        <f>#REF!+"$Cm=!%}H"</f>
        <v>#REF!</v>
      </c>
      <c r="IO92" t="e">
        <f>#REF!+"$Cm=!%}I"</f>
        <v>#REF!</v>
      </c>
      <c r="IP92" t="e">
        <f>#REF!+"$Cm=!%}J"</f>
        <v>#REF!</v>
      </c>
      <c r="IQ92" t="e">
        <f>#REF!+"$Cm=!%}K"</f>
        <v>#REF!</v>
      </c>
      <c r="IR92" t="e">
        <f>#REF!+"$Cm=!%}L"</f>
        <v>#REF!</v>
      </c>
      <c r="IS92" t="e">
        <f>#REF!+"$Cm=!%}M"</f>
        <v>#REF!</v>
      </c>
      <c r="IT92" t="e">
        <f>#REF!+"$Cm=!%}N"</f>
        <v>#REF!</v>
      </c>
      <c r="IU92" t="e">
        <f>#REF!+"$Cm=!%}O"</f>
        <v>#REF!</v>
      </c>
      <c r="IV92" t="e">
        <f>#REF!+"$Cm=!%}P"</f>
        <v>#REF!</v>
      </c>
    </row>
    <row r="93" spans="6:256">
      <c r="F93" t="e">
        <f>#REF!+"$Cm=!%}Q"</f>
        <v>#REF!</v>
      </c>
      <c r="G93" t="e">
        <f>#REF!+"$Cm=!%}R"</f>
        <v>#REF!</v>
      </c>
      <c r="H93" t="e">
        <f>#REF!+"$Cm=!%}S"</f>
        <v>#REF!</v>
      </c>
      <c r="I93" t="e">
        <f>#REF!+"$Cm=!%}T"</f>
        <v>#REF!</v>
      </c>
      <c r="J93" t="e">
        <f>#REF!+"$Cm=!%}U"</f>
        <v>#REF!</v>
      </c>
      <c r="K93" t="e">
        <f>#REF!+"$Cm=!%}V"</f>
        <v>#REF!</v>
      </c>
      <c r="L93" t="e">
        <f>#REF!+"$Cm=!%}W"</f>
        <v>#REF!</v>
      </c>
      <c r="M93" t="e">
        <f>#REF!+"$Cm=!%}X"</f>
        <v>#REF!</v>
      </c>
      <c r="N93" t="e">
        <f>#REF!+"$Cm=!%}Y"</f>
        <v>#REF!</v>
      </c>
      <c r="O93" t="e">
        <f>#REF!+"$Cm=!%}Z"</f>
        <v>#REF!</v>
      </c>
      <c r="P93" t="e">
        <f>#REF!+"$Cm=!%}["</f>
        <v>#REF!</v>
      </c>
      <c r="Q93" t="e">
        <f>#REF!+"$Cm=!%}\"</f>
        <v>#REF!</v>
      </c>
      <c r="R93" t="e">
        <f>#REF!+"$Cm=!%}]"</f>
        <v>#REF!</v>
      </c>
      <c r="S93" t="e">
        <f>#REF!+"$Cm=!%}^"</f>
        <v>#REF!</v>
      </c>
      <c r="T93" t="e">
        <f>#REF!+"$Cm=!%}_"</f>
        <v>#REF!</v>
      </c>
      <c r="U93" t="e">
        <f>#REF!+"$Cm=!%}`"</f>
        <v>#REF!</v>
      </c>
      <c r="V93" t="e">
        <f>#REF!+"$Cm=!%}a"</f>
        <v>#REF!</v>
      </c>
      <c r="W93" t="e">
        <f>#REF!+"$Cm=!%}b"</f>
        <v>#REF!</v>
      </c>
      <c r="X93" t="e">
        <f>#REF!+"$Cm=!%}c"</f>
        <v>#REF!</v>
      </c>
      <c r="Y93" t="e">
        <f>#REF!+"$Cm=!%}d"</f>
        <v>#REF!</v>
      </c>
      <c r="Z93" t="e">
        <f>#REF!+"$Cm=!%}e"</f>
        <v>#REF!</v>
      </c>
      <c r="AA93" t="e">
        <f>#REF!+"$Cm=!%}f"</f>
        <v>#REF!</v>
      </c>
      <c r="AB93" t="e">
        <f>#REF!+"$Cm=!%}g"</f>
        <v>#REF!</v>
      </c>
      <c r="AC93" t="e">
        <f>#REF!+"$Cm=!%}h"</f>
        <v>#REF!</v>
      </c>
      <c r="AD93" t="e">
        <f>#REF!+"$Cm=!%}i"</f>
        <v>#REF!</v>
      </c>
      <c r="AE93" t="e">
        <f>#REF!+"$Cm=!%}j"</f>
        <v>#REF!</v>
      </c>
      <c r="AF93" t="e">
        <f>#REF!+"$Cm=!%}k"</f>
        <v>#REF!</v>
      </c>
      <c r="AG93" t="e">
        <f>#REF!+"$Cm=!%}l"</f>
        <v>#REF!</v>
      </c>
      <c r="AH93" t="e">
        <f>#REF!+"$Cm=!%}m"</f>
        <v>#REF!</v>
      </c>
      <c r="AI93" t="e">
        <f>#REF!+"$Cm=!%}n"</f>
        <v>#REF!</v>
      </c>
      <c r="AJ93" t="e">
        <f>#REF!+"$Cm=!%}o"</f>
        <v>#REF!</v>
      </c>
      <c r="AK93" t="e">
        <f>#REF!+"$Cm=!%}p"</f>
        <v>#REF!</v>
      </c>
      <c r="AL93" t="e">
        <f>#REF!+"$Cm=!%}q"</f>
        <v>#REF!</v>
      </c>
      <c r="AM93" t="e">
        <f>#REF!+"$Cm=!%}r"</f>
        <v>#REF!</v>
      </c>
      <c r="AN93" t="e">
        <f>#REF!+"$Cm=!%}s"</f>
        <v>#REF!</v>
      </c>
      <c r="AO93" t="e">
        <f>#REF!+"$Cm=!%}t"</f>
        <v>#REF!</v>
      </c>
      <c r="AP93" t="e">
        <f>#REF!+"$Cm=!%}u"</f>
        <v>#REF!</v>
      </c>
      <c r="AQ93" t="e">
        <f>#REF!+"$Cm=!%}v"</f>
        <v>#REF!</v>
      </c>
      <c r="AR93" t="e">
        <f>#REF!+"$Cm=!%}w"</f>
        <v>#REF!</v>
      </c>
      <c r="AS93" t="e">
        <f>#REF!+"$Cm=!%}x"</f>
        <v>#REF!</v>
      </c>
      <c r="AT93" t="e">
        <f>#REF!+"$Cm=!%}y"</f>
        <v>#REF!</v>
      </c>
      <c r="AU93" t="e">
        <f>#REF!+"$Cm=!%}z"</f>
        <v>#REF!</v>
      </c>
      <c r="AV93" t="e">
        <f>#REF!+"$Cm=!%}{"</f>
        <v>#REF!</v>
      </c>
      <c r="AW93" t="e">
        <f>#REF!+"$Cm=!%}|"</f>
        <v>#REF!</v>
      </c>
      <c r="AX93" t="e">
        <f>#REF!+"$Cm=!%}}"</f>
        <v>#REF!</v>
      </c>
      <c r="AY93" t="e">
        <f>#REF!+"$Cm=!%}~"</f>
        <v>#REF!</v>
      </c>
      <c r="AZ93" t="e">
        <f>#REF!+"$Cm=!%~#"</f>
        <v>#REF!</v>
      </c>
      <c r="BA93" t="e">
        <f>#REF!+"$Cm=!%~$"</f>
        <v>#REF!</v>
      </c>
      <c r="BB93" t="e">
        <f>#REF!+"$Cm=!%~%"</f>
        <v>#REF!</v>
      </c>
      <c r="BC93" t="e">
        <f>#REF!+"$Cm=!%~&amp;"</f>
        <v>#REF!</v>
      </c>
      <c r="BD93" t="e">
        <f>#REF!+"$Cm=!%~'"</f>
        <v>#REF!</v>
      </c>
      <c r="BE93" t="e">
        <f>#REF!+"$Cm=!%~("</f>
        <v>#REF!</v>
      </c>
      <c r="BF93" t="e">
        <f>#REF!+"$Cm=!%~)"</f>
        <v>#REF!</v>
      </c>
      <c r="BG93" t="e">
        <f>#REF!+"$Cm=!%~."</f>
        <v>#REF!</v>
      </c>
      <c r="BH93" t="e">
        <f>#REF!+"$Cm=!%~/"</f>
        <v>#REF!</v>
      </c>
      <c r="BI93" t="e">
        <f>#REF!+"$Cm=!%~0"</f>
        <v>#REF!</v>
      </c>
      <c r="BJ93" t="e">
        <f>#REF!+"$Cm=!%~1"</f>
        <v>#REF!</v>
      </c>
      <c r="BK93" t="e">
        <f>#REF!+"$Cm=!%~2"</f>
        <v>#REF!</v>
      </c>
      <c r="BL93" t="e">
        <f>#REF!+"$Cm=!%~3"</f>
        <v>#REF!</v>
      </c>
      <c r="BM93" t="e">
        <f>#REF!+"$Cm=!%~4"</f>
        <v>#REF!</v>
      </c>
      <c r="BN93" t="e">
        <f>#REF!+"$Cm=!%~5"</f>
        <v>#REF!</v>
      </c>
      <c r="BO93" t="e">
        <f>#REF!+"$Cm=!%~6"</f>
        <v>#REF!</v>
      </c>
      <c r="BP93" t="e">
        <f>#REF!+"$Cm=!%~7"</f>
        <v>#REF!</v>
      </c>
      <c r="BQ93" t="e">
        <f>#REF!+"$Cm=!%~8"</f>
        <v>#REF!</v>
      </c>
      <c r="BR93" t="e">
        <f>#REF!+"$Cm=!%~9"</f>
        <v>#REF!</v>
      </c>
      <c r="BS93" t="e">
        <f>#REF!+"$Cm=!%~:"</f>
        <v>#REF!</v>
      </c>
      <c r="BT93" t="e">
        <f>#REF!+"$Cm=!%~;"</f>
        <v>#REF!</v>
      </c>
      <c r="BU93" t="e">
        <f>#REF!+"$Cm=!%~&lt;"</f>
        <v>#REF!</v>
      </c>
      <c r="BV93" t="e">
        <f>#REF!+"$Cm=!%~="</f>
        <v>#REF!</v>
      </c>
      <c r="BW93" t="e">
        <f>#REF!+"$Cm=!%~&gt;"</f>
        <v>#REF!</v>
      </c>
      <c r="BX93" t="e">
        <f>#REF!+"$Cm=!%~?"</f>
        <v>#REF!</v>
      </c>
      <c r="BY93" t="e">
        <f>#REF!+"$Cm=!%~@"</f>
        <v>#REF!</v>
      </c>
      <c r="BZ93" t="e">
        <f>#REF!+"$Cm=!%~A"</f>
        <v>#REF!</v>
      </c>
      <c r="CA93" t="e">
        <f>#REF!+"$Cm=!%~B"</f>
        <v>#REF!</v>
      </c>
      <c r="CB93" t="e">
        <f>#REF!+"$Cm=!%~C"</f>
        <v>#REF!</v>
      </c>
      <c r="CC93" t="e">
        <f>#REF!+"$Cm=!%~D"</f>
        <v>#REF!</v>
      </c>
      <c r="CD93" t="e">
        <f>#REF!+"$Cm=!%~E"</f>
        <v>#REF!</v>
      </c>
      <c r="CE93" t="e">
        <f>#REF!+"$Cm=!%~F"</f>
        <v>#REF!</v>
      </c>
      <c r="CF93" t="e">
        <f>#REF!+"$Cm=!%~G"</f>
        <v>#REF!</v>
      </c>
      <c r="CG93" t="e">
        <f>#REF!+"$Cm=!%~H"</f>
        <v>#REF!</v>
      </c>
      <c r="CH93" t="e">
        <f>#REF!+"$Cm=!%~I"</f>
        <v>#REF!</v>
      </c>
      <c r="CI93" t="e">
        <f>#REF!+"$Cm=!%~J"</f>
        <v>#REF!</v>
      </c>
      <c r="CJ93" t="e">
        <f>#REF!+"$Cm=!%~K"</f>
        <v>#REF!</v>
      </c>
      <c r="CK93" t="e">
        <f>#REF!+"$Cm=!%~L"</f>
        <v>#REF!</v>
      </c>
      <c r="CL93" t="e">
        <f>#REF!+"$Cm=!%~M"</f>
        <v>#REF!</v>
      </c>
      <c r="CM93" t="e">
        <f>#REF!+"$Cm=!%~N"</f>
        <v>#REF!</v>
      </c>
      <c r="CN93" t="e">
        <f>#REF!+"$Cm=!%~O"</f>
        <v>#REF!</v>
      </c>
      <c r="CO93" t="e">
        <f>#REF!+"$Cm=!%~P"</f>
        <v>#REF!</v>
      </c>
      <c r="CP93" t="e">
        <f>#REF!+"$Cm=!%~Q"</f>
        <v>#REF!</v>
      </c>
      <c r="CQ93" t="e">
        <f>#REF!+"$Cm=!%~R"</f>
        <v>#REF!</v>
      </c>
      <c r="CR93" t="e">
        <f>#REF!+"$Cm=!%~S"</f>
        <v>#REF!</v>
      </c>
      <c r="CS93" t="e">
        <f>#REF!+"$Cm=!%~T"</f>
        <v>#REF!</v>
      </c>
      <c r="CT93" t="e">
        <f>#REF!+"$Cm=!%~U"</f>
        <v>#REF!</v>
      </c>
      <c r="CU93" t="e">
        <f>#REF!+"$Cm=!%~V"</f>
        <v>#REF!</v>
      </c>
      <c r="CV93" t="e">
        <f>#REF!+"$Cm=!%~W"</f>
        <v>#REF!</v>
      </c>
      <c r="CW93" t="e">
        <f>#REF!+"$Cm=!%~X"</f>
        <v>#REF!</v>
      </c>
      <c r="CX93" t="e">
        <f>#REF!+"$Cm=!%~Y"</f>
        <v>#REF!</v>
      </c>
      <c r="CY93" t="e">
        <f>#REF!+"$Cm=!%~Z"</f>
        <v>#REF!</v>
      </c>
      <c r="CZ93" t="e">
        <f>#REF!+"$Cm=!%~["</f>
        <v>#REF!</v>
      </c>
      <c r="DA93" t="e">
        <f>#REF!+"$Cm=!%~\"</f>
        <v>#REF!</v>
      </c>
      <c r="DB93" t="e">
        <f>#REF!+"$Cm=!%~]"</f>
        <v>#REF!</v>
      </c>
      <c r="DC93" t="e">
        <f>#REF!+"$Cm=!%~^"</f>
        <v>#REF!</v>
      </c>
      <c r="DD93" t="e">
        <f>#REF!+"$Cm=!%~_"</f>
        <v>#REF!</v>
      </c>
      <c r="DE93" t="e">
        <f>#REF!+"$Cm=!%~`"</f>
        <v>#REF!</v>
      </c>
      <c r="DF93" t="e">
        <f>#REF!+"$Cm=!%~a"</f>
        <v>#REF!</v>
      </c>
      <c r="DG93" t="e">
        <f>#REF!+"$Cm=!%~b"</f>
        <v>#REF!</v>
      </c>
      <c r="DH93" t="e">
        <f>#REF!+"$Cm=!%~c"</f>
        <v>#REF!</v>
      </c>
      <c r="DI93" t="e">
        <f>#REF!+"$Cm=!%~d"</f>
        <v>#REF!</v>
      </c>
      <c r="DJ93" t="e">
        <f>#REF!+"$Cm=!%~e"</f>
        <v>#REF!</v>
      </c>
      <c r="DK93" t="e">
        <f>#REF!+"$Cm=!%~f"</f>
        <v>#REF!</v>
      </c>
      <c r="DL93" t="e">
        <f>#REF!+"$Cm=!%~g"</f>
        <v>#REF!</v>
      </c>
      <c r="DM93" t="e">
        <f>#REF!+"$Cm=!%~h"</f>
        <v>#REF!</v>
      </c>
      <c r="DN93" t="e">
        <f>#REF!+"$Cm=!%~i"</f>
        <v>#REF!</v>
      </c>
      <c r="DO93" t="e">
        <f>#REF!+"$Cm=!%~j"</f>
        <v>#REF!</v>
      </c>
      <c r="DP93" t="e">
        <f>#REF!+"$Cm=!%~k"</f>
        <v>#REF!</v>
      </c>
      <c r="DQ93" t="e">
        <f>#REF!+"$Cm=!%~l"</f>
        <v>#REF!</v>
      </c>
      <c r="DR93" t="e">
        <f>#REF!+"$Cm=!%~m"</f>
        <v>#REF!</v>
      </c>
      <c r="DS93" t="e">
        <f>#REF!+"$Cm=!%~n"</f>
        <v>#REF!</v>
      </c>
      <c r="DT93" t="e">
        <f>#REF!+"$Cm=!%~o"</f>
        <v>#REF!</v>
      </c>
      <c r="DU93" t="e">
        <f>#REF!+"$Cm=!%~p"</f>
        <v>#REF!</v>
      </c>
      <c r="DV93" t="e">
        <f>#REF!+"$Cm=!%~q"</f>
        <v>#REF!</v>
      </c>
      <c r="DW93" t="e">
        <f>#REF!+"$Cm=!%~r"</f>
        <v>#REF!</v>
      </c>
      <c r="DX93" t="e">
        <f>#REF!+"$Cm=!%~s"</f>
        <v>#REF!</v>
      </c>
      <c r="DY93" t="e">
        <f>#REF!+"$Cm=!%~t"</f>
        <v>#REF!</v>
      </c>
      <c r="DZ93" t="e">
        <f>#REF!+"$Cm=!%~u"</f>
        <v>#REF!</v>
      </c>
      <c r="EA93" t="e">
        <f>#REF!+"$Cm=!%~v"</f>
        <v>#REF!</v>
      </c>
      <c r="EB93" t="e">
        <f>#REF!+"$Cm=!%~w"</f>
        <v>#REF!</v>
      </c>
      <c r="EC93" t="e">
        <f>#REF!+"$Cm=!%~x"</f>
        <v>#REF!</v>
      </c>
      <c r="ED93" t="e">
        <f>#REF!+"$Cm=!%~y"</f>
        <v>#REF!</v>
      </c>
      <c r="EE93" t="e">
        <f>#REF!+"$Cm=!%~z"</f>
        <v>#REF!</v>
      </c>
      <c r="EF93" t="e">
        <f>#REF!+"$Cm=!%~{"</f>
        <v>#REF!</v>
      </c>
      <c r="EG93" t="e">
        <f>#REF!+"$Cm=!%~|"</f>
        <v>#REF!</v>
      </c>
      <c r="EH93" t="e">
        <f>#REF!+"$Cm=!%~}"</f>
        <v>#REF!</v>
      </c>
      <c r="EI93" t="e">
        <f>#REF!+"$Cm=!%~~"</f>
        <v>#REF!</v>
      </c>
      <c r="EJ93" t="e">
        <f>#REF!+"$Cm=!&amp;##"</f>
        <v>#REF!</v>
      </c>
      <c r="EK93" t="e">
        <f>#REF!+"$Cm=!&amp;#$"</f>
        <v>#REF!</v>
      </c>
      <c r="EL93" t="e">
        <f>#REF!+"$Cm=!&amp;#%"</f>
        <v>#REF!</v>
      </c>
      <c r="EM93" t="e">
        <f>#REF!+"$Cm=!&amp;#&amp;"</f>
        <v>#REF!</v>
      </c>
      <c r="EN93" t="e">
        <f>#REF!+"$Cm=!&amp;#'"</f>
        <v>#REF!</v>
      </c>
      <c r="EO93" t="e">
        <f>#REF!+"$Cm=!&amp;#("</f>
        <v>#REF!</v>
      </c>
      <c r="EP93" t="e">
        <f>#REF!+"$Cm=!&amp;#)"</f>
        <v>#REF!</v>
      </c>
      <c r="EQ93" t="e">
        <f>#REF!+"$Cm=!&amp;#."</f>
        <v>#REF!</v>
      </c>
      <c r="ER93" t="e">
        <f>#REF!+"$Cm=!&amp;#/"</f>
        <v>#REF!</v>
      </c>
      <c r="ES93" t="e">
        <f>#REF!+"$Cm=!&amp;#0"</f>
        <v>#REF!</v>
      </c>
      <c r="ET93" t="e">
        <f>#REF!+"$Cm=!&amp;#1"</f>
        <v>#REF!</v>
      </c>
      <c r="EU93" t="e">
        <f>#REF!+"$Cm=!&amp;#2"</f>
        <v>#REF!</v>
      </c>
      <c r="EV93" t="e">
        <f>#REF!+"$Cm=!&amp;#3"</f>
        <v>#REF!</v>
      </c>
      <c r="EW93" t="e">
        <f>#REF!+"$Cm=!&amp;#4"</f>
        <v>#REF!</v>
      </c>
      <c r="EX93" t="e">
        <f>#REF!+"$Cm=!&amp;#5"</f>
        <v>#REF!</v>
      </c>
      <c r="EY93" t="e">
        <f>#REF!+"$Cm=!&amp;#6"</f>
        <v>#REF!</v>
      </c>
      <c r="EZ93" t="e">
        <f>#REF!+"$Cm=!&amp;#7"</f>
        <v>#REF!</v>
      </c>
      <c r="FA93" t="e">
        <f>#REF!+"$Cm=!&amp;#8"</f>
        <v>#REF!</v>
      </c>
      <c r="FB93" t="e">
        <f>#REF!+"$Cm=!&amp;#9"</f>
        <v>#REF!</v>
      </c>
      <c r="FC93" t="e">
        <f>#REF!+"$Cm=!&amp;#:"</f>
        <v>#REF!</v>
      </c>
      <c r="FD93" t="e">
        <f>#REF!+"$Cm=!&amp;#;"</f>
        <v>#REF!</v>
      </c>
      <c r="FE93" t="e">
        <f>#REF!+"$Cm=!&amp;#&lt;"</f>
        <v>#REF!</v>
      </c>
      <c r="FF93" t="e">
        <f>#REF!+"$Cm=!&amp;#="</f>
        <v>#REF!</v>
      </c>
      <c r="FG93" t="e">
        <f>#REF!+"$Cm=!&amp;#&gt;"</f>
        <v>#REF!</v>
      </c>
      <c r="FH93" t="e">
        <f>#REF!+"$Cm=!&amp;#?"</f>
        <v>#REF!</v>
      </c>
      <c r="FI93" t="e">
        <f>#REF!+"$Cm=!&amp;#@"</f>
        <v>#REF!</v>
      </c>
      <c r="FJ93" t="e">
        <f>#REF!+"$Cm=!&amp;#A"</f>
        <v>#REF!</v>
      </c>
      <c r="FK93" t="e">
        <f>#REF!+"$Cm=!&amp;#B"</f>
        <v>#REF!</v>
      </c>
      <c r="FL93" t="e">
        <f>#REF!+"$Cm=!&amp;#C"</f>
        <v>#REF!</v>
      </c>
      <c r="FM93" t="e">
        <f>#REF!+"$Cm=!&amp;#D"</f>
        <v>#REF!</v>
      </c>
      <c r="FN93" t="e">
        <f>#REF!+"$Cm=!&amp;#E"</f>
        <v>#REF!</v>
      </c>
      <c r="FO93" t="e">
        <f>#REF!+"$Cm=!&amp;#F"</f>
        <v>#REF!</v>
      </c>
      <c r="FP93" t="e">
        <f>#REF!+"$Cm=!&amp;#G"</f>
        <v>#REF!</v>
      </c>
      <c r="FQ93" t="e">
        <f>#REF!+"$Cm=!&amp;#H"</f>
        <v>#REF!</v>
      </c>
      <c r="FR93" t="e">
        <f>#REF!+"$Cm=!&amp;#I"</f>
        <v>#REF!</v>
      </c>
      <c r="FS93" t="e">
        <f>#REF!+"$Cm=!&amp;#J"</f>
        <v>#REF!</v>
      </c>
      <c r="FT93" t="e">
        <f>#REF!+"$Cm=!&amp;#K"</f>
        <v>#REF!</v>
      </c>
      <c r="FU93" t="e">
        <f>#REF!+"$Cm=!&amp;#L"</f>
        <v>#REF!</v>
      </c>
      <c r="FV93" t="e">
        <f>#REF!+"$Cm=!&amp;#M"</f>
        <v>#REF!</v>
      </c>
      <c r="FW93" t="e">
        <f>#REF!+"$Cm=!&amp;#N"</f>
        <v>#REF!</v>
      </c>
      <c r="FX93" t="e">
        <f>#REF!+"$Cm=!&amp;#O"</f>
        <v>#REF!</v>
      </c>
      <c r="FY93" t="e">
        <f>#REF!+"$Cm=!&amp;#P"</f>
        <v>#REF!</v>
      </c>
      <c r="FZ93" t="e">
        <f>#REF!+"$Cm=!&amp;#Q"</f>
        <v>#REF!</v>
      </c>
      <c r="GA93" t="e">
        <f>#REF!+"$Cm=!&amp;#R"</f>
        <v>#REF!</v>
      </c>
      <c r="GB93" t="e">
        <f>#REF!+"$Cm=!&amp;#S"</f>
        <v>#REF!</v>
      </c>
      <c r="GC93" t="e">
        <f>#REF!+"$Cm=!&amp;#T"</f>
        <v>#REF!</v>
      </c>
      <c r="GD93" t="e">
        <f>#REF!+"$Cm=!&amp;#U"</f>
        <v>#REF!</v>
      </c>
      <c r="GE93" t="e">
        <f>#REF!+"$Cm=!&amp;#V"</f>
        <v>#REF!</v>
      </c>
      <c r="GF93" t="e">
        <f>#REF!+"$Cm=!&amp;#W"</f>
        <v>#REF!</v>
      </c>
      <c r="GG93" t="e">
        <f>#REF!+"$Cm=!&amp;#X"</f>
        <v>#REF!</v>
      </c>
      <c r="GH93" t="e">
        <f>#REF!+"$Cm=!&amp;#Y"</f>
        <v>#REF!</v>
      </c>
      <c r="GI93" t="e">
        <f>#REF!+"$Cm=!&amp;#Z"</f>
        <v>#REF!</v>
      </c>
      <c r="GJ93" t="e">
        <f>#REF!+"$Cm=!&amp;#["</f>
        <v>#REF!</v>
      </c>
      <c r="GK93" t="e">
        <f>#REF!+"$Cm=!&amp;#\"</f>
        <v>#REF!</v>
      </c>
      <c r="GL93" t="e">
        <f>#REF!+"$Cm=!&amp;#]"</f>
        <v>#REF!</v>
      </c>
      <c r="GM93" t="e">
        <f>#REF!+"$Cm=!&amp;#^"</f>
        <v>#REF!</v>
      </c>
      <c r="GN93" t="e">
        <f>#REF!+"$Cm=!&amp;#_"</f>
        <v>#REF!</v>
      </c>
      <c r="GO93" t="e">
        <f>#REF!+"$Cm=!&amp;#`"</f>
        <v>#REF!</v>
      </c>
      <c r="GP93" t="e">
        <f>#REF!+"$Cm=!&amp;#a"</f>
        <v>#REF!</v>
      </c>
      <c r="GQ93" t="e">
        <f>#REF!+"$Cm=!&amp;#b"</f>
        <v>#REF!</v>
      </c>
      <c r="GR93" t="e">
        <f>#REF!+"$Cm=!&amp;#c"</f>
        <v>#REF!</v>
      </c>
      <c r="GS93" t="e">
        <f>#REF!+"$Cm=!&amp;#d"</f>
        <v>#REF!</v>
      </c>
      <c r="GT93" t="e">
        <f>#REF!+"$Cm=!&amp;#e"</f>
        <v>#REF!</v>
      </c>
      <c r="GU93" t="e">
        <f>#REF!+"$Cm=!&amp;#f"</f>
        <v>#REF!</v>
      </c>
      <c r="GV93" t="e">
        <f>#REF!+"$Cm=!&amp;#g"</f>
        <v>#REF!</v>
      </c>
      <c r="GW93" t="e">
        <f>#REF!+"$Cm=!&amp;#h"</f>
        <v>#REF!</v>
      </c>
      <c r="GX93" t="e">
        <f>#REF!+"$Cm=!&amp;#i"</f>
        <v>#REF!</v>
      </c>
      <c r="GY93" t="e">
        <f>#REF!+"$Cm=!&amp;#j"</f>
        <v>#REF!</v>
      </c>
      <c r="GZ93" t="e">
        <f>#REF!+"$Cm=!&amp;#k"</f>
        <v>#REF!</v>
      </c>
      <c r="HA93" t="e">
        <f>#REF!+"$Cm=!&amp;#l"</f>
        <v>#REF!</v>
      </c>
      <c r="HB93" t="e">
        <f>#REF!+"$Cm=!&amp;#m"</f>
        <v>#REF!</v>
      </c>
      <c r="HC93" t="e">
        <f>#REF!+"$Cm=!&amp;#n"</f>
        <v>#REF!</v>
      </c>
      <c r="HD93" t="e">
        <f>#REF!+"$Cm=!&amp;#o"</f>
        <v>#REF!</v>
      </c>
      <c r="HE93" t="e">
        <f>#REF!+"$Cm=!&amp;#p"</f>
        <v>#REF!</v>
      </c>
      <c r="HF93" t="e">
        <f>#REF!+"$Cm=!&amp;#q"</f>
        <v>#REF!</v>
      </c>
      <c r="HG93" t="e">
        <f>#REF!+"$Cm=!&amp;#r"</f>
        <v>#REF!</v>
      </c>
      <c r="HH93" t="e">
        <f>#REF!+"$Cm=!&amp;#s"</f>
        <v>#REF!</v>
      </c>
      <c r="HI93" t="e">
        <f>#REF!+"$Cm=!&amp;#t"</f>
        <v>#REF!</v>
      </c>
      <c r="HJ93" t="e">
        <f>#REF!+"$Cm=!&amp;#u"</f>
        <v>#REF!</v>
      </c>
      <c r="HK93" t="e">
        <f>#REF!+"$Cm=!&amp;#v"</f>
        <v>#REF!</v>
      </c>
      <c r="HL93" t="e">
        <f>#REF!+"$Cm=!&amp;#w"</f>
        <v>#REF!</v>
      </c>
      <c r="HM93" t="e">
        <f>#REF!+"$Cm=!&amp;#x"</f>
        <v>#REF!</v>
      </c>
      <c r="HN93" t="e">
        <f>#REF!+"$Cm=!&amp;#y"</f>
        <v>#REF!</v>
      </c>
      <c r="HO93" t="e">
        <f>#REF!+"$Cm=!&amp;#z"</f>
        <v>#REF!</v>
      </c>
      <c r="HP93" t="e">
        <f>#REF!+"$Cm=!&amp;#{"</f>
        <v>#REF!</v>
      </c>
      <c r="HQ93" t="e">
        <f>#REF!+"$Cm=!&amp;#|"</f>
        <v>#REF!</v>
      </c>
      <c r="HR93" t="e">
        <f>#REF!+"$Cm=!&amp;#}"</f>
        <v>#REF!</v>
      </c>
      <c r="HS93" t="e">
        <f>#REF!+"$Cm=!&amp;#~"</f>
        <v>#REF!</v>
      </c>
      <c r="HT93" t="e">
        <f>#REF!+"$Cm=!&amp;$#"</f>
        <v>#REF!</v>
      </c>
      <c r="HU93" t="e">
        <f>#REF!+"$Cm=!&amp;$$"</f>
        <v>#REF!</v>
      </c>
      <c r="HV93" t="e">
        <f>#REF!+"$Cm=!&amp;$%"</f>
        <v>#REF!</v>
      </c>
      <c r="HW93" t="e">
        <f>#REF!+"$Cm=!&amp;$&amp;"</f>
        <v>#REF!</v>
      </c>
      <c r="HX93" t="e">
        <f>#REF!+"$Cm=!&amp;$'"</f>
        <v>#REF!</v>
      </c>
      <c r="HY93" t="e">
        <f>#REF!+"$Cm=!&amp;$("</f>
        <v>#REF!</v>
      </c>
      <c r="HZ93" t="e">
        <f>#REF!+"$Cm=!&amp;$)"</f>
        <v>#REF!</v>
      </c>
      <c r="IA93" t="e">
        <f>#REF!+"$Cm=!&amp;$."</f>
        <v>#REF!</v>
      </c>
      <c r="IB93" t="e">
        <f>#REF!+"$Cm=!&amp;$/"</f>
        <v>#REF!</v>
      </c>
      <c r="IC93" t="e">
        <f>#REF!+"$Cm=!&amp;$0"</f>
        <v>#REF!</v>
      </c>
      <c r="ID93" t="e">
        <f>#REF!+"$Cm=!&amp;$1"</f>
        <v>#REF!</v>
      </c>
      <c r="IE93" t="e">
        <f>#REF!+"$Cm=!&amp;$2"</f>
        <v>#REF!</v>
      </c>
      <c r="IF93" t="e">
        <f>#REF!+"$Cm=!&amp;$3"</f>
        <v>#REF!</v>
      </c>
      <c r="IG93" t="e">
        <f>#REF!+"$Cm=!&amp;$4"</f>
        <v>#REF!</v>
      </c>
      <c r="IH93" t="e">
        <f>#REF!+"$Cm=!&amp;$5"</f>
        <v>#REF!</v>
      </c>
      <c r="II93" t="e">
        <f>#REF!+"$Cm=!&amp;$6"</f>
        <v>#REF!</v>
      </c>
      <c r="IJ93" t="e">
        <f>#REF!+"$Cm=!&amp;$7"</f>
        <v>#REF!</v>
      </c>
      <c r="IK93" t="e">
        <f>#REF!+"$Cm=!&amp;$8"</f>
        <v>#REF!</v>
      </c>
      <c r="IL93" t="e">
        <f>#REF!+"$Cm=!&amp;$9"</f>
        <v>#REF!</v>
      </c>
      <c r="IM93" t="e">
        <f>#REF!+"$Cm=!&amp;$:"</f>
        <v>#REF!</v>
      </c>
      <c r="IN93" t="e">
        <f>#REF!+"$Cm=!&amp;$;"</f>
        <v>#REF!</v>
      </c>
      <c r="IO93" t="e">
        <f>#REF!+"$Cm=!&amp;$&lt;"</f>
        <v>#REF!</v>
      </c>
      <c r="IP93" t="e">
        <f>#REF!+"$Cm=!&amp;$="</f>
        <v>#REF!</v>
      </c>
      <c r="IQ93" t="e">
        <f>#REF!+"$Cm=!&amp;$&gt;"</f>
        <v>#REF!</v>
      </c>
      <c r="IR93" t="e">
        <f>#REF!+"$Cm=!&amp;$?"</f>
        <v>#REF!</v>
      </c>
      <c r="IS93" t="e">
        <f>#REF!+"$Cm=!&amp;$@"</f>
        <v>#REF!</v>
      </c>
      <c r="IT93" t="e">
        <f>#REF!+"$Cm=!&amp;$A"</f>
        <v>#REF!</v>
      </c>
      <c r="IU93" t="e">
        <f>#REF!+"$Cm=!&amp;$B"</f>
        <v>#REF!</v>
      </c>
      <c r="IV93" t="e">
        <f>#REF!+"$Cm=!&amp;$C"</f>
        <v>#REF!</v>
      </c>
    </row>
    <row r="94" spans="6:256">
      <c r="F94" t="e">
        <f>#REF!+"$Cm=!&amp;$D"</f>
        <v>#REF!</v>
      </c>
      <c r="G94" t="e">
        <f>#REF!+"$Cm=!&amp;$E"</f>
        <v>#REF!</v>
      </c>
      <c r="H94" t="e">
        <f>#REF!+"$Cm=!&amp;$F"</f>
        <v>#REF!</v>
      </c>
      <c r="I94" t="e">
        <f>#REF!+"$Cm=!&amp;$G"</f>
        <v>#REF!</v>
      </c>
      <c r="J94" t="e">
        <f>#REF!+"$Cm=!&amp;$H"</f>
        <v>#REF!</v>
      </c>
      <c r="K94" t="e">
        <f>#REF!+"$Cm=!&amp;$I"</f>
        <v>#REF!</v>
      </c>
      <c r="L94" t="e">
        <f>#REF!+"$Cm=!&amp;$J"</f>
        <v>#REF!</v>
      </c>
      <c r="M94" t="e">
        <f>#REF!+"$Cm=!&amp;$K"</f>
        <v>#REF!</v>
      </c>
      <c r="N94" t="e">
        <f>#REF!+"$Cm=!&amp;$L"</f>
        <v>#REF!</v>
      </c>
      <c r="O94" t="e">
        <f>#REF!+"$Cm=!&amp;$M"</f>
        <v>#REF!</v>
      </c>
      <c r="P94" t="e">
        <f>#REF!+"$Cm=!&amp;$N"</f>
        <v>#REF!</v>
      </c>
      <c r="Q94" t="e">
        <f>#REF!+"$Cm=!&amp;$O"</f>
        <v>#REF!</v>
      </c>
      <c r="R94" t="e">
        <f>#REF!+"$Cm=!&amp;$P"</f>
        <v>#REF!</v>
      </c>
      <c r="S94" t="e">
        <f>#REF!+"$Cm=!&amp;$Q"</f>
        <v>#REF!</v>
      </c>
      <c r="T94" t="e">
        <f>#REF!+"$Cm=!&amp;$R"</f>
        <v>#REF!</v>
      </c>
      <c r="U94" t="e">
        <f>#REF!+"$Cm=!&amp;$S"</f>
        <v>#REF!</v>
      </c>
      <c r="V94" t="e">
        <f>#REF!+"$Cm=!&amp;$T"</f>
        <v>#REF!</v>
      </c>
      <c r="W94" t="e">
        <f>#REF!+"$Cm=!&amp;$U"</f>
        <v>#REF!</v>
      </c>
      <c r="X94" t="e">
        <f>#REF!+"$Cm=!&amp;$V"</f>
        <v>#REF!</v>
      </c>
      <c r="Y94" t="e">
        <f>#REF!+"$Cm=!&amp;$W"</f>
        <v>#REF!</v>
      </c>
      <c r="Z94" t="e">
        <f>#REF!+"$Cm=!&amp;$X"</f>
        <v>#REF!</v>
      </c>
      <c r="AA94" t="e">
        <f>#REF!+"$Cm=!&amp;$Y"</f>
        <v>#REF!</v>
      </c>
      <c r="AB94" t="e">
        <f>#REF!+"$Cm=!&amp;$Z"</f>
        <v>#REF!</v>
      </c>
      <c r="AC94" t="e">
        <f>#REF!+"$Cm=!&amp;$["</f>
        <v>#REF!</v>
      </c>
      <c r="AD94" t="e">
        <f>#REF!+"$Cm=!&amp;$\"</f>
        <v>#REF!</v>
      </c>
      <c r="AE94" t="e">
        <f>#REF!+"$Cm=!&amp;$]"</f>
        <v>#REF!</v>
      </c>
      <c r="AF94" t="e">
        <f>#REF!+"$Cm=!&amp;$^"</f>
        <v>#REF!</v>
      </c>
      <c r="AG94" t="e">
        <f>#REF!+"$Cm=!&amp;$_"</f>
        <v>#REF!</v>
      </c>
      <c r="AH94" t="e">
        <f>#REF!+"$Cm=!&amp;$`"</f>
        <v>#REF!</v>
      </c>
      <c r="AI94" t="e">
        <f>#REF!+"$Cm=!&amp;$a"</f>
        <v>#REF!</v>
      </c>
      <c r="AJ94" t="e">
        <f>#REF!+"$Cm=!&amp;$b"</f>
        <v>#REF!</v>
      </c>
      <c r="AK94" t="e">
        <f>#REF!+"$Cm=!&amp;$c"</f>
        <v>#REF!</v>
      </c>
      <c r="AL94" t="e">
        <f>#REF!+"$Cm=!&amp;$d"</f>
        <v>#REF!</v>
      </c>
      <c r="AM94" t="e">
        <f>#REF!+"$Cm=!&amp;$e"</f>
        <v>#REF!</v>
      </c>
      <c r="AN94" t="e">
        <f>#REF!+"$Cm=!&amp;$f"</f>
        <v>#REF!</v>
      </c>
      <c r="AO94" t="e">
        <f>#REF!+"$Cm=!&amp;$g"</f>
        <v>#REF!</v>
      </c>
      <c r="AP94" t="e">
        <f>#REF!+"$Cm=!&amp;$h"</f>
        <v>#REF!</v>
      </c>
      <c r="AQ94" t="e">
        <f>#REF!+"$Cm=!&amp;$i"</f>
        <v>#REF!</v>
      </c>
      <c r="AR94" t="e">
        <f>#REF!+"$Cm=!&amp;$j"</f>
        <v>#REF!</v>
      </c>
      <c r="AS94" t="e">
        <f>#REF!+"$Cm=!&amp;$k"</f>
        <v>#REF!</v>
      </c>
      <c r="AT94" t="e">
        <f>#REF!+"$Cm=!&amp;$l"</f>
        <v>#REF!</v>
      </c>
      <c r="AU94" t="e">
        <f>#REF!+"$Cm=!&amp;$m"</f>
        <v>#REF!</v>
      </c>
      <c r="AV94" t="e">
        <f>#REF!+"$Cm=!&amp;$n"</f>
        <v>#REF!</v>
      </c>
      <c r="AW94" t="e">
        <f>#REF!+"$Cm=!&amp;$o"</f>
        <v>#REF!</v>
      </c>
      <c r="AX94" t="e">
        <f>#REF!+"$Cm=!&amp;$p"</f>
        <v>#REF!</v>
      </c>
      <c r="AY94" t="e">
        <f>#REF!+"$Cm=!&amp;$q"</f>
        <v>#REF!</v>
      </c>
      <c r="AZ94" t="e">
        <f>#REF!+"$Cm=!&amp;$r"</f>
        <v>#REF!</v>
      </c>
      <c r="BA94" t="e">
        <f>#REF!+"$Cm=!&amp;$s"</f>
        <v>#REF!</v>
      </c>
      <c r="BB94" t="e">
        <f>#REF!+"$Cm=!&amp;$t"</f>
        <v>#REF!</v>
      </c>
      <c r="BC94" t="e">
        <f>#REF!+"$Cm=!&amp;$u"</f>
        <v>#REF!</v>
      </c>
      <c r="BD94" t="e">
        <f>#REF!+"$Cm=!&amp;$v"</f>
        <v>#REF!</v>
      </c>
      <c r="BE94" t="e">
        <f>#REF!+"$Cm=!&amp;$w"</f>
        <v>#REF!</v>
      </c>
      <c r="BF94" t="e">
        <f>#REF!+"$Cm=!&amp;$x"</f>
        <v>#REF!</v>
      </c>
      <c r="BG94" t="e">
        <f>#REF!+"$Cm=!&amp;$y"</f>
        <v>#REF!</v>
      </c>
      <c r="BH94" t="e">
        <f>#REF!+"$Cm=!&amp;$z"</f>
        <v>#REF!</v>
      </c>
      <c r="BI94" t="e">
        <f>#REF!+"$Cm=!&amp;${"</f>
        <v>#REF!</v>
      </c>
      <c r="BJ94" t="e">
        <f>#REF!+"$Cm=!&amp;$|"</f>
        <v>#REF!</v>
      </c>
      <c r="BK94" t="e">
        <f>#REF!+"$Cm=!&amp;$}"</f>
        <v>#REF!</v>
      </c>
      <c r="BL94" t="e">
        <f>#REF!+"$Cm=!&amp;$~"</f>
        <v>#REF!</v>
      </c>
      <c r="BM94" t="e">
        <f>#REF!+"$Cm=!&amp;%#"</f>
        <v>#REF!</v>
      </c>
      <c r="BN94" t="e">
        <f>#REF!+"$Cm=!&amp;%$"</f>
        <v>#REF!</v>
      </c>
      <c r="BO94" t="e">
        <f>#REF!+"$Cm=!&amp;%%"</f>
        <v>#REF!</v>
      </c>
      <c r="BP94" t="e">
        <f>#REF!+"$Cm=!&amp;%&amp;"</f>
        <v>#REF!</v>
      </c>
      <c r="BQ94" t="e">
        <f>#REF!+"$Cm=!&amp;%'"</f>
        <v>#REF!</v>
      </c>
      <c r="BR94" t="e">
        <f>#REF!+"$Cm=!&amp;%("</f>
        <v>#REF!</v>
      </c>
      <c r="BS94" t="e">
        <f>#REF!+"$Cm=!&amp;%)"</f>
        <v>#REF!</v>
      </c>
      <c r="BT94" t="e">
        <f>#REF!+"$Cm=!&amp;%."</f>
        <v>#REF!</v>
      </c>
      <c r="BU94" t="e">
        <f>#REF!+"$Cm=!&amp;%/"</f>
        <v>#REF!</v>
      </c>
      <c r="BV94" t="e">
        <f>#REF!+"$Cm=!&amp;%0"</f>
        <v>#REF!</v>
      </c>
      <c r="BW94" t="e">
        <f>#REF!+"$Cm=!&amp;%1"</f>
        <v>#REF!</v>
      </c>
      <c r="BX94" t="e">
        <f>#REF!+"$Cm=!&amp;%2"</f>
        <v>#REF!</v>
      </c>
      <c r="BY94" t="e">
        <f>#REF!+"$Cm=!&amp;%3"</f>
        <v>#REF!</v>
      </c>
      <c r="BZ94" t="e">
        <f>#REF!+"$Cm=!&amp;%4"</f>
        <v>#REF!</v>
      </c>
      <c r="CA94" t="e">
        <f>#REF!+"$Cm=!&amp;%5"</f>
        <v>#REF!</v>
      </c>
      <c r="CB94" t="e">
        <f>#REF!+"$Cm=!&amp;%6"</f>
        <v>#REF!</v>
      </c>
      <c r="CC94" t="e">
        <f>#REF!+"$Cm=!&amp;%7"</f>
        <v>#REF!</v>
      </c>
      <c r="CD94" t="e">
        <f>#REF!+"$Cm=!&amp;%8"</f>
        <v>#REF!</v>
      </c>
      <c r="CE94" t="e">
        <f>#REF!+"$Cm=!&amp;%9"</f>
        <v>#REF!</v>
      </c>
      <c r="CF94" t="e">
        <f>#REF!+"$Cm=!&amp;%:"</f>
        <v>#REF!</v>
      </c>
      <c r="CG94" t="e">
        <f>#REF!+"$Cm=!&amp;%;"</f>
        <v>#REF!</v>
      </c>
      <c r="CH94" t="e">
        <f>#REF!+"$Cm=!&amp;%&lt;"</f>
        <v>#REF!</v>
      </c>
      <c r="CI94" t="e">
        <f>#REF!+"$Cm=!&amp;%="</f>
        <v>#REF!</v>
      </c>
      <c r="CJ94" t="e">
        <f>#REF!+"$Cm=!&amp;%&gt;"</f>
        <v>#REF!</v>
      </c>
      <c r="CK94" t="e">
        <f>#REF!+"$Cm=!&amp;%?"</f>
        <v>#REF!</v>
      </c>
      <c r="CL94" t="e">
        <f>#REF!+"$Cm=!&amp;%@"</f>
        <v>#REF!</v>
      </c>
      <c r="CM94" t="e">
        <f>#REF!+"$Cm=!&amp;%A"</f>
        <v>#REF!</v>
      </c>
      <c r="CN94" t="e">
        <f>#REF!+"$Cm=!&amp;%B"</f>
        <v>#REF!</v>
      </c>
      <c r="CO94" t="e">
        <f>#REF!+"$Cm=!&amp;%C"</f>
        <v>#REF!</v>
      </c>
      <c r="CP94" t="e">
        <f>#REF!+"$Cm=!&amp;%D"</f>
        <v>#REF!</v>
      </c>
      <c r="CQ94" t="e">
        <f>#REF!+"$Cm=!&amp;%E"</f>
        <v>#REF!</v>
      </c>
      <c r="CR94" t="e">
        <f>#REF!+"$Cm=!&amp;%F"</f>
        <v>#REF!</v>
      </c>
      <c r="CS94" t="e">
        <f>#REF!+"$Cm=!&amp;%G"</f>
        <v>#REF!</v>
      </c>
      <c r="CT94" t="e">
        <f>#REF!+"$Cm=!&amp;%H"</f>
        <v>#REF!</v>
      </c>
      <c r="CU94" t="e">
        <f>#REF!+"$Cm=!&amp;%I"</f>
        <v>#REF!</v>
      </c>
      <c r="CV94" t="e">
        <f>#REF!+"$Cm=!&amp;%J"</f>
        <v>#REF!</v>
      </c>
      <c r="CW94" t="e">
        <f>#REF!+"$Cm=!&amp;%K"</f>
        <v>#REF!</v>
      </c>
      <c r="CX94" t="e">
        <f>#REF!+"$Cm=!&amp;%L"</f>
        <v>#REF!</v>
      </c>
      <c r="CY94" t="e">
        <f>#REF!+"$Cm=!&amp;%M"</f>
        <v>#REF!</v>
      </c>
      <c r="CZ94" t="e">
        <f>#REF!+"$Cm=!&amp;%N"</f>
        <v>#REF!</v>
      </c>
      <c r="DA94" t="e">
        <f>#REF!+"$Cm=!&amp;%O"</f>
        <v>#REF!</v>
      </c>
      <c r="DB94" t="e">
        <f>#REF!+"$Cm=!&amp;%P"</f>
        <v>#REF!</v>
      </c>
      <c r="DC94" t="e">
        <f>#REF!+"$Cm=!&amp;%Q"</f>
        <v>#REF!</v>
      </c>
      <c r="DD94" t="e">
        <f>#REF!+"$Cm=!&amp;%R"</f>
        <v>#REF!</v>
      </c>
      <c r="DE94" t="e">
        <f>#REF!+"$Cm=!&amp;%S"</f>
        <v>#REF!</v>
      </c>
      <c r="DF94" t="e">
        <f>#REF!+"$Cm=!&amp;%T"</f>
        <v>#REF!</v>
      </c>
      <c r="DG94" t="e">
        <f>#REF!+"$Cm=!&amp;%U"</f>
        <v>#REF!</v>
      </c>
      <c r="DH94" t="e">
        <f>#REF!+"$Cm=!&amp;%V"</f>
        <v>#REF!</v>
      </c>
      <c r="DI94" t="e">
        <f>#REF!+"$Cm=!&amp;%W"</f>
        <v>#REF!</v>
      </c>
      <c r="DJ94" t="e">
        <f>#REF!+"$Cm=!&amp;%X"</f>
        <v>#REF!</v>
      </c>
      <c r="DK94" t="e">
        <f>#REF!+"$Cm=!&amp;%Y"</f>
        <v>#REF!</v>
      </c>
      <c r="DL94" t="e">
        <f>#REF!+"$Cm=!&amp;%Z"</f>
        <v>#REF!</v>
      </c>
      <c r="DM94" t="e">
        <f>#REF!+"$Cm=!&amp;%["</f>
        <v>#REF!</v>
      </c>
      <c r="DN94" t="e">
        <f>#REF!+"$Cm=!&amp;%\"</f>
        <v>#REF!</v>
      </c>
      <c r="DO94" t="e">
        <f>#REF!+"$Cm=!&amp;%]"</f>
        <v>#REF!</v>
      </c>
      <c r="DP94" t="e">
        <f>#REF!+"$Cm=!&amp;%^"</f>
        <v>#REF!</v>
      </c>
      <c r="DQ94" t="e">
        <f>#REF!+"$Cm=!&amp;%_"</f>
        <v>#REF!</v>
      </c>
      <c r="DR94" t="e">
        <f>#REF!+"$Cm=!&amp;%`"</f>
        <v>#REF!</v>
      </c>
      <c r="DS94" t="e">
        <f>#REF!+"$Cm=!&amp;%a"</f>
        <v>#REF!</v>
      </c>
      <c r="DT94" t="e">
        <f>#REF!+"$Cm=!&amp;%b"</f>
        <v>#REF!</v>
      </c>
      <c r="DU94" t="e">
        <f>#REF!+"$Cm=!&amp;%c"</f>
        <v>#REF!</v>
      </c>
      <c r="DV94" t="e">
        <f>#REF!+"$Cm=!&amp;%d"</f>
        <v>#REF!</v>
      </c>
      <c r="DW94" t="e">
        <f>#REF!+"$Cm=!&amp;%e"</f>
        <v>#REF!</v>
      </c>
      <c r="DX94" t="e">
        <f>#REF!+"$Cm=!&amp;%f"</f>
        <v>#REF!</v>
      </c>
      <c r="DY94" t="e">
        <f>#REF!+"$Cm=!&amp;%g"</f>
        <v>#REF!</v>
      </c>
      <c r="DZ94" t="e">
        <f>#REF!+"$Cm=!&amp;%h"</f>
        <v>#REF!</v>
      </c>
      <c r="EA94" t="e">
        <f>#REF!+"$Cm=!&amp;%i"</f>
        <v>#REF!</v>
      </c>
      <c r="EB94" t="e">
        <f>#REF!+"$Cm=!&amp;%j"</f>
        <v>#REF!</v>
      </c>
      <c r="EC94" t="e">
        <f>#REF!+"$Cm=!&amp;%k"</f>
        <v>#REF!</v>
      </c>
      <c r="ED94" t="e">
        <f>#REF!+"$Cm=!&amp;%l"</f>
        <v>#REF!</v>
      </c>
      <c r="EE94" t="e">
        <f>#REF!+"$Cm=!&amp;%m"</f>
        <v>#REF!</v>
      </c>
      <c r="EF94" t="e">
        <f>#REF!+"$Cm=!&amp;%n"</f>
        <v>#REF!</v>
      </c>
      <c r="EG94" t="e">
        <f>#REF!+"$Cm=!&amp;%o"</f>
        <v>#REF!</v>
      </c>
      <c r="EH94" t="e">
        <f>#REF!+"$Cm=!&amp;%p"</f>
        <v>#REF!</v>
      </c>
      <c r="EI94" t="e">
        <f>#REF!+"$Cm=!&amp;%q"</f>
        <v>#REF!</v>
      </c>
      <c r="EJ94" t="e">
        <f>#REF!+"$Cm=!&amp;%r"</f>
        <v>#REF!</v>
      </c>
      <c r="EK94" t="e">
        <f>#REF!+"$Cm=!&amp;%s"</f>
        <v>#REF!</v>
      </c>
      <c r="EL94" t="e">
        <f>#REF!+"$Cm=!&amp;%t"</f>
        <v>#REF!</v>
      </c>
      <c r="EM94" t="e">
        <f>#REF!+"$Cm=!&amp;%u"</f>
        <v>#REF!</v>
      </c>
      <c r="EN94" t="e">
        <f>#REF!+"$Cm=!&amp;%v"</f>
        <v>#REF!</v>
      </c>
      <c r="EO94" t="e">
        <f>#REF!+"$Cm=!&amp;%w"</f>
        <v>#REF!</v>
      </c>
      <c r="EP94" t="e">
        <f>#REF!+"$Cm=!&amp;%x"</f>
        <v>#REF!</v>
      </c>
      <c r="EQ94" t="e">
        <f>#REF!+"$Cm=!&amp;%y"</f>
        <v>#REF!</v>
      </c>
      <c r="ER94" t="e">
        <f>#REF!+"$Cm=!&amp;%z"</f>
        <v>#REF!</v>
      </c>
      <c r="ES94" t="e">
        <f>#REF!+"$Cm=!&amp;%{"</f>
        <v>#REF!</v>
      </c>
      <c r="ET94" t="e">
        <f>#REF!+"$Cm=!&amp;%|"</f>
        <v>#REF!</v>
      </c>
      <c r="EU94" t="e">
        <f>#REF!+"$Cm=!&amp;%}"</f>
        <v>#REF!</v>
      </c>
      <c r="EV94" t="e">
        <f>#REF!+"$Cm=!&amp;%~"</f>
        <v>#REF!</v>
      </c>
      <c r="EW94" t="e">
        <f>#REF!+"$Cm=!&amp;&amp;#"</f>
        <v>#REF!</v>
      </c>
      <c r="EX94" t="e">
        <f>#REF!+"$Cm=!&amp;&amp;$"</f>
        <v>#REF!</v>
      </c>
      <c r="EY94" t="e">
        <f>#REF!+"$Cm=!&amp;&amp;%"</f>
        <v>#REF!</v>
      </c>
      <c r="EZ94" t="e">
        <f>#REF!+"$Cm=!&amp;&amp;&amp;"</f>
        <v>#REF!</v>
      </c>
      <c r="FA94" t="e">
        <f>#REF!+"$Cm=!&amp;&amp;'"</f>
        <v>#REF!</v>
      </c>
      <c r="FB94" t="e">
        <f>#REF!+"$Cm=!&amp;&amp;("</f>
        <v>#REF!</v>
      </c>
      <c r="FC94" t="e">
        <f>#REF!+"$Cm=!&amp;&amp;)"</f>
        <v>#REF!</v>
      </c>
      <c r="FD94" t="e">
        <f>#REF!+"$Cm=!&amp;&amp;."</f>
        <v>#REF!</v>
      </c>
      <c r="FE94" t="e">
        <f>#REF!+"$Cm=!&amp;&amp;/"</f>
        <v>#REF!</v>
      </c>
      <c r="FF94" t="e">
        <f>#REF!+"$Cm=!&amp;&amp;0"</f>
        <v>#REF!</v>
      </c>
      <c r="FG94" t="e">
        <f>#REF!+"$Cm=!&amp;&amp;1"</f>
        <v>#REF!</v>
      </c>
      <c r="FH94" t="e">
        <f>#REF!+"$Cm=!&amp;&amp;2"</f>
        <v>#REF!</v>
      </c>
      <c r="FI94" t="e">
        <f>#REF!+"$Cm=!&amp;&amp;3"</f>
        <v>#REF!</v>
      </c>
      <c r="FJ94" t="e">
        <f>#REF!+"$Cm=!&amp;&amp;4"</f>
        <v>#REF!</v>
      </c>
      <c r="FK94" t="e">
        <f>#REF!+"$Cm=!&amp;&amp;5"</f>
        <v>#REF!</v>
      </c>
      <c r="FL94" t="e">
        <f>#REF!+"$Cm=!&amp;&amp;6"</f>
        <v>#REF!</v>
      </c>
      <c r="FM94" t="e">
        <f>#REF!+"$Cm=!&amp;&amp;7"</f>
        <v>#REF!</v>
      </c>
      <c r="FN94" t="e">
        <f>#REF!+"$Cm=!&amp;&amp;8"</f>
        <v>#REF!</v>
      </c>
      <c r="FO94" t="e">
        <f>#REF!+"$Cm=!&amp;&amp;9"</f>
        <v>#REF!</v>
      </c>
      <c r="FP94" t="e">
        <f>#REF!+"$Cm=!&amp;&amp;:"</f>
        <v>#REF!</v>
      </c>
      <c r="FQ94" t="e">
        <f>#REF!+"$Cm=!&amp;&amp;;"</f>
        <v>#REF!</v>
      </c>
      <c r="FR94" t="e">
        <f>#REF!+"$Cm=!&amp;&amp;&lt;"</f>
        <v>#REF!</v>
      </c>
      <c r="FS94" t="e">
        <f>#REF!+"$Cm=!&amp;&amp;="</f>
        <v>#REF!</v>
      </c>
      <c r="FT94" t="e">
        <f>#REF!+"$Cm=!&amp;&amp;&gt;"</f>
        <v>#REF!</v>
      </c>
      <c r="FU94" t="e">
        <f>#REF!+"$Cm=!&amp;&amp;?"</f>
        <v>#REF!</v>
      </c>
      <c r="FV94" t="e">
        <f>#REF!+"$Cm=!&amp;&amp;@"</f>
        <v>#REF!</v>
      </c>
      <c r="FW94" t="e">
        <f>#REF!+"$Cm=!&amp;&amp;A"</f>
        <v>#REF!</v>
      </c>
      <c r="FX94" t="e">
        <f>#REF!+"$Cm=!&amp;&amp;B"</f>
        <v>#REF!</v>
      </c>
      <c r="FY94" t="e">
        <f>#REF!+"$Cm=!&amp;&amp;C"</f>
        <v>#REF!</v>
      </c>
      <c r="FZ94" t="e">
        <f>#REF!+"$Cm=!&amp;&amp;D"</f>
        <v>#REF!</v>
      </c>
      <c r="GA94" t="e">
        <f>#REF!+"$Cm=!&amp;&amp;E"</f>
        <v>#REF!</v>
      </c>
      <c r="GB94" t="e">
        <f>#REF!+"$Cm=!&amp;&amp;F"</f>
        <v>#REF!</v>
      </c>
      <c r="GC94" t="e">
        <f>#REF!+"$Cm=!&amp;&amp;G"</f>
        <v>#REF!</v>
      </c>
      <c r="GD94" t="e">
        <f>#REF!+"$Cm=!&amp;&amp;H"</f>
        <v>#REF!</v>
      </c>
      <c r="GE94" t="e">
        <f>#REF!+"$Cm=!&amp;&amp;I"</f>
        <v>#REF!</v>
      </c>
      <c r="GF94" t="e">
        <f>#REF!+"$Cm=!&amp;&amp;J"</f>
        <v>#REF!</v>
      </c>
      <c r="GG94" t="e">
        <f>#REF!+"$Cm=!&amp;&amp;K"</f>
        <v>#REF!</v>
      </c>
      <c r="GH94" t="e">
        <f>#REF!+"$Cm=!&amp;&amp;L"</f>
        <v>#REF!</v>
      </c>
      <c r="GI94" t="e">
        <f>#REF!+"$Cm=!&amp;&amp;M"</f>
        <v>#REF!</v>
      </c>
      <c r="GJ94" t="e">
        <f>#REF!+"$Cm=!&amp;&amp;N"</f>
        <v>#REF!</v>
      </c>
      <c r="GK94" t="e">
        <f>#REF!+"$Cm=!&amp;&amp;O"</f>
        <v>#REF!</v>
      </c>
      <c r="GL94" t="e">
        <f>#REF!+"$Cm=!&amp;&amp;P"</f>
        <v>#REF!</v>
      </c>
      <c r="GM94" t="e">
        <f>#REF!+"$Cm=!&amp;&amp;Q"</f>
        <v>#REF!</v>
      </c>
      <c r="GN94" t="e">
        <f>#REF!+"$Cm=!&amp;&amp;R"</f>
        <v>#REF!</v>
      </c>
      <c r="GO94" t="e">
        <f>#REF!+"$Cm=!&amp;&amp;S"</f>
        <v>#REF!</v>
      </c>
      <c r="GP94" t="e">
        <f>#REF!+"$Cm=!&amp;&amp;T"</f>
        <v>#REF!</v>
      </c>
      <c r="GQ94" t="e">
        <f>#REF!+"$Cm=!&amp;&amp;U"</f>
        <v>#REF!</v>
      </c>
      <c r="GR94" t="e">
        <f>#REF!+"$Cm=!&amp;&amp;V"</f>
        <v>#REF!</v>
      </c>
      <c r="GS94" t="e">
        <f>#REF!+"$Cm=!&amp;&amp;W"</f>
        <v>#REF!</v>
      </c>
      <c r="GT94" t="e">
        <f>#REF!+"$Cm=!&amp;&amp;X"</f>
        <v>#REF!</v>
      </c>
      <c r="GU94" t="e">
        <f>#REF!+"$Cm=!&amp;&amp;Y"</f>
        <v>#REF!</v>
      </c>
      <c r="GV94" t="e">
        <f>#REF!+"$Cm=!&amp;&amp;Z"</f>
        <v>#REF!</v>
      </c>
      <c r="GW94" t="e">
        <f>#REF!+"$Cm=!&amp;&amp;["</f>
        <v>#REF!</v>
      </c>
      <c r="GX94" t="e">
        <f>#REF!+"$Cm=!&amp;&amp;\"</f>
        <v>#REF!</v>
      </c>
      <c r="GY94" t="e">
        <f>#REF!+"$Cm=!&amp;&amp;]"</f>
        <v>#REF!</v>
      </c>
      <c r="GZ94" t="e">
        <f>#REF!+"$Cm=!&amp;&amp;^"</f>
        <v>#REF!</v>
      </c>
      <c r="HA94" t="e">
        <f>#REF!+"$Cm=!&amp;&amp;_"</f>
        <v>#REF!</v>
      </c>
      <c r="HB94" t="e">
        <f>#REF!+"$Cm=!&amp;&amp;`"</f>
        <v>#REF!</v>
      </c>
      <c r="HC94" t="e">
        <f>#REF!+"$Cm=!&amp;&amp;a"</f>
        <v>#REF!</v>
      </c>
      <c r="HD94" t="e">
        <f>#REF!+"$Cm=!&amp;&amp;b"</f>
        <v>#REF!</v>
      </c>
      <c r="HE94" t="e">
        <f>#REF!+"$Cm=!&amp;&amp;c"</f>
        <v>#REF!</v>
      </c>
      <c r="HF94" t="e">
        <f>#REF!+"$Cm=!&amp;&amp;d"</f>
        <v>#REF!</v>
      </c>
      <c r="HG94" t="e">
        <f>#REF!+"$Cm=!&amp;&amp;e"</f>
        <v>#REF!</v>
      </c>
      <c r="HH94" t="e">
        <f>#REF!+"$Cm=!&amp;&amp;f"</f>
        <v>#REF!</v>
      </c>
      <c r="HI94" t="e">
        <f>#REF!+"$Cm=!&amp;&amp;g"</f>
        <v>#REF!</v>
      </c>
      <c r="HJ94" t="e">
        <f>#REF!+"$Cm=!&amp;&amp;h"</f>
        <v>#REF!</v>
      </c>
      <c r="HK94" t="e">
        <f>#REF!+"$Cm=!&amp;&amp;i"</f>
        <v>#REF!</v>
      </c>
      <c r="HL94" t="e">
        <f>#REF!+"$Cm=!&amp;&amp;j"</f>
        <v>#REF!</v>
      </c>
      <c r="HM94" t="e">
        <f>#REF!+"$Cm=!&amp;&amp;k"</f>
        <v>#REF!</v>
      </c>
      <c r="HN94" t="e">
        <f>#REF!+"$Cm=!&amp;&amp;l"</f>
        <v>#REF!</v>
      </c>
      <c r="HO94" t="e">
        <f>#REF!+"$Cm=!&amp;&amp;m"</f>
        <v>#REF!</v>
      </c>
      <c r="HP94" t="e">
        <f>#REF!+"$Cm=!&amp;&amp;n"</f>
        <v>#REF!</v>
      </c>
      <c r="HQ94" t="e">
        <f>#REF!+"$Cm=!&amp;&amp;o"</f>
        <v>#REF!</v>
      </c>
      <c r="HR94" t="e">
        <f>#REF!+"$Cm=!&amp;&amp;p"</f>
        <v>#REF!</v>
      </c>
      <c r="HS94" t="e">
        <f>#REF!+"$Cm=!&amp;&amp;q"</f>
        <v>#REF!</v>
      </c>
      <c r="HT94" t="e">
        <f>#REF!+"$Cm=!&amp;&amp;r"</f>
        <v>#REF!</v>
      </c>
      <c r="HU94" t="e">
        <f>#REF!+"$Cm=!&amp;&amp;s"</f>
        <v>#REF!</v>
      </c>
      <c r="HV94" t="e">
        <f>#REF!+"$Cm=!&amp;&amp;t"</f>
        <v>#REF!</v>
      </c>
      <c r="HW94" t="e">
        <f>#REF!+"$Cm=!&amp;&amp;u"</f>
        <v>#REF!</v>
      </c>
      <c r="HX94" t="e">
        <f>#REF!+"$Cm=!&amp;&amp;v"</f>
        <v>#REF!</v>
      </c>
      <c r="HY94" t="e">
        <f>#REF!+"$Cm=!&amp;&amp;w"</f>
        <v>#REF!</v>
      </c>
      <c r="HZ94" t="e">
        <f>#REF!+"$Cm=!&amp;&amp;x"</f>
        <v>#REF!</v>
      </c>
      <c r="IA94" t="e">
        <f>#REF!+"$Cm=!&amp;&amp;y"</f>
        <v>#REF!</v>
      </c>
      <c r="IB94" t="e">
        <f>#REF!+"$Cm=!&amp;&amp;z"</f>
        <v>#REF!</v>
      </c>
      <c r="IC94" t="e">
        <f>#REF!+"$Cm=!&amp;&amp;{"</f>
        <v>#REF!</v>
      </c>
      <c r="ID94" t="e">
        <f>#REF!+"$Cm=!&amp;&amp;|"</f>
        <v>#REF!</v>
      </c>
      <c r="IE94" t="e">
        <f>#REF!+"$Cm=!&amp;&amp;}"</f>
        <v>#REF!</v>
      </c>
      <c r="IF94" t="e">
        <f>#REF!+"$Cm=!&amp;&amp;~"</f>
        <v>#REF!</v>
      </c>
      <c r="IG94" t="e">
        <f>#REF!+"$Cm=!&amp;'#"</f>
        <v>#REF!</v>
      </c>
      <c r="IH94" t="e">
        <f>#REF!+"$Cm=!&amp;'$"</f>
        <v>#REF!</v>
      </c>
      <c r="II94" t="e">
        <f>#REF!+"$Cm=!&amp;'%"</f>
        <v>#REF!</v>
      </c>
      <c r="IJ94" t="e">
        <f>#REF!+"$Cm=!&amp;'&amp;"</f>
        <v>#REF!</v>
      </c>
      <c r="IK94" t="e">
        <f>#REF!+"$Cm=!&amp;''"</f>
        <v>#REF!</v>
      </c>
      <c r="IL94" t="e">
        <f>#REF!+"$Cm=!&amp;'("</f>
        <v>#REF!</v>
      </c>
      <c r="IM94" t="e">
        <f>#REF!+"$Cm=!&amp;')"</f>
        <v>#REF!</v>
      </c>
      <c r="IN94" t="e">
        <f>#REF!+"$Cm=!&amp;'."</f>
        <v>#REF!</v>
      </c>
      <c r="IO94" t="e">
        <f>#REF!+"$Cm=!&amp;'/"</f>
        <v>#REF!</v>
      </c>
      <c r="IP94" t="e">
        <f>#REF!+"$Cm=!&amp;'0"</f>
        <v>#REF!</v>
      </c>
      <c r="IQ94" t="e">
        <f>#REF!+"$Cm=!&amp;'1"</f>
        <v>#REF!</v>
      </c>
      <c r="IR94" t="e">
        <f>#REF!+"$Cm=!&amp;'2"</f>
        <v>#REF!</v>
      </c>
      <c r="IS94" t="e">
        <f>#REF!+"$Cm=!&amp;'3"</f>
        <v>#REF!</v>
      </c>
      <c r="IT94" t="e">
        <f>#REF!+"$Cm=!&amp;'4"</f>
        <v>#REF!</v>
      </c>
      <c r="IU94" t="e">
        <f>#REF!+"$Cm=!&amp;'5"</f>
        <v>#REF!</v>
      </c>
      <c r="IV94" t="e">
        <f>#REF!+"$Cm=!&amp;'6"</f>
        <v>#REF!</v>
      </c>
    </row>
    <row r="95" spans="6:256">
      <c r="F95" t="e">
        <f>#REF!+"$Cm=!&amp;'7"</f>
        <v>#REF!</v>
      </c>
      <c r="G95" t="e">
        <f>#REF!+"$Cm=!&amp;'8"</f>
        <v>#REF!</v>
      </c>
      <c r="H95" t="e">
        <f>#REF!+"$Cm=!&amp;'9"</f>
        <v>#REF!</v>
      </c>
      <c r="I95" t="e">
        <f>#REF!+"$Cm=!&amp;':"</f>
        <v>#REF!</v>
      </c>
      <c r="J95" t="e">
        <f>#REF!+"$Cm=!&amp;';"</f>
        <v>#REF!</v>
      </c>
      <c r="K95" t="e">
        <f>#REF!+"$Cm=!&amp;'&lt;"</f>
        <v>#REF!</v>
      </c>
      <c r="L95" t="e">
        <f>#REF!+"$Cm=!&amp;'="</f>
        <v>#REF!</v>
      </c>
      <c r="M95" t="e">
        <f>#REF!+"$Cm=!&amp;'&gt;"</f>
        <v>#REF!</v>
      </c>
      <c r="N95" t="e">
        <f>#REF!+"$Cm=!&amp;'?"</f>
        <v>#REF!</v>
      </c>
      <c r="O95" t="e">
        <f>#REF!+"$Cm=!&amp;'@"</f>
        <v>#REF!</v>
      </c>
      <c r="P95" t="e">
        <f>#REF!+"$Cm=!&amp;'A"</f>
        <v>#REF!</v>
      </c>
      <c r="Q95" t="e">
        <f>#REF!+"$Cm=!&amp;'B"</f>
        <v>#REF!</v>
      </c>
      <c r="R95" t="e">
        <f>#REF!+"$Cm=!&amp;'C"</f>
        <v>#REF!</v>
      </c>
      <c r="S95" t="e">
        <f>#REF!+"$Cm=!&amp;'D"</f>
        <v>#REF!</v>
      </c>
      <c r="T95" t="e">
        <f>#REF!+"$Cm=!&amp;'E"</f>
        <v>#REF!</v>
      </c>
      <c r="U95" t="e">
        <f>#REF!+"$Cm=!&amp;'F"</f>
        <v>#REF!</v>
      </c>
      <c r="V95" t="e">
        <f>#REF!+"$Cm=!&amp;'G"</f>
        <v>#REF!</v>
      </c>
      <c r="W95" t="e">
        <f>#REF!+"$Cm=!&amp;'H"</f>
        <v>#REF!</v>
      </c>
      <c r="X95" t="e">
        <f>#REF!+"$Cm=!&amp;'I"</f>
        <v>#REF!</v>
      </c>
      <c r="Y95" t="e">
        <f>#REF!+"$Cm=!&amp;'J"</f>
        <v>#REF!</v>
      </c>
      <c r="Z95" t="e">
        <f>#REF!+"$Cm=!&amp;'K"</f>
        <v>#REF!</v>
      </c>
      <c r="AA95" t="e">
        <f>#REF!+"$Cm=!&amp;'L"</f>
        <v>#REF!</v>
      </c>
      <c r="AB95" t="e">
        <f>#REF!+"$Cm=!&amp;'M"</f>
        <v>#REF!</v>
      </c>
      <c r="AC95" t="e">
        <f>#REF!+"$Cm=!&amp;'N"</f>
        <v>#REF!</v>
      </c>
      <c r="AD95" t="e">
        <f>#REF!+"$Cm=!&amp;'O"</f>
        <v>#REF!</v>
      </c>
      <c r="AE95" t="e">
        <f>#REF!+"$Cm=!&amp;'P"</f>
        <v>#REF!</v>
      </c>
      <c r="AF95" t="e">
        <f>#REF!+"$Cm=!&amp;'Q"</f>
        <v>#REF!</v>
      </c>
      <c r="AG95" t="e">
        <f>#REF!+"$Cm=!&amp;'R"</f>
        <v>#REF!</v>
      </c>
      <c r="AH95" t="e">
        <f>#REF!+"$Cm=!&amp;'S"</f>
        <v>#REF!</v>
      </c>
      <c r="AI95" t="e">
        <f>#REF!+"$Cm=!&amp;'T"</f>
        <v>#REF!</v>
      </c>
      <c r="AJ95" t="e">
        <f>#REF!+"$Cm=!&amp;'U"</f>
        <v>#REF!</v>
      </c>
      <c r="AK95" t="e">
        <f>#REF!+"$Cm=!&amp;'V"</f>
        <v>#REF!</v>
      </c>
      <c r="AL95" t="e">
        <f>#REF!+"$Cm=!&amp;'W"</f>
        <v>#REF!</v>
      </c>
      <c r="AM95" t="e">
        <f>#REF!+"$Cm=!&amp;'X"</f>
        <v>#REF!</v>
      </c>
      <c r="AN95" t="e">
        <f>#REF!+"$Cm=!&amp;'Y"</f>
        <v>#REF!</v>
      </c>
      <c r="AO95" t="e">
        <f>#REF!+"$Cm=!&amp;'Z"</f>
        <v>#REF!</v>
      </c>
      <c r="AP95" t="e">
        <f>#REF!+"$Cm=!&amp;'["</f>
        <v>#REF!</v>
      </c>
      <c r="AQ95" t="e">
        <f>#REF!+"$Cm=!&amp;'\"</f>
        <v>#REF!</v>
      </c>
      <c r="AR95" t="e">
        <f>#REF!+"$Cm=!&amp;']"</f>
        <v>#REF!</v>
      </c>
      <c r="AS95" t="e">
        <f>#REF!+"$Cm=!&amp;'^"</f>
        <v>#REF!</v>
      </c>
      <c r="AT95" t="e">
        <f>#REF!+"$Cm=!&amp;'_"</f>
        <v>#REF!</v>
      </c>
      <c r="AU95" t="e">
        <f>#REF!+"$Cm=!&amp;'`"</f>
        <v>#REF!</v>
      </c>
      <c r="AV95" t="e">
        <f>#REF!+"$Cm=!&amp;'a"</f>
        <v>#REF!</v>
      </c>
      <c r="AW95" t="e">
        <f>#REF!+"$Cm=!&amp;'b"</f>
        <v>#REF!</v>
      </c>
      <c r="AX95" t="e">
        <f>#REF!+"$Cm=!&amp;'c"</f>
        <v>#REF!</v>
      </c>
      <c r="AY95" t="e">
        <f>#REF!+"$Cm=!&amp;'d"</f>
        <v>#REF!</v>
      </c>
      <c r="AZ95" t="e">
        <f>#REF!+"$Cm=!&amp;'e"</f>
        <v>#REF!</v>
      </c>
      <c r="BA95" t="e">
        <f>#REF!+"$Cm=!&amp;'f"</f>
        <v>#REF!</v>
      </c>
      <c r="BB95" t="e">
        <f>#REF!+"$Cm=!&amp;'g"</f>
        <v>#REF!</v>
      </c>
      <c r="BC95" t="e">
        <f>#REF!+"$Cm=!&amp;'h"</f>
        <v>#REF!</v>
      </c>
      <c r="BD95" t="e">
        <f>#REF!+"$Cm=!&amp;'i"</f>
        <v>#REF!</v>
      </c>
      <c r="BE95" t="e">
        <f>#REF!+"$Cm=!&amp;'j"</f>
        <v>#REF!</v>
      </c>
      <c r="BF95" t="e">
        <f>#REF!+"$Cm=!&amp;'k"</f>
        <v>#REF!</v>
      </c>
      <c r="BG95" t="e">
        <f>#REF!+"$Cm=!&amp;'l"</f>
        <v>#REF!</v>
      </c>
      <c r="BH95" t="e">
        <f>#REF!+"$Cm=!&amp;'m"</f>
        <v>#REF!</v>
      </c>
      <c r="BI95" t="e">
        <f>#REF!+"$Cm=!&amp;'n"</f>
        <v>#REF!</v>
      </c>
      <c r="BJ95" t="e">
        <f>#REF!+"$Cm=!&amp;'o"</f>
        <v>#REF!</v>
      </c>
      <c r="BK95" t="e">
        <f>#REF!+"$Cm=!&amp;'p"</f>
        <v>#REF!</v>
      </c>
      <c r="BL95" t="e">
        <f>#REF!+"$Cm=!&amp;'q"</f>
        <v>#REF!</v>
      </c>
      <c r="BM95" t="e">
        <f>#REF!+"$Cm=!&amp;'r"</f>
        <v>#REF!</v>
      </c>
      <c r="BN95" t="e">
        <f>#REF!+"$Cm=!&amp;'s"</f>
        <v>#REF!</v>
      </c>
      <c r="BO95" t="e">
        <f>#REF!+"$Cm=!&amp;'t"</f>
        <v>#REF!</v>
      </c>
      <c r="BP95" t="e">
        <f>#REF!+"$Cm=!&amp;'u"</f>
        <v>#REF!</v>
      </c>
      <c r="BQ95" t="e">
        <f>#REF!+"$Cm=!&amp;'v"</f>
        <v>#REF!</v>
      </c>
      <c r="BR95" t="e">
        <f>#REF!+"$Cm=!&amp;'w"</f>
        <v>#REF!</v>
      </c>
      <c r="BS95" t="e">
        <f>#REF!+"$Cm=!&amp;'x"</f>
        <v>#REF!</v>
      </c>
      <c r="BT95" t="e">
        <f>#REF!+"$Cm=!&amp;'y"</f>
        <v>#REF!</v>
      </c>
      <c r="BU95" t="e">
        <f>#REF!+"$Cm=!&amp;'z"</f>
        <v>#REF!</v>
      </c>
      <c r="BV95" t="e">
        <f>#REF!+"$Cm=!&amp;'{"</f>
        <v>#REF!</v>
      </c>
      <c r="BW95" t="e">
        <f>#REF!+"$Cm=!&amp;'|"</f>
        <v>#REF!</v>
      </c>
      <c r="BX95" t="e">
        <f>#REF!+"$Cm=!&amp;'}"</f>
        <v>#REF!</v>
      </c>
      <c r="BY95" t="e">
        <f>#REF!+"$Cm=!&amp;'~"</f>
        <v>#REF!</v>
      </c>
      <c r="BZ95" t="e">
        <f>#REF!+"$Cm=!&amp;(#"</f>
        <v>#REF!</v>
      </c>
      <c r="CA95" t="e">
        <f>#REF!+"$Cm=!&amp;($"</f>
        <v>#REF!</v>
      </c>
      <c r="CB95" t="e">
        <f>#REF!+"$Cm=!&amp;(%"</f>
        <v>#REF!</v>
      </c>
      <c r="CC95" t="e">
        <f>#REF!+"$Cm=!&amp;(&amp;"</f>
        <v>#REF!</v>
      </c>
      <c r="CD95" t="e">
        <f>#REF!+"$Cm=!&amp;('"</f>
        <v>#REF!</v>
      </c>
      <c r="CE95" t="e">
        <f>#REF!+"$Cm=!&amp;(("</f>
        <v>#REF!</v>
      </c>
      <c r="CF95" t="e">
        <f>#REF!+"$Cm=!&amp;()"</f>
        <v>#REF!</v>
      </c>
      <c r="CG95" t="e">
        <f>#REF!+"$Cm=!&amp;(."</f>
        <v>#REF!</v>
      </c>
      <c r="CH95" t="e">
        <f>#REF!+"$Cm=!&amp;(/"</f>
        <v>#REF!</v>
      </c>
      <c r="CI95" t="e">
        <f>#REF!+"$Cm=!&amp;(0"</f>
        <v>#REF!</v>
      </c>
      <c r="CJ95" t="e">
        <f>#REF!+"$Cm=!&amp;(1"</f>
        <v>#REF!</v>
      </c>
      <c r="CK95" t="e">
        <f>#REF!+"$Cm=!&amp;(2"</f>
        <v>#REF!</v>
      </c>
      <c r="CL95" t="e">
        <f>#REF!+"$Cm=!&amp;(3"</f>
        <v>#REF!</v>
      </c>
      <c r="CM95" t="e">
        <f>#REF!+"$Cm=!&amp;(4"</f>
        <v>#REF!</v>
      </c>
      <c r="CN95" t="e">
        <f>#REF!+"$Cm=!&amp;(5"</f>
        <v>#REF!</v>
      </c>
      <c r="CO95" t="e">
        <f>#REF!+"$Cm=!&amp;(6"</f>
        <v>#REF!</v>
      </c>
      <c r="CP95" t="e">
        <f>#REF!+"$Cm=!&amp;(7"</f>
        <v>#REF!</v>
      </c>
      <c r="CQ95" t="e">
        <f>#REF!+"$Cm=!&amp;(8"</f>
        <v>#REF!</v>
      </c>
      <c r="CR95" t="e">
        <f>#REF!+"$Cm=!&amp;(9"</f>
        <v>#REF!</v>
      </c>
      <c r="CS95" t="e">
        <f>#REF!+"$Cm=!&amp;(:"</f>
        <v>#REF!</v>
      </c>
      <c r="CT95" t="e">
        <f>#REF!+"$Cm=!&amp;(;"</f>
        <v>#REF!</v>
      </c>
      <c r="CU95" t="e">
        <f>#REF!+"$Cm=!&amp;(&lt;"</f>
        <v>#REF!</v>
      </c>
      <c r="CV95" t="e">
        <f>#REF!+"$Cm=!&amp;(="</f>
        <v>#REF!</v>
      </c>
      <c r="CW95" t="e">
        <f>#REF!+"$Cm=!&amp;(&gt;"</f>
        <v>#REF!</v>
      </c>
      <c r="CX95" t="e">
        <f>#REF!+"$Cm=!&amp;(?"</f>
        <v>#REF!</v>
      </c>
      <c r="CY95" t="e">
        <f>#REF!+"$Cm=!&amp;(@"</f>
        <v>#REF!</v>
      </c>
      <c r="CZ95" t="e">
        <f>#REF!+"$Cm=!&amp;(A"</f>
        <v>#REF!</v>
      </c>
      <c r="DA95" t="e">
        <f>#REF!+"$Cm=!&amp;(B"</f>
        <v>#REF!</v>
      </c>
      <c r="DB95" t="e">
        <f>#REF!+"$Cm=!&amp;(C"</f>
        <v>#REF!</v>
      </c>
      <c r="DC95" t="e">
        <f>#REF!+"$Cm=!&amp;(D"</f>
        <v>#REF!</v>
      </c>
      <c r="DD95" t="e">
        <f>#REF!+"$Cm=!&amp;(E"</f>
        <v>#REF!</v>
      </c>
      <c r="DE95" t="e">
        <f>#REF!+"$Cm=!&amp;(F"</f>
        <v>#REF!</v>
      </c>
      <c r="DF95" t="e">
        <f>#REF!+"$Cm=!&amp;(G"</f>
        <v>#REF!</v>
      </c>
      <c r="DG95" t="e">
        <f>#REF!+"$Cm=!&amp;(H"</f>
        <v>#REF!</v>
      </c>
      <c r="DH95" t="e">
        <f>#REF!+"$Cm=!&amp;(I"</f>
        <v>#REF!</v>
      </c>
      <c r="DI95" t="e">
        <f>#REF!+"$Cm=!&amp;(J"</f>
        <v>#REF!</v>
      </c>
      <c r="DJ95" t="e">
        <f>#REF!+"$Cm=!&amp;(K"</f>
        <v>#REF!</v>
      </c>
      <c r="DK95" t="e">
        <f>#REF!+"$Cm=!&amp;(L"</f>
        <v>#REF!</v>
      </c>
      <c r="DL95" t="e">
        <f>#REF!+"$Cm=!&amp;(M"</f>
        <v>#REF!</v>
      </c>
      <c r="DM95" t="e">
        <f>#REF!+"$Cm=!&amp;(N"</f>
        <v>#REF!</v>
      </c>
      <c r="DN95" t="e">
        <f>#REF!+"$Cm=!&amp;(O"</f>
        <v>#REF!</v>
      </c>
      <c r="DO95" t="e">
        <f>#REF!+"$Cm=!&amp;(P"</f>
        <v>#REF!</v>
      </c>
      <c r="DP95" t="e">
        <f>#REF!+"$Cm=!&amp;(Q"</f>
        <v>#REF!</v>
      </c>
      <c r="DQ95" t="e">
        <f>#REF!+"$Cm=!&amp;(R"</f>
        <v>#REF!</v>
      </c>
      <c r="DR95" t="e">
        <f>#REF!+"$Cm=!&amp;(S"</f>
        <v>#REF!</v>
      </c>
      <c r="DS95" t="e">
        <f>#REF!+"$Cm=!&amp;(T"</f>
        <v>#REF!</v>
      </c>
      <c r="DT95" t="e">
        <f>#REF!+"$Cm=!&amp;(U"</f>
        <v>#REF!</v>
      </c>
      <c r="DU95" t="e">
        <f>#REF!+"$Cm=!&amp;(V"</f>
        <v>#REF!</v>
      </c>
      <c r="DV95" t="e">
        <f>#REF!+"$Cm=!&amp;(W"</f>
        <v>#REF!</v>
      </c>
      <c r="DW95" t="e">
        <f>#REF!+"$Cm=!&amp;(X"</f>
        <v>#REF!</v>
      </c>
      <c r="DX95" t="e">
        <f>#REF!+"$Cm=!&amp;(Y"</f>
        <v>#REF!</v>
      </c>
      <c r="DY95" t="e">
        <f>#REF!+"$Cm=!&amp;(Z"</f>
        <v>#REF!</v>
      </c>
      <c r="DZ95" t="e">
        <f>#REF!+"$Cm=!&amp;(["</f>
        <v>#REF!</v>
      </c>
      <c r="EA95" t="e">
        <f>#REF!+"$Cm=!&amp;(\"</f>
        <v>#REF!</v>
      </c>
      <c r="EB95" t="e">
        <f>#REF!+"$Cm=!&amp;(]"</f>
        <v>#REF!</v>
      </c>
      <c r="EC95" t="e">
        <f>#REF!+"$Cm=!&amp;(^"</f>
        <v>#REF!</v>
      </c>
      <c r="ED95" t="e">
        <f>#REF!+"$Cm=!&amp;(_"</f>
        <v>#REF!</v>
      </c>
      <c r="EE95" t="e">
        <f>#REF!+"$Cm=!&amp;(`"</f>
        <v>#REF!</v>
      </c>
      <c r="EF95" t="e">
        <f>#REF!+"$Cm=!&amp;(a"</f>
        <v>#REF!</v>
      </c>
      <c r="EG95" t="e">
        <f>#REF!+"$Cm=!&amp;(b"</f>
        <v>#REF!</v>
      </c>
      <c r="EH95" t="e">
        <f>#REF!+"$Cm=!&amp;(c"</f>
        <v>#REF!</v>
      </c>
      <c r="EI95" t="e">
        <f>#REF!+"$Cm=!&amp;(d"</f>
        <v>#REF!</v>
      </c>
      <c r="EJ95" t="e">
        <f>#REF!+"$Cm=!&amp;(e"</f>
        <v>#REF!</v>
      </c>
      <c r="EK95" t="e">
        <f>#REF!+"$Cm=!&amp;(f"</f>
        <v>#REF!</v>
      </c>
      <c r="EL95" t="e">
        <f>#REF!+"$Cm=!&amp;(g"</f>
        <v>#REF!</v>
      </c>
      <c r="EM95" t="e">
        <f>#REF!+"$Cm=!&amp;(h"</f>
        <v>#REF!</v>
      </c>
      <c r="EN95" t="e">
        <f>#REF!+"$Cm=!&amp;(i"</f>
        <v>#REF!</v>
      </c>
      <c r="EO95" t="e">
        <f>#REF!+"$Cm=!&amp;(j"</f>
        <v>#REF!</v>
      </c>
      <c r="EP95" t="e">
        <f>#REF!+"$Cm=!&amp;(k"</f>
        <v>#REF!</v>
      </c>
      <c r="EQ95" t="e">
        <f>#REF!+"$Cm=!&amp;(l"</f>
        <v>#REF!</v>
      </c>
      <c r="ER95" t="e">
        <f>#REF!+"$Cm=!&amp;(m"</f>
        <v>#REF!</v>
      </c>
      <c r="ES95" t="e">
        <f>#REF!+"$Cm=!&amp;(n"</f>
        <v>#REF!</v>
      </c>
      <c r="ET95" t="e">
        <f>#REF!+"$Cm=!&amp;(o"</f>
        <v>#REF!</v>
      </c>
      <c r="EU95" t="e">
        <f>#REF!+"$Cm=!&amp;(p"</f>
        <v>#REF!</v>
      </c>
      <c r="EV95" t="e">
        <f>#REF!+"$Cm=!&amp;(q"</f>
        <v>#REF!</v>
      </c>
      <c r="EW95" t="e">
        <f>#REF!+"$Cm=!&amp;(r"</f>
        <v>#REF!</v>
      </c>
      <c r="EX95" t="e">
        <f>#REF!+"$Cm=!&amp;(s"</f>
        <v>#REF!</v>
      </c>
      <c r="EY95" t="e">
        <f>#REF!+"$Cm=!&amp;(t"</f>
        <v>#REF!</v>
      </c>
      <c r="EZ95" t="e">
        <f>#REF!+"$Cm=!&amp;(u"</f>
        <v>#REF!</v>
      </c>
      <c r="FA95" t="e">
        <f>#REF!+"$Cm=!&amp;(v"</f>
        <v>#REF!</v>
      </c>
      <c r="FB95" t="e">
        <f>#REF!+"$Cm=!&amp;(w"</f>
        <v>#REF!</v>
      </c>
      <c r="FC95" t="e">
        <f>#REF!+"$Cm=!&amp;(x"</f>
        <v>#REF!</v>
      </c>
      <c r="FD95" t="e">
        <f>#REF!+"$Cm=!&amp;(y"</f>
        <v>#REF!</v>
      </c>
      <c r="FE95" t="e">
        <f>#REF!+"$Cm=!&amp;(z"</f>
        <v>#REF!</v>
      </c>
      <c r="FF95" t="e">
        <f>#REF!+"$Cm=!&amp;({"</f>
        <v>#REF!</v>
      </c>
      <c r="FG95" t="e">
        <f>#REF!+"$Cm=!&amp;(|"</f>
        <v>#REF!</v>
      </c>
      <c r="FH95" t="e">
        <f>#REF!+"$Cm=!&amp;(}"</f>
        <v>#REF!</v>
      </c>
      <c r="FI95" t="e">
        <f>#REF!+"$Cm=!&amp;(~"</f>
        <v>#REF!</v>
      </c>
      <c r="FJ95" t="e">
        <f>#REF!+"$Cm=!&amp;)#"</f>
        <v>#REF!</v>
      </c>
      <c r="FK95" t="e">
        <f>#REF!+"$Cm=!&amp;)$"</f>
        <v>#REF!</v>
      </c>
      <c r="FL95" t="e">
        <f>#REF!+"$Cm=!&amp;)%"</f>
        <v>#REF!</v>
      </c>
      <c r="FM95" t="e">
        <f>#REF!+"$Cm=!&amp;)&amp;"</f>
        <v>#REF!</v>
      </c>
      <c r="FN95" t="e">
        <f>#REF!+"$Cm=!&amp;)'"</f>
        <v>#REF!</v>
      </c>
      <c r="FO95" t="e">
        <f>#REF!+"$Cm=!&amp;)("</f>
        <v>#REF!</v>
      </c>
      <c r="FP95" t="e">
        <f>#REF!+"$Cm=!&amp;))"</f>
        <v>#REF!</v>
      </c>
      <c r="FQ95" t="e">
        <f>#REF!+"$Cm=!&amp;)."</f>
        <v>#REF!</v>
      </c>
      <c r="FR95" t="e">
        <f>#REF!+"$Cm=!&amp;)/"</f>
        <v>#REF!</v>
      </c>
      <c r="FS95" t="e">
        <f>#REF!+"$Cm=!&amp;)0"</f>
        <v>#REF!</v>
      </c>
      <c r="FT95" t="e">
        <f>#REF!+"$Cm=!&amp;)1"</f>
        <v>#REF!</v>
      </c>
      <c r="FU95" t="e">
        <f>#REF!+"$Cm=!&amp;)2"</f>
        <v>#REF!</v>
      </c>
      <c r="FV95" t="e">
        <f>#REF!+"$Cm=!&amp;)3"</f>
        <v>#REF!</v>
      </c>
      <c r="FW95" t="e">
        <f>#REF!+"$Cm=!&amp;)4"</f>
        <v>#REF!</v>
      </c>
      <c r="FX95" t="e">
        <f>#REF!+"$Cm=!&amp;)5"</f>
        <v>#REF!</v>
      </c>
      <c r="FY95" t="e">
        <f>#REF!+"$Cm=!&amp;)6"</f>
        <v>#REF!</v>
      </c>
      <c r="FZ95" t="e">
        <f>#REF!+"$Cm=!&amp;)7"</f>
        <v>#REF!</v>
      </c>
      <c r="GA95" t="e">
        <f>#REF!+"$Cm=!&amp;)8"</f>
        <v>#REF!</v>
      </c>
      <c r="GB95" t="e">
        <f>#REF!+"$Cm=!&amp;)9"</f>
        <v>#REF!</v>
      </c>
      <c r="GC95" t="e">
        <f>#REF!+"$Cm=!&amp;):"</f>
        <v>#REF!</v>
      </c>
      <c r="GD95" t="e">
        <f>#REF!+"$Cm=!&amp;);"</f>
        <v>#REF!</v>
      </c>
      <c r="GE95" t="e">
        <f>#REF!+"$Cm=!&amp;)&lt;"</f>
        <v>#REF!</v>
      </c>
      <c r="GF95" t="e">
        <f>#REF!+"$Cm=!&amp;)="</f>
        <v>#REF!</v>
      </c>
      <c r="GG95" t="e">
        <f>#REF!+"$Cm=!&amp;)&gt;"</f>
        <v>#REF!</v>
      </c>
      <c r="GH95" t="e">
        <f>#REF!+"$Cm=!&amp;)?"</f>
        <v>#REF!</v>
      </c>
      <c r="GI95" t="e">
        <f>#REF!+"$Cm=!&amp;)@"</f>
        <v>#REF!</v>
      </c>
      <c r="GJ95" t="e">
        <f>#REF!+"$Cm=!&amp;)A"</f>
        <v>#REF!</v>
      </c>
      <c r="GK95" t="e">
        <f>#REF!+"$Cm=!&amp;)B"</f>
        <v>#REF!</v>
      </c>
      <c r="GL95" t="e">
        <f>#REF!+"$Cm=!&amp;)C"</f>
        <v>#REF!</v>
      </c>
      <c r="GM95" t="e">
        <f>#REF!+"$Cm=!&amp;)D"</f>
        <v>#REF!</v>
      </c>
      <c r="GN95" t="e">
        <f>#REF!+"$Cm=!&amp;)E"</f>
        <v>#REF!</v>
      </c>
      <c r="GO95" t="e">
        <f>#REF!+"$Cm=!&amp;)F"</f>
        <v>#REF!</v>
      </c>
      <c r="GP95" t="e">
        <f>#REF!+"$Cm=!&amp;)G"</f>
        <v>#REF!</v>
      </c>
      <c r="GQ95" t="e">
        <f>#REF!+"$Cm=!&amp;)H"</f>
        <v>#REF!</v>
      </c>
      <c r="GR95" t="e">
        <f>#REF!+"$Cm=!&amp;)I"</f>
        <v>#REF!</v>
      </c>
      <c r="GS95" t="e">
        <f>#REF!+"$Cm=!&amp;)J"</f>
        <v>#REF!</v>
      </c>
      <c r="GT95" t="e">
        <f>#REF!+"$Cm=!&amp;)K"</f>
        <v>#REF!</v>
      </c>
      <c r="GU95" t="e">
        <f>#REF!+"$Cm=!&amp;)L"</f>
        <v>#REF!</v>
      </c>
      <c r="GV95" t="e">
        <f>#REF!+"$Cm=!&amp;)M"</f>
        <v>#REF!</v>
      </c>
      <c r="GW95" t="e">
        <f>#REF!+"$Cm=!&amp;)N"</f>
        <v>#REF!</v>
      </c>
      <c r="GX95" t="e">
        <f>#REF!+"$Cm=!&amp;)O"</f>
        <v>#REF!</v>
      </c>
      <c r="GY95" t="e">
        <f>#REF!+"$Cm=!&amp;)P"</f>
        <v>#REF!</v>
      </c>
      <c r="GZ95" t="e">
        <f>#REF!+"$Cm=!&amp;)Q"</f>
        <v>#REF!</v>
      </c>
      <c r="HA95" t="e">
        <f>#REF!+"$Cm=!&amp;)R"</f>
        <v>#REF!</v>
      </c>
      <c r="HB95" t="e">
        <f>#REF!+"$Cm=!&amp;)S"</f>
        <v>#REF!</v>
      </c>
      <c r="HC95" t="e">
        <f>#REF!+"$Cm=!&amp;)T"</f>
        <v>#REF!</v>
      </c>
      <c r="HD95" t="e">
        <f>#REF!+"$Cm=!&amp;)U"</f>
        <v>#REF!</v>
      </c>
      <c r="HE95" t="e">
        <f>#REF!+"$Cm=!&amp;)V"</f>
        <v>#REF!</v>
      </c>
      <c r="HF95" t="e">
        <f>#REF!+"$Cm=!&amp;)W"</f>
        <v>#REF!</v>
      </c>
      <c r="HG95" t="e">
        <f>#REF!+"$Cm=!&amp;)X"</f>
        <v>#REF!</v>
      </c>
      <c r="HH95" t="e">
        <f>#REF!+"$Cm=!&amp;)Y"</f>
        <v>#REF!</v>
      </c>
      <c r="HI95" t="e">
        <f>#REF!+"$Cm=!&amp;)Z"</f>
        <v>#REF!</v>
      </c>
      <c r="HJ95" t="e">
        <f>#REF!+"$Cm=!&amp;)["</f>
        <v>#REF!</v>
      </c>
      <c r="HK95" t="e">
        <f>#REF!+"$Cm=!&amp;)\"</f>
        <v>#REF!</v>
      </c>
      <c r="HL95" t="e">
        <f>#REF!+"$Cm=!&amp;)]"</f>
        <v>#REF!</v>
      </c>
      <c r="HM95" t="e">
        <f>#REF!+"$Cm=!&amp;)^"</f>
        <v>#REF!</v>
      </c>
      <c r="HN95" t="e">
        <f>#REF!+"$Cm=!&amp;)_"</f>
        <v>#REF!</v>
      </c>
      <c r="HO95" t="e">
        <f>#REF!+"$Cm=!&amp;)`"</f>
        <v>#REF!</v>
      </c>
      <c r="HP95" t="e">
        <f>#REF!+"$Cm=!&amp;)a"</f>
        <v>#REF!</v>
      </c>
      <c r="HQ95" t="e">
        <f>#REF!+"$Cm=!&amp;)b"</f>
        <v>#REF!</v>
      </c>
      <c r="HR95" t="e">
        <f>#REF!+"$Cm=!&amp;)c"</f>
        <v>#REF!</v>
      </c>
      <c r="HS95" t="e">
        <f>#REF!+"$Cm=!&amp;)d"</f>
        <v>#REF!</v>
      </c>
      <c r="HT95" t="e">
        <f>#REF!+"$Cm=!&amp;)e"</f>
        <v>#REF!</v>
      </c>
      <c r="HU95" t="e">
        <f>#REF!+"$Cm=!&amp;)f"</f>
        <v>#REF!</v>
      </c>
      <c r="HV95" t="e">
        <f>#REF!+"$Cm=!&amp;)g"</f>
        <v>#REF!</v>
      </c>
      <c r="HW95" t="e">
        <f>#REF!+"$Cm=!&amp;)h"</f>
        <v>#REF!</v>
      </c>
      <c r="HX95" t="e">
        <f>#REF!+"$Cm=!&amp;)i"</f>
        <v>#REF!</v>
      </c>
      <c r="HY95" t="e">
        <f>#REF!+"$Cm=!&amp;)j"</f>
        <v>#REF!</v>
      </c>
      <c r="HZ95" t="e">
        <f>#REF!+"$Cm=!&amp;)k"</f>
        <v>#REF!</v>
      </c>
      <c r="IA95" t="e">
        <f>#REF!+"$Cm=!&amp;)l"</f>
        <v>#REF!</v>
      </c>
      <c r="IB95" t="e">
        <f>#REF!+"$Cm=!&amp;)m"</f>
        <v>#REF!</v>
      </c>
      <c r="IC95" t="e">
        <f>#REF!+"$Cm=!&amp;)n"</f>
        <v>#REF!</v>
      </c>
      <c r="ID95" t="e">
        <f>#REF!+"$Cm=!&amp;)o"</f>
        <v>#REF!</v>
      </c>
      <c r="IE95" t="e">
        <f>#REF!+"$Cm=!&amp;)p"</f>
        <v>#REF!</v>
      </c>
      <c r="IF95" t="e">
        <f>#REF!+"$Cm=!&amp;)q"</f>
        <v>#REF!</v>
      </c>
      <c r="IG95" t="e">
        <f>#REF!+"$Cm=!&amp;)r"</f>
        <v>#REF!</v>
      </c>
      <c r="IH95" t="e">
        <f>#REF!+"$Cm=!&amp;)s"</f>
        <v>#REF!</v>
      </c>
      <c r="II95" t="e">
        <f>#REF!+"$Cm=!&amp;)t"</f>
        <v>#REF!</v>
      </c>
      <c r="IJ95" t="e">
        <f>#REF!+"$Cm=!&amp;)u"</f>
        <v>#REF!</v>
      </c>
      <c r="IK95" t="e">
        <f>#REF!+"$Cm=!&amp;)v"</f>
        <v>#REF!</v>
      </c>
      <c r="IL95" t="e">
        <f>#REF!+"$Cm=!&amp;)w"</f>
        <v>#REF!</v>
      </c>
      <c r="IM95" t="e">
        <f>#REF!+"$Cm=!&amp;)x"</f>
        <v>#REF!</v>
      </c>
      <c r="IN95" t="e">
        <f>#REF!+"$Cm=!&amp;)y"</f>
        <v>#REF!</v>
      </c>
      <c r="IO95" t="e">
        <f>#REF!+"$Cm=!&amp;)z"</f>
        <v>#REF!</v>
      </c>
      <c r="IP95" t="e">
        <f>#REF!+"$Cm=!&amp;){"</f>
        <v>#REF!</v>
      </c>
      <c r="IQ95" t="e">
        <f>#REF!+"$Cm=!&amp;)|"</f>
        <v>#REF!</v>
      </c>
      <c r="IR95" t="e">
        <f>#REF!+"$Cm=!&amp;)}"</f>
        <v>#REF!</v>
      </c>
      <c r="IS95" t="e">
        <f>#REF!+"$Cm=!&amp;)~"</f>
        <v>#REF!</v>
      </c>
      <c r="IT95" t="e">
        <f>#REF!+"$Cm=!&amp;.#"</f>
        <v>#REF!</v>
      </c>
      <c r="IU95" t="e">
        <f>#REF!+"$Cm=!&amp;.$"</f>
        <v>#REF!</v>
      </c>
      <c r="IV95" t="e">
        <f>#REF!+"$Cm=!&amp;.%"</f>
        <v>#REF!</v>
      </c>
    </row>
    <row r="96" spans="6:256">
      <c r="F96" t="e">
        <f>#REF!+"$Cm=!&amp;.&amp;"</f>
        <v>#REF!</v>
      </c>
      <c r="G96" t="e">
        <f>#REF!+"$Cm=!&amp;.'"</f>
        <v>#REF!</v>
      </c>
      <c r="H96" t="e">
        <f>#REF!+"$Cm=!&amp;.("</f>
        <v>#REF!</v>
      </c>
      <c r="I96" t="e">
        <f>#REF!+"$Cm=!&amp;.)"</f>
        <v>#REF!</v>
      </c>
      <c r="J96" t="e">
        <f>#REF!+"$Cm=!&amp;.."</f>
        <v>#REF!</v>
      </c>
      <c r="K96" t="e">
        <f>#REF!+"$Cm=!&amp;./"</f>
        <v>#REF!</v>
      </c>
      <c r="L96" t="e">
        <f>#REF!+"$Cm=!&amp;.0"</f>
        <v>#REF!</v>
      </c>
      <c r="M96" t="e">
        <f>#REF!+"$Cm=!&amp;.1"</f>
        <v>#REF!</v>
      </c>
      <c r="N96" t="e">
        <f>#REF!+"$Cm=!&amp;.2"</f>
        <v>#REF!</v>
      </c>
      <c r="O96" t="e">
        <f>#REF!+"$Cm=!&amp;.3"</f>
        <v>#REF!</v>
      </c>
      <c r="P96" t="e">
        <f>#REF!+"$Cm=!&amp;.4"</f>
        <v>#REF!</v>
      </c>
      <c r="Q96" t="e">
        <f>#REF!+"$Cm=!&amp;.5"</f>
        <v>#REF!</v>
      </c>
      <c r="R96" t="e">
        <f>#REF!+"$Cm=!&amp;.6"</f>
        <v>#REF!</v>
      </c>
      <c r="S96" t="e">
        <f>#REF!+"$Cm=!&amp;.7"</f>
        <v>#REF!</v>
      </c>
      <c r="T96" t="e">
        <f>#REF!+"$Cm=!&amp;.8"</f>
        <v>#REF!</v>
      </c>
      <c r="U96" t="e">
        <f>#REF!+"$Cm=!&amp;.9"</f>
        <v>#REF!</v>
      </c>
      <c r="V96" t="e">
        <f>#REF!+"$Cm=!&amp;.:"</f>
        <v>#REF!</v>
      </c>
      <c r="W96" t="e">
        <f>#REF!+"$Cm=!&amp;.;"</f>
        <v>#REF!</v>
      </c>
      <c r="X96" t="e">
        <f>#REF!+"$Cm=!&amp;.&lt;"</f>
        <v>#REF!</v>
      </c>
      <c r="Y96" t="e">
        <f>#REF!+"$Cm=!&amp;.="</f>
        <v>#REF!</v>
      </c>
      <c r="Z96" t="e">
        <f>#REF!+"$Cm=!&amp;.&gt;"</f>
        <v>#REF!</v>
      </c>
      <c r="AA96" t="e">
        <f>#REF!+"$Cm=!&amp;.?"</f>
        <v>#REF!</v>
      </c>
      <c r="AB96" t="e">
        <f>#REF!+"$Cm=!&amp;.@"</f>
        <v>#REF!</v>
      </c>
      <c r="AC96" t="e">
        <f>#REF!+"$Cm=!&amp;.A"</f>
        <v>#REF!</v>
      </c>
      <c r="AD96" t="e">
        <f>#REF!+"$Cm=!&amp;.B"</f>
        <v>#REF!</v>
      </c>
      <c r="AE96" t="e">
        <f>#REF!+"$Cm=!&amp;.C"</f>
        <v>#REF!</v>
      </c>
      <c r="AF96" t="e">
        <f>#REF!+"$Cm=!&amp;.D"</f>
        <v>#REF!</v>
      </c>
      <c r="AG96" t="e">
        <f>#REF!+"$Cm=!&amp;.E"</f>
        <v>#REF!</v>
      </c>
      <c r="AH96" t="e">
        <f>#REF!+"$Cm=!&amp;.F"</f>
        <v>#REF!</v>
      </c>
      <c r="AI96" t="e">
        <f>#REF!+"$Cm=!&amp;.G"</f>
        <v>#REF!</v>
      </c>
      <c r="AJ96" t="e">
        <f>#REF!+"$Cm=!&amp;.H"</f>
        <v>#REF!</v>
      </c>
      <c r="AK96" t="e">
        <f>#REF!+"$Cm=!&amp;.I"</f>
        <v>#REF!</v>
      </c>
      <c r="AL96" t="e">
        <f>#REF!+"$Cm=!&amp;.J"</f>
        <v>#REF!</v>
      </c>
      <c r="AM96" t="e">
        <f>#REF!+"$Cm=!&amp;.K"</f>
        <v>#REF!</v>
      </c>
      <c r="AN96" t="e">
        <f>#REF!+"$Cm=!&amp;.L"</f>
        <v>#REF!</v>
      </c>
      <c r="AO96" t="e">
        <f>#REF!+"$Cm=!&amp;.M"</f>
        <v>#REF!</v>
      </c>
      <c r="AP96" t="e">
        <f>#REF!+"$Cm=!&amp;.N"</f>
        <v>#REF!</v>
      </c>
      <c r="AQ96" t="e">
        <f>#REF!+"$Cm=!&amp;.O"</f>
        <v>#REF!</v>
      </c>
      <c r="AR96" t="e">
        <f>#REF!+"$Cm=!&amp;.P"</f>
        <v>#REF!</v>
      </c>
      <c r="AS96" t="e">
        <f>#REF!+"$Cm=!&amp;.Q"</f>
        <v>#REF!</v>
      </c>
      <c r="AT96" t="e">
        <f>#REF!+"$Cm=!&amp;.R"</f>
        <v>#REF!</v>
      </c>
      <c r="AU96" t="e">
        <f>#REF!+"$Cm=!&amp;.S"</f>
        <v>#REF!</v>
      </c>
      <c r="AV96" t="e">
        <f>#REF!+"$Cm=!&amp;.T"</f>
        <v>#REF!</v>
      </c>
      <c r="AW96" t="e">
        <f>#REF!+"$Cm=!&amp;.U"</f>
        <v>#REF!</v>
      </c>
      <c r="AX96" t="e">
        <f>#REF!+"$Cm=!&amp;.V"</f>
        <v>#REF!</v>
      </c>
      <c r="AY96" t="e">
        <f>#REF!+"$Cm=!&amp;.W"</f>
        <v>#REF!</v>
      </c>
      <c r="AZ96" t="e">
        <f>#REF!+"$Cm=!&amp;.X"</f>
        <v>#REF!</v>
      </c>
      <c r="BA96" t="e">
        <f>#REF!+"$Cm=!&amp;.Y"</f>
        <v>#REF!</v>
      </c>
      <c r="BB96" t="e">
        <f>#REF!+"$Cm=!&amp;.Z"</f>
        <v>#REF!</v>
      </c>
      <c r="BC96" t="e">
        <f>#REF!+"$Cm=!&amp;.["</f>
        <v>#REF!</v>
      </c>
      <c r="BD96" t="e">
        <f>#REF!+"$Cm=!&amp;.\"</f>
        <v>#REF!</v>
      </c>
      <c r="BE96" t="e">
        <f>#REF!+"$Cm=!&amp;.]"</f>
        <v>#REF!</v>
      </c>
      <c r="BF96" t="e">
        <f>#REF!+"$Cm=!&amp;.^"</f>
        <v>#REF!</v>
      </c>
      <c r="BG96" t="e">
        <f>#REF!+"$Cm=!&amp;._"</f>
        <v>#REF!</v>
      </c>
      <c r="BH96" t="e">
        <f>#REF!+"$Cm=!&amp;.`"</f>
        <v>#REF!</v>
      </c>
      <c r="BI96" t="e">
        <f>#REF!+"$Cm=!&amp;.a"</f>
        <v>#REF!</v>
      </c>
      <c r="BJ96" t="e">
        <f>#REF!+"$Cm=!&amp;.b"</f>
        <v>#REF!</v>
      </c>
      <c r="BK96" t="e">
        <f>#REF!+"$Cm=!&amp;.c"</f>
        <v>#REF!</v>
      </c>
      <c r="BL96" t="e">
        <f>#REF!+"$Cm=!&amp;.d"</f>
        <v>#REF!</v>
      </c>
      <c r="BM96" t="e">
        <f>#REF!+"$Cm=!&amp;.e"</f>
        <v>#REF!</v>
      </c>
      <c r="BN96" t="e">
        <f>#REF!+"$Cm=!&amp;.f"</f>
        <v>#REF!</v>
      </c>
      <c r="BO96" t="e">
        <f>#REF!+"$Cm=!&amp;.g"</f>
        <v>#REF!</v>
      </c>
      <c r="BP96" t="e">
        <f>#REF!+"$Cm=!&amp;.h"</f>
        <v>#REF!</v>
      </c>
      <c r="BQ96" t="e">
        <f>#REF!+"$Cm=!&amp;.i"</f>
        <v>#REF!</v>
      </c>
      <c r="BR96" t="e">
        <f>#REF!+"$Cm=!&amp;.j"</f>
        <v>#REF!</v>
      </c>
      <c r="BS96" t="e">
        <f>#REF!+"$Cm=!&amp;.k"</f>
        <v>#REF!</v>
      </c>
      <c r="BT96" t="e">
        <f>#REF!+"$Cm=!&amp;.l"</f>
        <v>#REF!</v>
      </c>
      <c r="BU96" t="e">
        <f>#REF!+"$Cm=!&amp;.m"</f>
        <v>#REF!</v>
      </c>
      <c r="BV96" t="e">
        <f>#REF!+"$Cm=!&amp;.n"</f>
        <v>#REF!</v>
      </c>
      <c r="BW96" t="e">
        <f>#REF!+"$Cm=!&amp;.o"</f>
        <v>#REF!</v>
      </c>
      <c r="BX96" t="e">
        <f>#REF!+"$Cm=!&amp;.p"</f>
        <v>#REF!</v>
      </c>
      <c r="BY96" t="e">
        <f>#REF!+"$Cm=!&amp;.q"</f>
        <v>#REF!</v>
      </c>
      <c r="BZ96" t="e">
        <f>#REF!+"$Cm=!&amp;.r"</f>
        <v>#REF!</v>
      </c>
      <c r="CA96" t="e">
        <f>#REF!+"$Cm=!&amp;.s"</f>
        <v>#REF!</v>
      </c>
      <c r="CB96" t="e">
        <f>#REF!+"$Cm=!&amp;.t"</f>
        <v>#REF!</v>
      </c>
      <c r="CC96" t="e">
        <f>#REF!+"$Cm=!&amp;.u"</f>
        <v>#REF!</v>
      </c>
      <c r="CD96" t="e">
        <f>#REF!+"$Cm=!&amp;.v"</f>
        <v>#REF!</v>
      </c>
      <c r="CE96" t="e">
        <f>#REF!+"$Cm=!&amp;.w"</f>
        <v>#REF!</v>
      </c>
      <c r="CF96" t="e">
        <f>#REF!+"$Cm=!&amp;.x"</f>
        <v>#REF!</v>
      </c>
      <c r="CG96" t="e">
        <f>#REF!+"$Cm=!&amp;.y"</f>
        <v>#REF!</v>
      </c>
      <c r="CH96" t="e">
        <f>#REF!+"$Cm=!&amp;.z"</f>
        <v>#REF!</v>
      </c>
      <c r="CI96" t="e">
        <f>#REF!+"$Cm=!&amp;.{"</f>
        <v>#REF!</v>
      </c>
      <c r="CJ96" t="e">
        <f>#REF!+"$Cm=!&amp;.|"</f>
        <v>#REF!</v>
      </c>
      <c r="CK96" t="e">
        <f>#REF!+"$Cm=!&amp;.}"</f>
        <v>#REF!</v>
      </c>
      <c r="CL96" t="e">
        <f>#REF!+"$Cm=!&amp;.~"</f>
        <v>#REF!</v>
      </c>
      <c r="CM96" t="e">
        <f>#REF!+"$Cm=!&amp;/#"</f>
        <v>#REF!</v>
      </c>
      <c r="CN96" t="e">
        <f>#REF!+"$Cm=!&amp;/$"</f>
        <v>#REF!</v>
      </c>
      <c r="CO96" t="e">
        <f>#REF!+"$Cm=!&amp;/%"</f>
        <v>#REF!</v>
      </c>
      <c r="CP96" t="e">
        <f>#REF!+"$Cm=!&amp;/&amp;"</f>
        <v>#REF!</v>
      </c>
      <c r="CQ96" t="e">
        <f>#REF!+"$Cm=!&amp;/'"</f>
        <v>#REF!</v>
      </c>
      <c r="CR96" t="e">
        <f>#REF!+"$Cm=!&amp;/("</f>
        <v>#REF!</v>
      </c>
      <c r="CS96" t="e">
        <f>#REF!+"$Cm=!&amp;/)"</f>
        <v>#REF!</v>
      </c>
      <c r="CT96" t="e">
        <f>#REF!+"$Cm=!&amp;/."</f>
        <v>#REF!</v>
      </c>
      <c r="CU96" t="e">
        <f>#REF!+"$Cm=!&amp;//"</f>
        <v>#REF!</v>
      </c>
      <c r="CV96" t="e">
        <f>#REF!+"$Cm=!&amp;/0"</f>
        <v>#REF!</v>
      </c>
      <c r="CW96" t="e">
        <f>#REF!+"$Cm=!&amp;/1"</f>
        <v>#REF!</v>
      </c>
      <c r="CX96" t="e">
        <f>#REF!+"$Cm=!&amp;/2"</f>
        <v>#REF!</v>
      </c>
      <c r="CY96" t="e">
        <f>#REF!+"$Cm=!&amp;/3"</f>
        <v>#REF!</v>
      </c>
      <c r="CZ96" t="e">
        <f>#REF!+"$Cm=!&amp;/4"</f>
        <v>#REF!</v>
      </c>
      <c r="DA96" t="e">
        <f>#REF!+"$Cm=!&amp;/5"</f>
        <v>#REF!</v>
      </c>
      <c r="DB96" t="e">
        <f>#REF!+"$Cm=!&amp;/6"</f>
        <v>#REF!</v>
      </c>
      <c r="DC96" t="e">
        <f>#REF!+"$Cm=!&amp;/7"</f>
        <v>#REF!</v>
      </c>
      <c r="DD96" t="e">
        <f>#REF!+"$Cm=!&amp;/8"</f>
        <v>#REF!</v>
      </c>
      <c r="DE96" t="e">
        <f>#REF!+"$Cm=!&amp;/9"</f>
        <v>#REF!</v>
      </c>
      <c r="DF96" t="e">
        <f>#REF!+"$Cm=!&amp;/:"</f>
        <v>#REF!</v>
      </c>
      <c r="DG96" t="e">
        <f>#REF!+"$Cm=!&amp;/;"</f>
        <v>#REF!</v>
      </c>
      <c r="DH96" t="e">
        <f>#REF!+"$Cm=!&amp;/&lt;"</f>
        <v>#REF!</v>
      </c>
      <c r="DI96" t="e">
        <f>#REF!+"$Cm=!&amp;/="</f>
        <v>#REF!</v>
      </c>
      <c r="DJ96" t="e">
        <f>#REF!+"$Cm=!&amp;/&gt;"</f>
        <v>#REF!</v>
      </c>
      <c r="DK96" t="e">
        <f>#REF!+"$Cm=!&amp;/?"</f>
        <v>#REF!</v>
      </c>
      <c r="DL96" t="e">
        <f>#REF!+"$Cm=!&amp;/@"</f>
        <v>#REF!</v>
      </c>
      <c r="DM96" t="e">
        <f>#REF!+"$Cm=!&amp;/A"</f>
        <v>#REF!</v>
      </c>
      <c r="DN96" t="e">
        <f>#REF!+"$Cm=!&amp;/B"</f>
        <v>#REF!</v>
      </c>
      <c r="DO96" t="e">
        <f>#REF!+"$Cm=!&amp;/C"</f>
        <v>#REF!</v>
      </c>
      <c r="DP96" t="e">
        <f>#REF!+"$Cm=!&amp;/D"</f>
        <v>#REF!</v>
      </c>
      <c r="DQ96" t="e">
        <f>#REF!+"$Cm=!&amp;/E"</f>
        <v>#REF!</v>
      </c>
      <c r="DR96" t="e">
        <f>#REF!+"$Cm=!&amp;/F"</f>
        <v>#REF!</v>
      </c>
      <c r="DS96" t="e">
        <f>#REF!+"$Cm=!&amp;/G"</f>
        <v>#REF!</v>
      </c>
      <c r="DT96" t="e">
        <f>#REF!+"$Cm=!&amp;/H"</f>
        <v>#REF!</v>
      </c>
      <c r="DU96" t="e">
        <f>#REF!+"$Cm=!&amp;/I"</f>
        <v>#REF!</v>
      </c>
      <c r="DV96" t="e">
        <f>#REF!+"$Cm=!&amp;/J"</f>
        <v>#REF!</v>
      </c>
      <c r="DW96" t="e">
        <f>#REF!+"$Cm=!&amp;/K"</f>
        <v>#REF!</v>
      </c>
      <c r="DX96" t="e">
        <f>#REF!+"$Cm=!&amp;/L"</f>
        <v>#REF!</v>
      </c>
      <c r="DY96" t="e">
        <f>#REF!+"$Cm=!&amp;/M"</f>
        <v>#REF!</v>
      </c>
      <c r="DZ96" t="e">
        <f>#REF!+"$Cm=!&amp;/N"</f>
        <v>#REF!</v>
      </c>
      <c r="EA96" t="e">
        <f>#REF!+"$Cm=!&amp;/O"</f>
        <v>#REF!</v>
      </c>
      <c r="EB96" t="e">
        <f>#REF!+"$Cm=!&amp;/P"</f>
        <v>#REF!</v>
      </c>
      <c r="EC96" t="e">
        <f>#REF!+"$Cm=!&amp;/Q"</f>
        <v>#REF!</v>
      </c>
      <c r="ED96" t="e">
        <f>#REF!+"$Cm=!&amp;/R"</f>
        <v>#REF!</v>
      </c>
      <c r="EE96" t="e">
        <f>#REF!+"$Cm=!&amp;/S"</f>
        <v>#REF!</v>
      </c>
      <c r="EF96" t="e">
        <f>#REF!+"$Cm=!&amp;/T"</f>
        <v>#REF!</v>
      </c>
      <c r="EG96" t="e">
        <f>#REF!+"$Cm=!&amp;/U"</f>
        <v>#REF!</v>
      </c>
      <c r="EH96" t="e">
        <f>#REF!+"$Cm=!&amp;/V"</f>
        <v>#REF!</v>
      </c>
      <c r="EI96" t="e">
        <f>#REF!+"$Cm=!&amp;/W"</f>
        <v>#REF!</v>
      </c>
      <c r="EJ96" t="e">
        <f>#REF!+"$Cm=!&amp;/X"</f>
        <v>#REF!</v>
      </c>
      <c r="EK96" t="e">
        <f>#REF!+"$Cm=!&amp;/Y"</f>
        <v>#REF!</v>
      </c>
      <c r="EL96" t="e">
        <f>#REF!+"$Cm=!&amp;/Z"</f>
        <v>#REF!</v>
      </c>
      <c r="EM96" t="e">
        <f>#REF!+"$Cm=!&amp;/["</f>
        <v>#REF!</v>
      </c>
      <c r="EN96" t="e">
        <f>#REF!+"$Cm=!&amp;/\"</f>
        <v>#REF!</v>
      </c>
      <c r="EO96" t="e">
        <f>#REF!+"$Cm=!&amp;/]"</f>
        <v>#REF!</v>
      </c>
      <c r="EP96" t="e">
        <f>#REF!+"$Cm=!&amp;/^"</f>
        <v>#REF!</v>
      </c>
      <c r="EQ96" t="e">
        <f>#REF!+"$Cm=!&amp;/_"</f>
        <v>#REF!</v>
      </c>
      <c r="ER96" t="e">
        <f>#REF!+"$Cm=!&amp;/`"</f>
        <v>#REF!</v>
      </c>
      <c r="ES96" t="e">
        <f>#REF!+"$Cm=!&amp;/a"</f>
        <v>#REF!</v>
      </c>
      <c r="ET96" t="e">
        <f>#REF!+"$Cm=!&amp;/b"</f>
        <v>#REF!</v>
      </c>
      <c r="EU96" t="e">
        <f>'Global IMACD Form'!#REF!*"$Cm=!&amp;/c"</f>
        <v>#REF!</v>
      </c>
      <c r="EV96" t="e">
        <f>'Global IMACD Form'!A:A*"$Cm=!&amp;/d"</f>
        <v>#VALUE!</v>
      </c>
      <c r="EW96" t="e">
        <f>'Global IMACD Form'!B:B*"$Cm=!&amp;/e"</f>
        <v>#VALUE!</v>
      </c>
      <c r="EX96" t="e">
        <f>'Global IMACD Form'!C:C*"$Cm=!&amp;/f"</f>
        <v>#VALUE!</v>
      </c>
      <c r="EY96" t="e">
        <f>'Global IMACD Form'!D:D*"$Cm=!&amp;/g"</f>
        <v>#VALUE!</v>
      </c>
      <c r="EZ96" t="e">
        <f>'Global IMACD Form'!E:E*"$Cm=!&amp;/h"</f>
        <v>#VALUE!</v>
      </c>
      <c r="FA96" t="e">
        <f>'Global IMACD Form'!F:F*"$Cm=!&amp;/i"</f>
        <v>#VALUE!</v>
      </c>
      <c r="FB96" t="e">
        <f>'Global IMACD Form'!G:G*"$Cm=!&amp;/j"</f>
        <v>#VALUE!</v>
      </c>
      <c r="FC96" t="e">
        <f>'Global IMACD Form'!#REF!*"$Cm=!&amp;/k"</f>
        <v>#REF!</v>
      </c>
      <c r="FD96" t="e">
        <f>'Global IMACD Form'!#REF!*"$Cm=!&amp;/l"</f>
        <v>#REF!</v>
      </c>
      <c r="FE96" t="e">
        <f>'Global IMACD Form'!#REF!*"$Cm=!&amp;/m"</f>
        <v>#REF!</v>
      </c>
      <c r="FF96" t="e">
        <f>'Global IMACD Form'!#REF!*"$Cm=!&amp;/n"</f>
        <v>#REF!</v>
      </c>
      <c r="FG96" t="e">
        <f>'Global IMACD Form'!#REF!*"$Cm=!&amp;/o"</f>
        <v>#REF!</v>
      </c>
      <c r="FH96" t="e">
        <f>'Global IMACD Form'!#REF!*"$Cm=!&amp;/p"</f>
        <v>#REF!</v>
      </c>
      <c r="FI96" t="e">
        <f>'Global IMACD Form'!#REF!*"$Cm=!&amp;/q"</f>
        <v>#REF!</v>
      </c>
      <c r="FJ96" t="e">
        <f>'Global IMACD Form'!#REF!*"$Cm=!&amp;/r"</f>
        <v>#REF!</v>
      </c>
      <c r="FK96" t="e">
        <f>'Global IMACD Form'!#REF!*"$Cm=!&amp;/s"</f>
        <v>#REF!</v>
      </c>
      <c r="FL96" t="e">
        <f>'Global IMACD Form'!#REF!*"$Cm=!&amp;/t"</f>
        <v>#REF!</v>
      </c>
      <c r="FM96" t="e">
        <f>'Global IMACD Form'!#REF!*"$Cm=!&amp;/u"</f>
        <v>#REF!</v>
      </c>
      <c r="FN96" t="e">
        <f>'Global IMACD Form'!#REF!*"$Cm=!&amp;/v"</f>
        <v>#REF!</v>
      </c>
      <c r="FO96" t="e">
        <f>'Global IMACD Form'!#REF!*"$Cm=!&amp;/w"</f>
        <v>#REF!</v>
      </c>
      <c r="FP96" t="e">
        <f>'Global IMACD Form'!#REF!*"$Cm=!&amp;/x"</f>
        <v>#REF!</v>
      </c>
      <c r="FQ96" t="e">
        <f>'Global IMACD Form'!#REF!*"$Cm=!&amp;/y"</f>
        <v>#REF!</v>
      </c>
      <c r="FR96" t="e">
        <f>'Global IMACD Form'!#REF!*"$Cm=!&amp;/z"</f>
        <v>#REF!</v>
      </c>
      <c r="FS96" t="e">
        <f>'Global IMACD Form'!#REF!*"$Cm=!&amp;/{"</f>
        <v>#REF!</v>
      </c>
      <c r="FT96" t="e">
        <f>'Global IMACD Form'!#REF!*"$Cm=!&amp;/|"</f>
        <v>#REF!</v>
      </c>
      <c r="FU96" t="e">
        <f>'Global IMACD Form'!#REF!*"$Cm=!&amp;/}"</f>
        <v>#REF!</v>
      </c>
      <c r="FV96" t="e">
        <f>'Global IMACD Form'!#REF!*"$Cm=!&amp;/~"</f>
        <v>#REF!</v>
      </c>
      <c r="FW96" t="e">
        <f>'Global IMACD Form'!#REF!*"$Cm=!&amp;0#"</f>
        <v>#REF!</v>
      </c>
      <c r="FX96" t="e">
        <f>'Global IMACD Form'!#REF!*"$Cm=!&amp;0$"</f>
        <v>#REF!</v>
      </c>
      <c r="FY96" t="e">
        <f>'Global IMACD Form'!#REF!*"$Cm=!&amp;0%"</f>
        <v>#REF!</v>
      </c>
      <c r="FZ96" t="e">
        <f>'Global IMACD Form'!#REF!*"$Cm=!&amp;0&amp;"</f>
        <v>#REF!</v>
      </c>
      <c r="GA96" t="e">
        <f>'Global IMACD Form'!#REF!*"$Cm=!&amp;0'"</f>
        <v>#REF!</v>
      </c>
      <c r="GB96" t="e">
        <f>'Global IMACD Form'!#REF!*"$Cm=!&amp;0("</f>
        <v>#REF!</v>
      </c>
      <c r="GC96" t="e">
        <f>'Global IMACD Form'!#REF!*"$Cm=!&amp;0)"</f>
        <v>#REF!</v>
      </c>
      <c r="GD96" t="e">
        <f>'Global IMACD Form'!#REF!*"$Cm=!&amp;0."</f>
        <v>#REF!</v>
      </c>
      <c r="GE96" t="e">
        <f>'Global IMACD Form'!#REF!*"$Cm=!&amp;0/"</f>
        <v>#REF!</v>
      </c>
      <c r="GF96" t="e">
        <f>'Global IMACD Form'!#REF!*"$Cm=!&amp;00"</f>
        <v>#REF!</v>
      </c>
      <c r="GG96" t="e">
        <f>'Global IMACD Form'!#REF!*"$Cm=!&amp;01"</f>
        <v>#REF!</v>
      </c>
      <c r="GH96" t="e">
        <f>'Global IMACD Form'!#REF!*"$Cm=!&amp;02"</f>
        <v>#REF!</v>
      </c>
      <c r="GI96" t="e">
        <f>'Global IMACD Form'!#REF!*"$Cm=!&amp;03"</f>
        <v>#REF!</v>
      </c>
      <c r="GJ96" t="e">
        <f>'Global IMACD Form'!#REF!*"$Cm=!&amp;04"</f>
        <v>#REF!</v>
      </c>
      <c r="GK96" t="e">
        <f>'Global IMACD Form'!#REF!*"$Cm=!&amp;05"</f>
        <v>#REF!</v>
      </c>
      <c r="GL96" t="e">
        <f>'Global IMACD Form'!#REF!*"$Cm=!&amp;06"</f>
        <v>#REF!</v>
      </c>
      <c r="GM96" t="e">
        <f>'Global IMACD Form'!#REF!*"$Cm=!&amp;07"</f>
        <v>#REF!</v>
      </c>
      <c r="GN96" t="e">
        <f>'Global IMACD Form'!#REF!*"$Cm=!&amp;08"</f>
        <v>#REF!</v>
      </c>
      <c r="GO96" t="e">
        <f>'Global IMACD Form'!#REF!*"$Cm=!&amp;09"</f>
        <v>#REF!</v>
      </c>
      <c r="GP96" t="e">
        <f>'Global IMACD Form'!#REF!*"$Cm=!&amp;0:"</f>
        <v>#REF!</v>
      </c>
      <c r="GQ96" t="e">
        <f>'Global IMACD Form'!#REF!*"$Cm=!&amp;0;"</f>
        <v>#REF!</v>
      </c>
      <c r="GR96" t="e">
        <f>'Global IMACD Form'!#REF!*"$Cm=!&amp;0&lt;"</f>
        <v>#REF!</v>
      </c>
      <c r="GS96" t="e">
        <f>'Global IMACD Form'!#REF!*"$Cm=!&amp;0="</f>
        <v>#REF!</v>
      </c>
      <c r="GT96" t="e">
        <f>'Global IMACD Form'!#REF!*"$Cm=!&amp;0&gt;"</f>
        <v>#REF!</v>
      </c>
      <c r="GU96" t="e">
        <f>'Global IMACD Form'!#REF!*"$Cm=!&amp;0?"</f>
        <v>#REF!</v>
      </c>
      <c r="GV96" t="e">
        <f>'Global IMACD Form'!#REF!*"$Cm=!&amp;0@"</f>
        <v>#REF!</v>
      </c>
      <c r="GW96" t="e">
        <f>'Global IMACD Form'!#REF!*"$Cm=!&amp;0A"</f>
        <v>#REF!</v>
      </c>
      <c r="GX96" t="e">
        <f>'Global IMACD Form'!#REF!*"$Cm=!&amp;0B"</f>
        <v>#REF!</v>
      </c>
      <c r="GY96" t="e">
        <f>'Global IMACD Form'!#REF!*"$Cm=!&amp;0C"</f>
        <v>#REF!</v>
      </c>
      <c r="GZ96" t="e">
        <f>'Global IMACD Form'!#REF!*"$Cm=!&amp;0D"</f>
        <v>#REF!</v>
      </c>
      <c r="HA96" t="e">
        <f>'Global IMACD Form'!#REF!*"$Cm=!&amp;0E"</f>
        <v>#REF!</v>
      </c>
      <c r="HB96" t="e">
        <f>'Global IMACD Form'!#REF!*"$Cm=!&amp;0F"</f>
        <v>#REF!</v>
      </c>
      <c r="HC96" t="e">
        <f>'Global IMACD Form'!#REF!*"$Cm=!&amp;0G"</f>
        <v>#REF!</v>
      </c>
      <c r="HD96" t="e">
        <f>'Global IMACD Form'!#REF!*"$Cm=!&amp;0H"</f>
        <v>#REF!</v>
      </c>
      <c r="HE96" t="e">
        <f>'Global IMACD Form'!#REF!*"$Cm=!&amp;0I"</f>
        <v>#REF!</v>
      </c>
      <c r="HF96" t="e">
        <f>'Global IMACD Form'!1:1-"$Cm=!&amp;0J"</f>
        <v>#VALUE!</v>
      </c>
      <c r="HG96" t="e">
        <f>'Global IMACD Form'!#REF!-"$Cm=!&amp;0K"</f>
        <v>#REF!</v>
      </c>
      <c r="HH96" t="e">
        <f>'Global IMACD Form'!3:3-"$Cm=!&amp;0L"</f>
        <v>#VALUE!</v>
      </c>
      <c r="HI96" t="e">
        <f>'Global IMACD Form'!4:4-"$Cm=!&amp;0M"</f>
        <v>#VALUE!</v>
      </c>
      <c r="HJ96" t="e">
        <f>'Global IMACD Form'!7:7-"$Cm=!&amp;0N"</f>
        <v>#VALUE!</v>
      </c>
      <c r="HK96" t="e">
        <f>'Global IMACD Form'!8:8-"$Cm=!&amp;0O"</f>
        <v>#VALUE!</v>
      </c>
      <c r="HL96" t="e">
        <f>'Global IMACD Form'!#REF!-"$Cm=!&amp;0P"</f>
        <v>#REF!</v>
      </c>
      <c r="HM96" t="e">
        <f>'Global IMACD Form'!10:10-"$Cm=!&amp;0Q"</f>
        <v>#VALUE!</v>
      </c>
      <c r="HN96" t="e">
        <f>'Global IMACD Form'!11:11-"$Cm=!&amp;0R"</f>
        <v>#VALUE!</v>
      </c>
      <c r="HO96" t="e">
        <f>'Global IMACD Form'!12:12-"$Cm=!&amp;0S"</f>
        <v>#VALUE!</v>
      </c>
      <c r="HP96" t="e">
        <f>'Global IMACD Form'!13:13-"$Cm=!&amp;0T"</f>
        <v>#VALUE!</v>
      </c>
      <c r="HQ96" t="e">
        <f>'Global IMACD Form'!14:14-"$Cm=!&amp;0U"</f>
        <v>#VALUE!</v>
      </c>
      <c r="HR96" t="e">
        <f>'Global IMACD Form'!15:15-"$Cm=!&amp;0V"</f>
        <v>#VALUE!</v>
      </c>
      <c r="HS96" t="e">
        <f>'Global IMACD Form'!16:16-"$Cm=!&amp;0W"</f>
        <v>#VALUE!</v>
      </c>
      <c r="HT96" t="e">
        <f>'Global IMACD Form'!18:18-"$Cm=!&amp;0X"</f>
        <v>#VALUE!</v>
      </c>
      <c r="HU96" t="e">
        <f>'Global IMACD Form'!24:24-"$Cm=!&amp;0Y"</f>
        <v>#VALUE!</v>
      </c>
      <c r="HV96" t="e">
        <f>'Global IMACD Form'!26:26-"$Cm=!&amp;0Z"</f>
        <v>#VALUE!</v>
      </c>
      <c r="HW96" t="e">
        <f>'Global IMACD Form'!27:27-"$Cm=!&amp;0["</f>
        <v>#VALUE!</v>
      </c>
      <c r="HX96" t="e">
        <f>'Global IMACD Form'!28:28-"$Cm=!&amp;0\"</f>
        <v>#VALUE!</v>
      </c>
      <c r="HY96" t="e">
        <f>'Global IMACD Form'!29:29-"$Cm=!&amp;0]"</f>
        <v>#VALUE!</v>
      </c>
      <c r="HZ96" t="e">
        <f>'Global IMACD Form'!30:30-"$Cm=!&amp;0^"</f>
        <v>#VALUE!</v>
      </c>
      <c r="IA96" t="e">
        <f>'Global IMACD Form'!31:31-"$Cm=!&amp;0_"</f>
        <v>#VALUE!</v>
      </c>
      <c r="IB96" t="e">
        <f>'Global IMACD Form'!33:33-"$Cm=!&amp;0`"</f>
        <v>#VALUE!</v>
      </c>
      <c r="IC96" t="e">
        <f>'Global IMACD Form'!34:34-"$Cm=!&amp;0a"</f>
        <v>#VALUE!</v>
      </c>
      <c r="ID96" t="e">
        <f>'Global IMACD Form'!35:35-"$Cm=!&amp;0b"</f>
        <v>#VALUE!</v>
      </c>
      <c r="IE96" t="e">
        <f>'Global IMACD Form'!36:36-"$Cm=!&amp;0c"</f>
        <v>#VALUE!</v>
      </c>
      <c r="IF96" t="e">
        <f>'Global IMACD Form'!37:37-"$Cm=!&amp;0d"</f>
        <v>#VALUE!</v>
      </c>
      <c r="IG96" t="e">
        <f>'Global IMACD Form'!38:38-"$Cm=!&amp;0e"</f>
        <v>#VALUE!</v>
      </c>
      <c r="IH96" t="e">
        <f>'Global IMACD Form'!39:39-"$Cm=!&amp;0f"</f>
        <v>#VALUE!</v>
      </c>
      <c r="II96" t="e">
        <f>'Global IMACD Form'!40:40-"$Cm=!&amp;0g"</f>
        <v>#VALUE!</v>
      </c>
      <c r="IJ96" t="e">
        <f>'Global IMACD Form'!#REF!-"$Cm=!&amp;0h"</f>
        <v>#REF!</v>
      </c>
      <c r="IK96" t="e">
        <f>'Global IMACD Form'!47:47-"$Cm=!&amp;0i"</f>
        <v>#VALUE!</v>
      </c>
      <c r="IL96" t="e">
        <f>'Global IMACD Form'!#REF!-"$Cm=!&amp;0j"</f>
        <v>#REF!</v>
      </c>
      <c r="IM96" t="e">
        <f>'Global IMACD Form'!#REF!-"$Cm=!&amp;0k"</f>
        <v>#REF!</v>
      </c>
      <c r="IN96" t="e">
        <f>'Global IMACD Form'!49:49-"$Cm=!&amp;0l"</f>
        <v>#VALUE!</v>
      </c>
      <c r="IO96" t="e">
        <f>'Global IMACD Form'!50:50-"$Cm=!&amp;0m"</f>
        <v>#VALUE!</v>
      </c>
      <c r="IP96" t="e">
        <f>'Global IMACD Form'!51:51-"$Cm=!&amp;0n"</f>
        <v>#VALUE!</v>
      </c>
      <c r="IQ96" t="e">
        <f>'Global IMACD Form'!52:52-"$Cm=!&amp;0o"</f>
        <v>#VALUE!</v>
      </c>
      <c r="IR96" t="e">
        <f>'Global IMACD Form'!53:53-"$Cm=!&amp;0p"</f>
        <v>#VALUE!</v>
      </c>
      <c r="IS96" t="e">
        <f>'Global IMACD Form'!54:54-"$Cm=!&amp;0q"</f>
        <v>#VALUE!</v>
      </c>
      <c r="IT96" t="e">
        <f>'Global IMACD Form'!55:55-"$Cm=!&amp;0r"</f>
        <v>#VALUE!</v>
      </c>
      <c r="IU96" t="e">
        <f>'Global IMACD Form'!56:56-"$Cm=!&amp;0s"</f>
        <v>#VALUE!</v>
      </c>
      <c r="IV96" t="e">
        <f>'Global IMACD Form'!57:57-"$Cm=!&amp;0t"</f>
        <v>#VALUE!</v>
      </c>
    </row>
    <row r="97" spans="6:256">
      <c r="F97" t="e">
        <f>'Global IMACD Form'!58:58-"$Cm=!&amp;0u"</f>
        <v>#VALUE!</v>
      </c>
      <c r="G97" t="e">
        <f>'Global IMACD Form'!59:59-"$Cm=!&amp;0v"</f>
        <v>#VALUE!</v>
      </c>
      <c r="H97" t="e">
        <f>'Global IMACD Form'!60:60-"$Cm=!&amp;0w"</f>
        <v>#VALUE!</v>
      </c>
      <c r="I97" t="e">
        <f>'Global IMACD Form'!61:61-"$Cm=!&amp;0x"</f>
        <v>#VALUE!</v>
      </c>
      <c r="J97" t="e">
        <f>'Global IMACD Form'!62:62-"$Cm=!&amp;0y"</f>
        <v>#VALUE!</v>
      </c>
      <c r="K97" t="e">
        <f>'Global IMACD Form'!63:63-"$Cm=!&amp;0z"</f>
        <v>#VALUE!</v>
      </c>
      <c r="L97" t="e">
        <f>'Global IMACD Form'!64:64-"$Cm=!&amp;0{"</f>
        <v>#VALUE!</v>
      </c>
      <c r="M97" t="e">
        <f>'Global IMACD Form'!65:65-"$Cm=!&amp;0|"</f>
        <v>#VALUE!</v>
      </c>
      <c r="N97" t="e">
        <f>'Global IMACD Form'!66:66-"$Cm=!&amp;0}"</f>
        <v>#VALUE!</v>
      </c>
      <c r="O97" t="e">
        <f>'Global IMACD Form'!67:67-"$Cm=!&amp;0~"</f>
        <v>#VALUE!</v>
      </c>
      <c r="P97" t="e">
        <f>'Global IMACD Form'!68:68-"$Cm=!&amp;1#"</f>
        <v>#VALUE!</v>
      </c>
      <c r="Q97" t="e">
        <f>'Global IMACD Form'!69:69-"$Cm=!&amp;1$"</f>
        <v>#VALUE!</v>
      </c>
      <c r="R97" t="e">
        <f>'Global IMACD Form'!#REF!-"$Cm=!&amp;1%"</f>
        <v>#REF!</v>
      </c>
      <c r="S97" t="e">
        <f>'Global IMACD Form'!#REF!-"$Cm=!&amp;1&amp;"</f>
        <v>#REF!</v>
      </c>
      <c r="T97" t="e">
        <f>'Global IMACD Form'!77:77-"$Cm=!&amp;1'"</f>
        <v>#VALUE!</v>
      </c>
      <c r="U97" t="e">
        <f>'Global IMACD Form'!#REF!-"$Cm=!&amp;1("</f>
        <v>#REF!</v>
      </c>
      <c r="V97" t="e">
        <f>'Global IMACD Form'!89:89-"$Cm=!&amp;1)"</f>
        <v>#VALUE!</v>
      </c>
      <c r="W97" t="e">
        <f>'Global IMACD Form'!#REF!-"$Cm=!&amp;1."</f>
        <v>#REF!</v>
      </c>
      <c r="X97" t="e">
        <f>'Global IMACD Form'!#REF!-"$Cm=!&amp;1/"</f>
        <v>#REF!</v>
      </c>
      <c r="Y97" t="e">
        <f>'Global IMACD Form'!#REF!-"$Cm=!&amp;10"</f>
        <v>#REF!</v>
      </c>
      <c r="Z97" t="e">
        <f>'Global IMACD Form'!#REF!-"$Cm=!&amp;11"</f>
        <v>#REF!</v>
      </c>
      <c r="AA97" t="e">
        <f>'Global IMACD Form'!#REF!-"$Cm=!&amp;12"</f>
        <v>#REF!</v>
      </c>
      <c r="AB97" t="e">
        <f>'Global IMACD Form'!#REF!-"$Cm=!&amp;13"</f>
        <v>#REF!</v>
      </c>
      <c r="AC97" t="e">
        <f>'Global IMACD Form'!#REF!-"$Cm=!&amp;14"</f>
        <v>#REF!</v>
      </c>
      <c r="AD97" t="e">
        <f>'Global IMACD Form'!94:94-"$Cm=!&amp;15"</f>
        <v>#VALUE!</v>
      </c>
      <c r="AE97" t="e">
        <f>'Global IMACD Form'!#REF!-"$Cm=!&amp;16"</f>
        <v>#REF!</v>
      </c>
      <c r="AF97" t="e">
        <f>'Global IMACD Form'!96:96-"$Cm=!&amp;17"</f>
        <v>#VALUE!</v>
      </c>
      <c r="AG97" t="e">
        <f>'Global IMACD Form'!97:97-"$Cm=!&amp;18"</f>
        <v>#VALUE!</v>
      </c>
      <c r="AH97" t="e">
        <f>'Global IMACD Form'!98:98-"$Cm=!&amp;19"</f>
        <v>#VALUE!</v>
      </c>
      <c r="AI97" t="e">
        <f>'Global IMACD Form'!99:99-"$Cm=!&amp;1:"</f>
        <v>#VALUE!</v>
      </c>
      <c r="AJ97" t="e">
        <f>'Global IMACD Form'!#REF!-"$Cm=!&amp;1;"</f>
        <v>#REF!</v>
      </c>
      <c r="AK97" t="e">
        <f>'Global IMACD Form'!#REF!-"$Cm=!&amp;1&lt;"</f>
        <v>#REF!</v>
      </c>
      <c r="AL97" t="e">
        <f>'Global IMACD Form'!#REF!-"$Cm=!&amp;1="</f>
        <v>#REF!</v>
      </c>
      <c r="AM97" t="e">
        <f>'Global IMACD Form'!#REF!-"$Cm=!&amp;1&gt;"</f>
        <v>#REF!</v>
      </c>
      <c r="AN97" t="e">
        <f>'Global IMACD Form'!#REF!-"$Cm=!&amp;1?"</f>
        <v>#REF!</v>
      </c>
      <c r="AO97" t="e">
        <f>'Global IMACD Form'!#REF!-"$Cm=!&amp;1@"</f>
        <v>#REF!</v>
      </c>
      <c r="AP97" t="e">
        <f>'Global IMACD Form'!#REF!-"$Cm=!&amp;1A"</f>
        <v>#REF!</v>
      </c>
      <c r="AQ97" t="e">
        <f>'Global IMACD Form'!#REF!-"$Cm=!&amp;1B"</f>
        <v>#REF!</v>
      </c>
      <c r="AR97" t="e">
        <f>'Global IMACD Form'!#REF!-"$Cm=!&amp;1C"</f>
        <v>#REF!</v>
      </c>
      <c r="AS97" t="e">
        <f>'Global IMACD Form'!#REF!-"$Cm=!&amp;1D"</f>
        <v>#REF!</v>
      </c>
      <c r="AT97" t="e">
        <f>'Global IMACD Form'!#REF!-"$Cm=!&amp;1E"</f>
        <v>#REF!</v>
      </c>
      <c r="AU97" t="e">
        <f>'Global IMACD Form'!#REF!-"$Cm=!&amp;1F"</f>
        <v>#REF!</v>
      </c>
      <c r="AV97" t="e">
        <f>'Global IMACD Form'!#REF!-"$Cm=!&amp;1G"</f>
        <v>#REF!</v>
      </c>
      <c r="AW97" t="e">
        <f>'Global IMACD Form'!#REF!-"$Cm=!&amp;1H"</f>
        <v>#REF!</v>
      </c>
      <c r="AX97" t="e">
        <f>'Global IMACD Form'!#REF!-"$Cm=!&amp;1I"</f>
        <v>#REF!</v>
      </c>
      <c r="AY97" t="e">
        <f>'Global IMACD Form'!#REF!-"$Cm=!&amp;1J"</f>
        <v>#REF!</v>
      </c>
      <c r="AZ97" t="e">
        <f>'Global IMACD Form'!#REF!-"$Cm=!&amp;1K"</f>
        <v>#REF!</v>
      </c>
      <c r="BA97" t="e">
        <f>'Global IMACD Form'!#REF!-"$Cm=!&amp;1L"</f>
        <v>#REF!</v>
      </c>
      <c r="BB97" t="e">
        <f>'Global IMACD Form'!#REF!-"$Cm=!&amp;1M"</f>
        <v>#REF!</v>
      </c>
      <c r="BC97" t="e">
        <f>'Global IMACD Form'!101:101-"$Cm=!&amp;1N"</f>
        <v>#VALUE!</v>
      </c>
      <c r="BD97" t="e">
        <f>'Global IMACD Form'!#REF!-"$Cm=!&amp;1O"</f>
        <v>#REF!</v>
      </c>
      <c r="BE97" t="e">
        <f>'Global IMACD Form'!#REF!-"$Cm=!&amp;1P"</f>
        <v>#REF!</v>
      </c>
      <c r="BF97" t="e">
        <f>'Global IMACD Form'!#REF!-"$Cm=!&amp;1Q"</f>
        <v>#REF!</v>
      </c>
      <c r="BG97" t="e">
        <f>'Global IMACD Form'!#REF!-"$Cm=!&amp;1R"</f>
        <v>#REF!</v>
      </c>
      <c r="BH97" t="e">
        <f>'Global IMACD Form'!#REF!-"$Cm=!&amp;1S"</f>
        <v>#REF!</v>
      </c>
      <c r="BI97" t="e">
        <f>'Global IMACD Form'!#REF!-"$Cm=!&amp;1T"</f>
        <v>#REF!</v>
      </c>
      <c r="BJ97" t="e">
        <f>'Global IMACD Form'!#REF!-"$Cm=!&amp;1U"</f>
        <v>#REF!</v>
      </c>
      <c r="BK97" t="e">
        <f>'Global IMACD Form'!#REF!-"$Cm=!&amp;1V"</f>
        <v>#REF!</v>
      </c>
      <c r="BL97" t="e">
        <f>'Global IMACD Form'!#REF!-"$Cm=!&amp;1W"</f>
        <v>#REF!</v>
      </c>
      <c r="BM97" t="e">
        <f>'Global IMACD Form'!#REF!-"$Cm=!&amp;1X"</f>
        <v>#REF!</v>
      </c>
      <c r="BN97" t="e">
        <f>'Global IMACD Form'!#REF!-"$Cm=!&amp;1Y"</f>
        <v>#REF!</v>
      </c>
      <c r="BO97" t="e">
        <f>'Global IMACD Form'!#REF!-"$Cm=!&amp;1Z"</f>
        <v>#REF!</v>
      </c>
      <c r="BP97" t="e">
        <f>'Global IMACD Form'!#REF!-"$Cm=!&amp;1["</f>
        <v>#REF!</v>
      </c>
      <c r="BQ97" t="e">
        <f>'Global IMACD Form'!#REF!-"$Cm=!&amp;1\"</f>
        <v>#REF!</v>
      </c>
      <c r="BR97" t="e">
        <f>'Global IMACD Form'!#REF!-"$Cm=!&amp;1]"</f>
        <v>#REF!</v>
      </c>
      <c r="BS97" t="e">
        <f>'Global IMACD Form'!#REF!-"$Cm=!&amp;1^"</f>
        <v>#REF!</v>
      </c>
      <c r="BT97" t="e">
        <f>'Global IMACD Form'!#REF!-"$Cm=!&amp;1_"</f>
        <v>#REF!</v>
      </c>
      <c r="BU97" t="e">
        <f>'Global IMACD Form'!#REF!-"$Cm=!&amp;1`"</f>
        <v>#REF!</v>
      </c>
      <c r="BV97" t="e">
        <f>'Global IMACD Form'!#REF!-"$Cm=!&amp;1a"</f>
        <v>#REF!</v>
      </c>
      <c r="BW97" t="e">
        <f>'Global IMACD Form'!#REF!-"$Cm=!&amp;1b"</f>
        <v>#REF!</v>
      </c>
      <c r="BX97" t="e">
        <f>'Global IMACD Form'!#REF!-"$Cm=!&amp;1c"</f>
        <v>#REF!</v>
      </c>
      <c r="BY97" t="e">
        <f>'Global IMACD Form'!#REF!-"$Cm=!&amp;1d"</f>
        <v>#REF!</v>
      </c>
      <c r="BZ97" t="e">
        <f>'Global IMACD Form'!#REF!-"$Cm=!&amp;1e"</f>
        <v>#REF!</v>
      </c>
      <c r="CA97" t="e">
        <f>'Global IMACD Form'!#REF!-"$Cm=!&amp;1f"</f>
        <v>#REF!</v>
      </c>
      <c r="CB97" t="e">
        <f>'Global IMACD Form'!#REF!-"$Cm=!&amp;1g"</f>
        <v>#REF!</v>
      </c>
      <c r="CC97" t="e">
        <f>'Global IMACD Form'!#REF!-"$Cm=!&amp;1h"</f>
        <v>#REF!</v>
      </c>
      <c r="CD97" t="e">
        <f>'Global IMACD Form'!#REF!-"$Cm=!&amp;1i"</f>
        <v>#REF!</v>
      </c>
      <c r="CE97" t="e">
        <f>'Global IMACD Form'!#REF!-"$Cm=!&amp;1j"</f>
        <v>#REF!</v>
      </c>
      <c r="CF97" t="e">
        <f>'Global IMACD Form'!#REF!-"$Cm=!&amp;1k"</f>
        <v>#REF!</v>
      </c>
      <c r="CG97" t="e">
        <f>'Global IMACD Form'!#REF!-"$Cm=!&amp;1l"</f>
        <v>#REF!</v>
      </c>
      <c r="CH97" t="e">
        <f>'Global IMACD Form'!#REF!-"$Cm=!&amp;1m"</f>
        <v>#REF!</v>
      </c>
      <c r="CI97" t="e">
        <f>'Global IMACD Form'!#REF!-"$Cm=!&amp;1n"</f>
        <v>#REF!</v>
      </c>
      <c r="CJ97" t="e">
        <f>'Global IMACD Form'!#REF!-"$Cm=!&amp;1o"</f>
        <v>#REF!</v>
      </c>
      <c r="CK97" t="e">
        <f>'Global IMACD Form'!#REF!-"$Cm=!&amp;1p"</f>
        <v>#REF!</v>
      </c>
      <c r="CL97" t="e">
        <f>'Global IMACD Form'!#REF!-"$Cm=!&amp;1q"</f>
        <v>#REF!</v>
      </c>
      <c r="CM97" t="e">
        <f>'Global IMACD Form'!#REF!-"$Cm=!&amp;1r"</f>
        <v>#REF!</v>
      </c>
      <c r="CN97" t="e">
        <f>'Global IMACD Form'!#REF!-"$Cm=!&amp;1s"</f>
        <v>#REF!</v>
      </c>
      <c r="CO97" t="e">
        <f>'Global IMACD Form'!#REF!-"$Cm=!&amp;1t"</f>
        <v>#REF!</v>
      </c>
      <c r="CP97" t="e">
        <f>'Global IMACD Form'!#REF!-"$Cm=!&amp;1u"</f>
        <v>#REF!</v>
      </c>
      <c r="CQ97" t="e">
        <f>'Global IMACD Form'!#REF!-"$Cm=!&amp;1v"</f>
        <v>#REF!</v>
      </c>
      <c r="CR97" t="e">
        <f>'Global IMACD Form'!#REF!-"$Cm=!&amp;1w"</f>
        <v>#REF!</v>
      </c>
      <c r="CS97" t="e">
        <f>'Global IMACD Form'!#REF!-"$Cm=!&amp;1x"</f>
        <v>#REF!</v>
      </c>
      <c r="CT97" t="e">
        <f>'Global IMACD Form'!#REF!-"$Cm=!&amp;1y"</f>
        <v>#REF!</v>
      </c>
      <c r="CU97" t="e">
        <f>'Global IMACD Form'!#REF!-"$Cm=!&amp;1z"</f>
        <v>#REF!</v>
      </c>
      <c r="CV97" t="e">
        <f>'Global IMACD Form'!#REF!-"$Cm=!&amp;1{"</f>
        <v>#REF!</v>
      </c>
      <c r="CW97" t="e">
        <f>'Global IMACD Form'!#REF!-"$Cm=!&amp;1|"</f>
        <v>#REF!</v>
      </c>
      <c r="CX97" t="e">
        <f>'Global IMACD Form'!#REF!-"$Cm=!&amp;1}"</f>
        <v>#REF!</v>
      </c>
      <c r="CY97" t="e">
        <f>'Global IMACD Form'!#REF!-"$Cm=!&amp;1~"</f>
        <v>#REF!</v>
      </c>
      <c r="CZ97" t="e">
        <f>'Global IMACD Form'!#REF!-"$Cm=!&amp;2#"</f>
        <v>#REF!</v>
      </c>
      <c r="DA97" t="e">
        <f>'Global IMACD Form'!#REF!-"$Cm=!&amp;2$"</f>
        <v>#REF!</v>
      </c>
      <c r="DB97" t="e">
        <f>'Global IMACD Form'!#REF!-"$Cm=!&amp;2%"</f>
        <v>#REF!</v>
      </c>
      <c r="DC97" t="e">
        <f>'Global IMACD Form'!#REF!-"$Cm=!&amp;2&amp;"</f>
        <v>#REF!</v>
      </c>
      <c r="DD97" t="e">
        <f>'Global IMACD Form'!#REF!-"$Cm=!&amp;2'"</f>
        <v>#REF!</v>
      </c>
      <c r="DE97" t="e">
        <f>'Global IMACD Form'!#REF!-"$Cm=!&amp;2("</f>
        <v>#REF!</v>
      </c>
      <c r="DF97" t="e">
        <f>'Global IMACD Form'!#REF!-"$Cm=!&amp;2)"</f>
        <v>#REF!</v>
      </c>
      <c r="DG97" t="e">
        <f>'Global IMACD Form'!#REF!-"$Cm=!&amp;2."</f>
        <v>#REF!</v>
      </c>
      <c r="DH97" t="e">
        <f>'Global IMACD Form'!#REF!-"$Cm=!&amp;2/"</f>
        <v>#REF!</v>
      </c>
      <c r="DI97" t="e">
        <f>'Global IMACD Form'!#REF!-"$Cm=!&amp;20"</f>
        <v>#REF!</v>
      </c>
      <c r="DJ97" t="e">
        <f>'Global IMACD Form'!#REF!-"$Cm=!&amp;21"</f>
        <v>#REF!</v>
      </c>
      <c r="DK97" t="e">
        <f>'Global IMACD Form'!#REF!-"$Cm=!&amp;22"</f>
        <v>#REF!</v>
      </c>
      <c r="DL97" t="e">
        <f>'Global IMACD Form'!#REF!-"$Cm=!&amp;23"</f>
        <v>#REF!</v>
      </c>
      <c r="DM97" t="e">
        <f>'Global IMACD Form'!#REF!-"$Cm=!&amp;24"</f>
        <v>#REF!</v>
      </c>
      <c r="DN97" t="e">
        <f>'Global IMACD Form'!#REF!-"$Cm=!&amp;25"</f>
        <v>#REF!</v>
      </c>
      <c r="DO97" t="e">
        <f>'Global IMACD Form'!#REF!-"$Cm=!&amp;26"</f>
        <v>#REF!</v>
      </c>
      <c r="DP97" t="e">
        <f>'Global IMACD Form'!#REF!-"$Cm=!&amp;27"</f>
        <v>#REF!</v>
      </c>
      <c r="DQ97" t="e">
        <f>'Global IMACD Form'!#REF!-"$Cm=!&amp;28"</f>
        <v>#REF!</v>
      </c>
      <c r="DR97" t="e">
        <f>'Global IMACD Form'!#REF!-"$Cm=!&amp;29"</f>
        <v>#REF!</v>
      </c>
      <c r="DS97" t="e">
        <f>'Global IMACD Form'!#REF!-"$Cm=!&amp;2:"</f>
        <v>#REF!</v>
      </c>
      <c r="DT97" t="e">
        <f>'Global IMACD Form'!#REF!-"$Cm=!&amp;2;"</f>
        <v>#REF!</v>
      </c>
      <c r="DU97" t="e">
        <f>'Global IMACD Form'!#REF!-"$Cm=!&amp;2&lt;"</f>
        <v>#REF!</v>
      </c>
      <c r="DV97" t="e">
        <f>'Global IMACD Form'!#REF!-"$Cm=!&amp;2="</f>
        <v>#REF!</v>
      </c>
      <c r="DW97" t="e">
        <f>'Global IMACD Form'!#REF!-"$Cm=!&amp;2&gt;"</f>
        <v>#REF!</v>
      </c>
      <c r="DX97" t="e">
        <f>'Global IMACD Form'!#REF!-"$Cm=!&amp;2?"</f>
        <v>#REF!</v>
      </c>
      <c r="DY97" t="e">
        <f>'Global IMACD Form'!#REF!-"$Cm=!&amp;2@"</f>
        <v>#REF!</v>
      </c>
      <c r="DZ97" t="e">
        <f>'Global IMACD Form'!#REF!-"$Cm=!&amp;2A"</f>
        <v>#REF!</v>
      </c>
      <c r="EA97" t="e">
        <f>'Global IMACD Form'!#REF!-"$Cm=!&amp;2B"</f>
        <v>#REF!</v>
      </c>
      <c r="EB97" t="e">
        <f>'Global IMACD Form'!#REF!-"$Cm=!&amp;2C"</f>
        <v>#REF!</v>
      </c>
      <c r="EC97" t="e">
        <f>'Global IMACD Form'!#REF!-"$Cm=!&amp;2D"</f>
        <v>#REF!</v>
      </c>
      <c r="ED97" t="e">
        <f>'Global IMACD Form'!#REF!-"$Cm=!&amp;2E"</f>
        <v>#REF!</v>
      </c>
      <c r="EE97" t="e">
        <f>'Global IMACD Form'!#REF!-"$Cm=!&amp;2F"</f>
        <v>#REF!</v>
      </c>
      <c r="EF97" t="e">
        <f>'Global IMACD Form'!#REF!-"$Cm=!&amp;2G"</f>
        <v>#REF!</v>
      </c>
      <c r="EG97" t="e">
        <f>'Global IMACD Form'!#REF!-"$Cm=!&amp;2H"</f>
        <v>#REF!</v>
      </c>
      <c r="EH97" t="e">
        <f>'Global IMACD Form'!#REF!-"$Cm=!&amp;2I"</f>
        <v>#REF!</v>
      </c>
      <c r="EI97" t="e">
        <f>'Global IMACD Form'!#REF!-"$Cm=!&amp;2J"</f>
        <v>#REF!</v>
      </c>
      <c r="EJ97" t="e">
        <f>'Global IMACD Form'!#REF!-"$Cm=!&amp;2K"</f>
        <v>#REF!</v>
      </c>
      <c r="EK97" t="e">
        <f>'Global IMACD Form'!#REF!-"$Cm=!&amp;2L"</f>
        <v>#REF!</v>
      </c>
      <c r="EL97" t="e">
        <f>'Global IMACD Form'!#REF!-"$Cm=!&amp;2M"</f>
        <v>#REF!</v>
      </c>
      <c r="EM97" t="e">
        <f>'Global IMACD Form'!#REF!-"$Cm=!&amp;2N"</f>
        <v>#REF!</v>
      </c>
      <c r="EN97" t="e">
        <f>'Global IMACD Form'!#REF!-"$Cm=!&amp;2O"</f>
        <v>#REF!</v>
      </c>
      <c r="EO97" t="e">
        <f>'Global IMACD Form'!#REF!-"$Cm=!&amp;2P"</f>
        <v>#REF!</v>
      </c>
      <c r="EP97" t="e">
        <f>'Global IMACD Form'!#REF!-"$Cm=!&amp;2Q"</f>
        <v>#REF!</v>
      </c>
      <c r="EQ97" t="e">
        <f>'Global IMACD Form'!#REF!-"$Cm=!&amp;2R"</f>
        <v>#REF!</v>
      </c>
      <c r="ER97" t="e">
        <f>'Global IMACD Form'!#REF!-"$Cm=!&amp;2S"</f>
        <v>#REF!</v>
      </c>
      <c r="ES97" t="e">
        <f>'Global IMACD Form'!#REF!-"$Cm=!&amp;2T"</f>
        <v>#REF!</v>
      </c>
      <c r="ET97" t="e">
        <f>'Global IMACD Form'!#REF!-"$Cm=!&amp;2U"</f>
        <v>#REF!</v>
      </c>
      <c r="EU97" t="e">
        <f>'Global IMACD Form'!#REF!-"$Cm=!&amp;2V"</f>
        <v>#REF!</v>
      </c>
      <c r="EV97" t="e">
        <f>'Global IMACD Form'!#REF!-"$Cm=!&amp;2W"</f>
        <v>#REF!</v>
      </c>
      <c r="EW97" t="e">
        <f>'Global IMACD Form'!#REF!-"$Cm=!&amp;2X"</f>
        <v>#REF!</v>
      </c>
      <c r="EX97" t="e">
        <f>'Global IMACD Form'!#REF!-"$Cm=!&amp;2Y"</f>
        <v>#REF!</v>
      </c>
      <c r="EY97" t="e">
        <f>'Global IMACD Form'!#REF!-"$Cm=!&amp;2Z"</f>
        <v>#REF!</v>
      </c>
      <c r="EZ97" t="e">
        <f>'Global IMACD Form'!#REF!-"$Cm=!&amp;2["</f>
        <v>#REF!</v>
      </c>
      <c r="FA97" t="e">
        <f>'Global IMACD Form'!#REF!-"$Cm=!&amp;2\"</f>
        <v>#REF!</v>
      </c>
      <c r="FB97" t="e">
        <f>'Global IMACD Form'!#REF!-"$Cm=!&amp;2]"</f>
        <v>#REF!</v>
      </c>
      <c r="FC97" t="e">
        <f>'Global IMACD Form'!#REF!-"$Cm=!&amp;2^"</f>
        <v>#REF!</v>
      </c>
      <c r="FD97" t="e">
        <f>'Global IMACD Form'!#REF!-"$Cm=!&amp;2_"</f>
        <v>#REF!</v>
      </c>
      <c r="FE97" t="e">
        <f>'Global IMACD Form'!#REF!-"$Cm=!&amp;2`"</f>
        <v>#REF!</v>
      </c>
      <c r="FF97" t="e">
        <f>'Global IMACD Form'!#REF!-"$Cm=!&amp;2a"</f>
        <v>#REF!</v>
      </c>
      <c r="FG97" t="e">
        <f>'Global IMACD Form'!#REF!-"$Cm=!&amp;2b"</f>
        <v>#REF!</v>
      </c>
      <c r="FH97" t="e">
        <f>'Global IMACD Form'!#REF!-"$Cm=!&amp;2c"</f>
        <v>#REF!</v>
      </c>
      <c r="FI97" t="e">
        <f>'Global IMACD Form'!#REF!-"$Cm=!&amp;2d"</f>
        <v>#REF!</v>
      </c>
      <c r="FJ97" t="e">
        <f>'Global IMACD Form'!#REF!-"$Cm=!&amp;2e"</f>
        <v>#REF!</v>
      </c>
      <c r="FK97" t="e">
        <f>'Global IMACD Form'!#REF!-"$Cm=!&amp;2f"</f>
        <v>#REF!</v>
      </c>
      <c r="FL97" t="e">
        <f>'Global IMACD Form'!#REF!-"$Cm=!&amp;2g"</f>
        <v>#REF!</v>
      </c>
      <c r="FM97" t="e">
        <f>'Global IMACD Form'!#REF!-"$Cm=!&amp;2h"</f>
        <v>#REF!</v>
      </c>
      <c r="FN97" t="e">
        <f>'Global IMACD Form'!#REF!-"$Cm=!&amp;2i"</f>
        <v>#REF!</v>
      </c>
      <c r="FO97" t="e">
        <f>'Global IMACD Form'!#REF!-"$Cm=!&amp;2j"</f>
        <v>#REF!</v>
      </c>
      <c r="FP97" t="e">
        <f>'Global IMACD Form'!#REF!-"$Cm=!&amp;2k"</f>
        <v>#REF!</v>
      </c>
      <c r="FQ97" t="e">
        <f>'Global IMACD Form'!#REF!-"$Cm=!&amp;2l"</f>
        <v>#REF!</v>
      </c>
      <c r="FR97" t="e">
        <f>'Global IMACD Form'!#REF!-"$Cm=!&amp;2m"</f>
        <v>#REF!</v>
      </c>
      <c r="FS97" t="e">
        <f>'Global IMACD Form'!#REF!-"$Cm=!&amp;2n"</f>
        <v>#REF!</v>
      </c>
      <c r="FT97" t="e">
        <f>'Global IMACD Form'!#REF!-"$Cm=!&amp;2o"</f>
        <v>#REF!</v>
      </c>
      <c r="FU97" t="e">
        <f>'Global IMACD Form'!#REF!-"$Cm=!&amp;2p"</f>
        <v>#REF!</v>
      </c>
      <c r="FV97" t="e">
        <f>'Global IMACD Form'!#REF!-"$Cm=!&amp;2q"</f>
        <v>#REF!</v>
      </c>
      <c r="FW97" t="e">
        <f>'Global IMACD Form'!#REF!-"$Cm=!&amp;2r"</f>
        <v>#REF!</v>
      </c>
      <c r="FX97" t="e">
        <f>'Global IMACD Form'!#REF!-"$Cm=!&amp;2s"</f>
        <v>#REF!</v>
      </c>
      <c r="FY97" t="e">
        <f>'Global IMACD Form'!102:102-"$Cm=!&amp;2t"</f>
        <v>#VALUE!</v>
      </c>
      <c r="FZ97" t="e">
        <f>'Global IMACD Form'!103:103-"$Cm=!&amp;2u"</f>
        <v>#VALUE!</v>
      </c>
      <c r="GA97" t="e">
        <f>'Global IMACD Form'!104:104-"$Cm=!&amp;2v"</f>
        <v>#VALUE!</v>
      </c>
      <c r="GB97" t="e">
        <f>'Global IMACD Form'!107:107-"$Cm=!&amp;2w"</f>
        <v>#VALUE!</v>
      </c>
      <c r="GC97" t="e">
        <f>'Global IMACD Form'!136:136-"$Cm=!&amp;2x"</f>
        <v>#VALUE!</v>
      </c>
      <c r="GD97" t="e">
        <f>'Global IMACD Form'!137:137-"$Cm=!&amp;2y"</f>
        <v>#VALUE!</v>
      </c>
      <c r="GE97" t="e">
        <f>'Global IMACD Form'!138:138-"$Cm=!&amp;2z"</f>
        <v>#VALUE!</v>
      </c>
      <c r="GF97" t="e">
        <f>'Global IMACD Form'!139:139-"$Cm=!&amp;2{"</f>
        <v>#VALUE!</v>
      </c>
      <c r="GG97" t="e">
        <f>'Global IMACD Form'!140:140-"$Cm=!&amp;2|"</f>
        <v>#VALUE!</v>
      </c>
      <c r="GH97" t="e">
        <f>'Global IMACD Form'!141:141-"$Cm=!&amp;2}"</f>
        <v>#VALUE!</v>
      </c>
      <c r="GI97" t="e">
        <f>'Global IMACD Form'!142:142-"$Cm=!&amp;2~"</f>
        <v>#VALUE!</v>
      </c>
      <c r="GJ97" t="e">
        <f>'Global IMACD Form'!143:143-"$Cm=!&amp;3#"</f>
        <v>#VALUE!</v>
      </c>
      <c r="GK97" t="e">
        <f>'Global IMACD Form'!144:144-"$Cm=!&amp;3$"</f>
        <v>#VALUE!</v>
      </c>
      <c r="GL97" t="e">
        <f>'Global IMACD Form'!145:145-"$Cm=!&amp;3%"</f>
        <v>#VALUE!</v>
      </c>
      <c r="GM97" t="e">
        <f>'Global IMACD Form'!146:146-"$Cm=!&amp;3&amp;"</f>
        <v>#VALUE!</v>
      </c>
      <c r="GN97" t="e">
        <f>'Global IMACD Form'!147:147-"$Cm=!&amp;3'"</f>
        <v>#VALUE!</v>
      </c>
      <c r="GO97" t="e">
        <f>'Global IMACD Form'!148:148-"$Cm=!&amp;3("</f>
        <v>#VALUE!</v>
      </c>
      <c r="GP97" t="e">
        <f>'Global IMACD Form'!149:149-"$Cm=!&amp;3)"</f>
        <v>#VALUE!</v>
      </c>
      <c r="GQ97" t="e">
        <f>'Global IMACD Form'!150:150-"$Cm=!&amp;3."</f>
        <v>#VALUE!</v>
      </c>
      <c r="GR97" t="e">
        <f>'Global IMACD Form'!151:151-"$Cm=!&amp;3/"</f>
        <v>#VALUE!</v>
      </c>
      <c r="GS97" t="e">
        <f>'Global IMACD Form'!152:152-"$Cm=!&amp;30"</f>
        <v>#VALUE!</v>
      </c>
      <c r="GT97" t="e">
        <f>'Global IMACD Form'!153:153-"$Cm=!&amp;31"</f>
        <v>#VALUE!</v>
      </c>
      <c r="GU97" t="e">
        <f>'Global IMACD Form'!154:154-"$Cm=!&amp;32"</f>
        <v>#VALUE!</v>
      </c>
      <c r="GV97" t="e">
        <f>_xlfn.SINGLE('Global IMACD Form'!#REF!)-"$Cm=!&amp;33"</f>
        <v>#REF!</v>
      </c>
      <c r="GW97" t="e">
        <f>_xlfn.SINGLE('Global IMACD Form'!#REF!)-"$Cm=!&amp;34"</f>
        <v>#REF!</v>
      </c>
      <c r="GX97" t="e">
        <f>_xlfn.SINGLE('Global IMACD Form'!#REF!)-"$Cm=!&amp;35"</f>
        <v>#REF!</v>
      </c>
      <c r="GY97" t="e">
        <f>_xlfn.SINGLE('Global IMACD Form'!#REF!)-"$Cm=!&amp;36"</f>
        <v>#REF!</v>
      </c>
      <c r="GZ97" t="e">
        <f>_xlfn.SINGLE('Global IMACD Form'!#REF!)-"$Cm=!&amp;37"</f>
        <v>#REF!</v>
      </c>
      <c r="HA97" t="e">
        <f>_xlfn.SINGLE('Global IMACD Form'!#REF!)-"$Cm=!&amp;38"</f>
        <v>#REF!</v>
      </c>
      <c r="HB97" t="e">
        <f>_xlfn.SINGLE('Global IMACD Form'!#REF!)-"$Cm=!&amp;39"</f>
        <v>#REF!</v>
      </c>
      <c r="HC97" t="e">
        <f>_xlfn.SINGLE('Global IMACD Form'!#REF!)-"$Cm=!&amp;3:"</f>
        <v>#REF!</v>
      </c>
      <c r="HD97" t="e">
        <f>_xlfn.SINGLE('Global IMACD Form'!#REF!)-"$Cm=!&amp;3;"</f>
        <v>#REF!</v>
      </c>
      <c r="HE97" t="e">
        <f>_xlfn.SINGLE('Global IMACD Form'!#REF!)-"$Cm=!&amp;3&lt;"</f>
        <v>#REF!</v>
      </c>
      <c r="HF97" t="e">
        <f>_xlfn.SINGLE('Global IMACD Form'!#REF!)-"$Cm=!&amp;3="</f>
        <v>#REF!</v>
      </c>
      <c r="HG97" t="e">
        <f>_xlfn.SINGLE('Global IMACD Form'!#REF!)-"$Cm=!&amp;3&gt;"</f>
        <v>#REF!</v>
      </c>
      <c r="HH97" t="e">
        <f>_xlfn.SINGLE('Global IMACD Form'!#REF!)-"$Cm=!&amp;3?"</f>
        <v>#REF!</v>
      </c>
      <c r="HI97" t="e">
        <f>_xlfn.SINGLE('Global IMACD Form'!#REF!)-"$Cm=!&amp;3@"</f>
        <v>#REF!</v>
      </c>
      <c r="HJ97" t="e">
        <f>_xlfn.SINGLE('Global IMACD Form'!#REF!)-"$Cm=!&amp;3A"</f>
        <v>#REF!</v>
      </c>
      <c r="HK97" t="e">
        <f>_xlfn.SINGLE('Global IMACD Form'!#REF!)-"$Cm=!&amp;3B"</f>
        <v>#REF!</v>
      </c>
      <c r="HL97" t="e">
        <f>_xlfn.SINGLE('Global IMACD Form'!#REF!)-"$Cm=!&amp;3C"</f>
        <v>#REF!</v>
      </c>
      <c r="HM97" t="e">
        <f>_xlfn.SINGLE('Global IMACD Form'!#REF!)-"$Cm=!&amp;3D"</f>
        <v>#REF!</v>
      </c>
      <c r="HN97" t="e">
        <f>'Global IMACD Form'!155:155-"$Cm=!&amp;3E"</f>
        <v>#VALUE!</v>
      </c>
      <c r="HO97" t="e">
        <f>'Global IMACD Form'!156:156-"$Cm=!&amp;3F"</f>
        <v>#VALUE!</v>
      </c>
      <c r="HP97" t="e">
        <f>'Global IMACD Form'!157:157-"$Cm=!&amp;3G"</f>
        <v>#VALUE!</v>
      </c>
      <c r="HQ97" t="e">
        <f>'Global IMACD Form'!158:158-"$Cm=!&amp;3H"</f>
        <v>#VALUE!</v>
      </c>
      <c r="HR97" t="e">
        <f>'Global IMACD Form'!159:159-"$Cm=!&amp;3I"</f>
        <v>#VALUE!</v>
      </c>
      <c r="HS97" t="e">
        <f>'Global IMACD Form'!160:160-"$Cm=!&amp;3J"</f>
        <v>#VALUE!</v>
      </c>
      <c r="HT97" t="e">
        <f>'Global IMACD Form'!161:161-"$Cm=!&amp;3K"</f>
        <v>#VALUE!</v>
      </c>
      <c r="HU97" t="e">
        <f>'Global IMACD Form'!162:162-"$Cm=!&amp;3L"</f>
        <v>#VALUE!</v>
      </c>
      <c r="HV97" t="e">
        <f>'Global IMACD Form'!163:163-"$Cm=!&amp;3M"</f>
        <v>#VALUE!</v>
      </c>
      <c r="HW97" t="e">
        <f>'Global IMACD Form'!164:164-"$Cm=!&amp;3N"</f>
        <v>#VALUE!</v>
      </c>
      <c r="HX97" t="e">
        <f>'Global IMACD Form'!165:165-"$Cm=!&amp;3O"</f>
        <v>#VALUE!</v>
      </c>
      <c r="HY97" t="e">
        <f>'Global IMACD Form'!166:166-"$Cm=!&amp;3P"</f>
        <v>#VALUE!</v>
      </c>
      <c r="HZ97" t="e">
        <f>'Global IMACD Form'!167:167-"$Cm=!&amp;3Q"</f>
        <v>#VALUE!</v>
      </c>
      <c r="IA97" t="e">
        <f>'Global IMACD Form'!168:168-"$Cm=!&amp;3R"</f>
        <v>#VALUE!</v>
      </c>
      <c r="IB97" t="e">
        <f>'Global IMACD Form'!169:169-"$Cm=!&amp;3S"</f>
        <v>#VALUE!</v>
      </c>
      <c r="IC97" t="e">
        <f>'Global IMACD Form'!170:170-"$Cm=!&amp;3T"</f>
        <v>#VALUE!</v>
      </c>
      <c r="ID97" t="e">
        <f>'Global IMACD Form'!171:171-"$Cm=!&amp;3U"</f>
        <v>#VALUE!</v>
      </c>
      <c r="IE97" t="e">
        <f>'Global IMACD Form'!172:172-"$Cm=!&amp;3V"</f>
        <v>#VALUE!</v>
      </c>
      <c r="IF97" t="e">
        <f>'Global IMACD Form'!173:173-"$Cm=!&amp;3W"</f>
        <v>#VALUE!</v>
      </c>
      <c r="IG97" t="e">
        <f>'Global IMACD Form'!174:174-"$Cm=!&amp;3X"</f>
        <v>#VALUE!</v>
      </c>
      <c r="IH97" t="e">
        <f>'Global IMACD Form'!175:175-"$Cm=!&amp;3Y"</f>
        <v>#VALUE!</v>
      </c>
      <c r="II97" t="e">
        <f>'Global IMACD Form'!176:176-"$Cm=!&amp;3Z"</f>
        <v>#VALUE!</v>
      </c>
      <c r="IJ97" t="e">
        <f>'Global IMACD Form'!177:177-"$Cm=!&amp;3["</f>
        <v>#VALUE!</v>
      </c>
      <c r="IK97" t="e">
        <f>'Global IMACD Form'!178:178-"$Cm=!&amp;3\"</f>
        <v>#VALUE!</v>
      </c>
      <c r="IL97" t="e">
        <f>'Global IMACD Form'!179:179-"$Cm=!&amp;3]"</f>
        <v>#VALUE!</v>
      </c>
      <c r="IM97" t="e">
        <f>'Global IMACD Form'!180:180-"$Cm=!&amp;3^"</f>
        <v>#VALUE!</v>
      </c>
      <c r="IN97" t="e">
        <f>'Global IMACD Form'!181:181-"$Cm=!&amp;3_"</f>
        <v>#VALUE!</v>
      </c>
      <c r="IO97" t="e">
        <f>'Global IMACD Form'!182:182-"$Cm=!&amp;3`"</f>
        <v>#VALUE!</v>
      </c>
      <c r="IP97" t="e">
        <f>'Global IMACD Form'!183:183-"$Cm=!&amp;3a"</f>
        <v>#VALUE!</v>
      </c>
      <c r="IQ97" t="e">
        <f>'Global IMACD Form'!184:184-"$Cm=!&amp;3b"</f>
        <v>#VALUE!</v>
      </c>
      <c r="IR97" t="e">
        <f>'Global IMACD Form'!185:185-"$Cm=!&amp;3c"</f>
        <v>#VALUE!</v>
      </c>
      <c r="IS97" t="e">
        <f>'Global IMACD Form'!186:186-"$Cm=!&amp;3d"</f>
        <v>#VALUE!</v>
      </c>
      <c r="IT97" t="e">
        <f>'Global IMACD Form'!187:187-"$Cm=!&amp;3e"</f>
        <v>#VALUE!</v>
      </c>
      <c r="IU97" t="e">
        <f>'Global IMACD Form'!188:188-"$Cm=!&amp;3f"</f>
        <v>#VALUE!</v>
      </c>
      <c r="IV97" t="e">
        <f>'Global IMACD Form'!189:189-"$Cm=!&amp;3g"</f>
        <v>#VALUE!</v>
      </c>
    </row>
    <row r="98" spans="6:256">
      <c r="F98" t="e">
        <f>'Global IMACD Form'!190:190-"$Cm=!&amp;3h"</f>
        <v>#VALUE!</v>
      </c>
      <c r="G98" t="e">
        <f>'Global IMACD Form'!191:191-"$Cm=!&amp;3i"</f>
        <v>#VALUE!</v>
      </c>
      <c r="H98" t="e">
        <f>'Global IMACD Form'!192:192-"$Cm=!&amp;3j"</f>
        <v>#VALUE!</v>
      </c>
      <c r="I98" t="e">
        <f>'Global IMACD Form'!193:193-"$Cm=!&amp;3k"</f>
        <v>#VALUE!</v>
      </c>
      <c r="J98" t="e">
        <f>'Global IMACD Form'!194:194-"$Cm=!&amp;3l"</f>
        <v>#VALUE!</v>
      </c>
      <c r="K98" t="e">
        <f>'Global IMACD Form'!195:195-"$Cm=!&amp;3m"</f>
        <v>#VALUE!</v>
      </c>
      <c r="L98" t="e">
        <f>'Global IMACD Form'!196:196-"$Cm=!&amp;3n"</f>
        <v>#VALUE!</v>
      </c>
      <c r="M98" t="e">
        <f>'Global IMACD Form'!197:197-"$Cm=!&amp;3o"</f>
        <v>#VALUE!</v>
      </c>
      <c r="N98" t="e">
        <f>'Global IMACD Form'!198:198-"$Cm=!&amp;3p"</f>
        <v>#VALUE!</v>
      </c>
      <c r="O98" t="e">
        <f>'Global IMACD Form'!199:199-"$Cm=!&amp;3q"</f>
        <v>#VALUE!</v>
      </c>
      <c r="P98" t="e">
        <f>'Global IMACD Form'!200:200-"$Cm=!&amp;3r"</f>
        <v>#VALUE!</v>
      </c>
      <c r="Q98" t="e">
        <f>'Global IMACD Form'!201:201-"$Cm=!&amp;3s"</f>
        <v>#VALUE!</v>
      </c>
      <c r="R98" t="e">
        <f>'Global IMACD Form'!202:202-"$Cm=!&amp;3t"</f>
        <v>#VALUE!</v>
      </c>
      <c r="S98" t="e">
        <f>'Global IMACD Form'!203:203-"$Cm=!&amp;3u"</f>
        <v>#VALUE!</v>
      </c>
      <c r="T98" t="e">
        <f>'Global IMACD Form'!204:204-"$Cm=!&amp;3v"</f>
        <v>#VALUE!</v>
      </c>
      <c r="U98" t="e">
        <f>'Global IMACD Form'!205:205-"$Cm=!&amp;3w"</f>
        <v>#VALUE!</v>
      </c>
      <c r="V98" t="e">
        <f>'Global IMACD Form'!206:206-"$Cm=!&amp;3x"</f>
        <v>#VALUE!</v>
      </c>
      <c r="W98" t="e">
        <f>'Global IMACD Form'!207:207-"$Cm=!&amp;3y"</f>
        <v>#VALUE!</v>
      </c>
      <c r="X98" t="e">
        <f>'Global IMACD Form'!208:208-"$Cm=!&amp;3z"</f>
        <v>#VALUE!</v>
      </c>
      <c r="Y98" t="e">
        <f>'Global IMACD Form'!209:209-"$Cm=!&amp;3{"</f>
        <v>#VALUE!</v>
      </c>
      <c r="Z98" t="e">
        <f>'Global IMACD Form'!210:210-"$Cm=!&amp;3|"</f>
        <v>#VALUE!</v>
      </c>
      <c r="AA98" t="e">
        <f>'Global IMACD Form'!211:211-"$Cm=!&amp;3}"</f>
        <v>#VALUE!</v>
      </c>
      <c r="AB98" t="e">
        <f>'Global IMACD Form'!212:212-"$Cm=!&amp;3~"</f>
        <v>#VALUE!</v>
      </c>
      <c r="AC98" t="e">
        <f>'Global IMACD Form'!213:213-"$Cm=!&amp;4#"</f>
        <v>#VALUE!</v>
      </c>
      <c r="AD98" t="e">
        <f>'Global IMACD Form'!214:214-"$Cm=!&amp;4$"</f>
        <v>#VALUE!</v>
      </c>
      <c r="AE98" t="e">
        <f>'Global IMACD Form'!215:215-"$Cm=!&amp;4%"</f>
        <v>#VALUE!</v>
      </c>
      <c r="AF98" t="e">
        <f>'Global IMACD Form'!216:216-"$Cm=!&amp;4&amp;"</f>
        <v>#VALUE!</v>
      </c>
      <c r="AG98" t="e">
        <f>'Global IMACD Form'!217:217-"$Cm=!&amp;4'"</f>
        <v>#VALUE!</v>
      </c>
      <c r="AH98" t="e">
        <f>'Global IMACD Form'!218:218-"$Cm=!&amp;4("</f>
        <v>#VALUE!</v>
      </c>
      <c r="AI98" t="e">
        <f>'Global IMACD Form'!219:219-"$Cm=!&amp;4)"</f>
        <v>#VALUE!</v>
      </c>
      <c r="AJ98" t="e">
        <f>'Global IMACD Form'!220:220-"$Cm=!&amp;4."</f>
        <v>#VALUE!</v>
      </c>
      <c r="AK98" t="e">
        <f>'Global IMACD Form'!221:221-"$Cm=!&amp;4/"</f>
        <v>#VALUE!</v>
      </c>
      <c r="AL98" t="e">
        <f>'Global IMACD Form'!222:222-"$Cm=!&amp;40"</f>
        <v>#VALUE!</v>
      </c>
      <c r="AM98" t="e">
        <f>'Global IMACD Form'!223:223-"$Cm=!&amp;41"</f>
        <v>#VALUE!</v>
      </c>
      <c r="AN98" t="e">
        <f>'Global IMACD Form'!224:224-"$Cm=!&amp;42"</f>
        <v>#VALUE!</v>
      </c>
      <c r="AO98" t="e">
        <f>'Global IMACD Form'!225:225-"$Cm=!&amp;43"</f>
        <v>#VALUE!</v>
      </c>
      <c r="AP98" t="e">
        <f>'Global IMACD Form'!226:226-"$Cm=!&amp;44"</f>
        <v>#VALUE!</v>
      </c>
      <c r="AQ98" t="e">
        <f>'Global IMACD Form'!227:227-"$Cm=!&amp;45"</f>
        <v>#VALUE!</v>
      </c>
      <c r="AR98" t="e">
        <f>'Global IMACD Form'!228:228-"$Cm=!&amp;46"</f>
        <v>#VALUE!</v>
      </c>
      <c r="AS98" t="e">
        <f>'Global IMACD Form'!229:229-"$Cm=!&amp;47"</f>
        <v>#VALUE!</v>
      </c>
      <c r="AT98" t="e">
        <f>'Global IMACD Form'!230:230-"$Cm=!&amp;48"</f>
        <v>#VALUE!</v>
      </c>
      <c r="AU98" t="e">
        <f>'Global IMACD Form'!231:231-"$Cm=!&amp;49"</f>
        <v>#VALUE!</v>
      </c>
      <c r="AV98" t="e">
        <f>'Global IMACD Form'!232:232-"$Cm=!&amp;4:"</f>
        <v>#VALUE!</v>
      </c>
      <c r="AW98" t="e">
        <f>'Global IMACD Form'!233:233-"$Cm=!&amp;4;"</f>
        <v>#VALUE!</v>
      </c>
      <c r="AX98" t="e">
        <f>'Global IMACD Form'!234:234-"$Cm=!&amp;4&lt;"</f>
        <v>#VALUE!</v>
      </c>
      <c r="AY98" t="e">
        <f>'Global IMACD Form'!235:235-"$Cm=!&amp;4="</f>
        <v>#VALUE!</v>
      </c>
      <c r="AZ98" t="e">
        <f>'Global IMACD Form'!236:236-"$Cm=!&amp;4&gt;"</f>
        <v>#VALUE!</v>
      </c>
      <c r="BA98" t="e">
        <f>'Global IMACD Form'!237:237-"$Cm=!&amp;4?"</f>
        <v>#VALUE!</v>
      </c>
      <c r="BB98" t="e">
        <f>'Global IMACD Form'!238:238-"$Cm=!&amp;4@"</f>
        <v>#VALUE!</v>
      </c>
      <c r="BC98" t="e">
        <f>'Global IMACD Form'!239:239-"$Cm=!&amp;4A"</f>
        <v>#VALUE!</v>
      </c>
      <c r="BD98" t="e">
        <f>'Global IMACD Form'!240:240-"$Cm=!&amp;4B"</f>
        <v>#VALUE!</v>
      </c>
      <c r="BE98" t="e">
        <f>'Global IMACD Form'!241:241-"$Cm=!&amp;4C"</f>
        <v>#VALUE!</v>
      </c>
      <c r="BF98" t="e">
        <f>'Global IMACD Form'!242:242-"$Cm=!&amp;4D"</f>
        <v>#VALUE!</v>
      </c>
      <c r="BG98" t="e">
        <f>'Global IMACD Form'!243:243-"$Cm=!&amp;4E"</f>
        <v>#VALUE!</v>
      </c>
      <c r="BH98" t="e">
        <f>'Global IMACD Form'!244:244-"$Cm=!&amp;4F"</f>
        <v>#VALUE!</v>
      </c>
      <c r="BI98" t="e">
        <f>'Global IMACD Form'!245:245-"$Cm=!&amp;4G"</f>
        <v>#VALUE!</v>
      </c>
      <c r="BJ98" t="e">
        <f>'Global IMACD Form'!246:246-"$Cm=!&amp;4H"</f>
        <v>#VALUE!</v>
      </c>
      <c r="BK98" t="e">
        <f>'Global IMACD Form'!247:247-"$Cm=!&amp;4I"</f>
        <v>#VALUE!</v>
      </c>
      <c r="BL98" t="e">
        <f>'Global IMACD Form'!248:248-"$Cm=!&amp;4J"</f>
        <v>#VALUE!</v>
      </c>
      <c r="BM98" t="e">
        <f>'Global IMACD Form'!249:249-"$Cm=!&amp;4K"</f>
        <v>#VALUE!</v>
      </c>
      <c r="BN98" t="e">
        <f>'Global IMACD Form'!250:250-"$Cm=!&amp;4L"</f>
        <v>#VALUE!</v>
      </c>
      <c r="BO98" t="e">
        <f>'Global IMACD Form'!251:251-"$Cm=!&amp;4M"</f>
        <v>#VALUE!</v>
      </c>
      <c r="BP98" t="e">
        <f>'Global IMACD Form'!252:252-"$Cm=!&amp;4N"</f>
        <v>#VALUE!</v>
      </c>
      <c r="BQ98" t="e">
        <f>'Global IMACD Form'!253:253-"$Cm=!&amp;4O"</f>
        <v>#VALUE!</v>
      </c>
      <c r="BR98" t="e">
        <f>'Global IMACD Form'!254:254-"$Cm=!&amp;4P"</f>
        <v>#VALUE!</v>
      </c>
      <c r="BS98" t="e">
        <f>'Global IMACD Form'!255:255-"$Cm=!&amp;4Q"</f>
        <v>#VALUE!</v>
      </c>
      <c r="BT98" t="e">
        <f>'Global IMACD Form'!256:256-"$Cm=!&amp;4R"</f>
        <v>#VALUE!</v>
      </c>
      <c r="BU98" t="e">
        <f>'Global IMACD Form'!257:257-"$Cm=!&amp;4S"</f>
        <v>#VALUE!</v>
      </c>
      <c r="BV98" t="e">
        <f>'Global IMACD Form'!258:258-"$Cm=!&amp;4T"</f>
        <v>#VALUE!</v>
      </c>
      <c r="BW98" t="e">
        <f>'Global IMACD Form'!259:259-"$Cm=!&amp;4U"</f>
        <v>#VALUE!</v>
      </c>
      <c r="BX98" t="e">
        <f>'Global IMACD Form'!260:260-"$Cm=!&amp;4V"</f>
        <v>#VALUE!</v>
      </c>
      <c r="BY98" t="e">
        <f>'Global IMACD Form'!261:261-"$Cm=!&amp;4W"</f>
        <v>#VALUE!</v>
      </c>
      <c r="BZ98" t="e">
        <f>'Global IMACD Form'!262:262-"$Cm=!&amp;4X"</f>
        <v>#VALUE!</v>
      </c>
      <c r="CA98" t="e">
        <f>'Global IMACD Form'!263:263-"$Cm=!&amp;4Y"</f>
        <v>#VALUE!</v>
      </c>
      <c r="CB98" t="e">
        <f>'Global IMACD Form'!264:264-"$Cm=!&amp;4Z"</f>
        <v>#VALUE!</v>
      </c>
      <c r="CC98" t="e">
        <f>'Global IMACD Form'!265:265-"$Cm=!&amp;4["</f>
        <v>#VALUE!</v>
      </c>
      <c r="CD98" t="e">
        <f>'Global IMACD Form'!266:266-"$Cm=!&amp;4\"</f>
        <v>#VALUE!</v>
      </c>
      <c r="CE98" t="e">
        <f>'Global IMACD Form'!267:267-"$Cm=!&amp;4]"</f>
        <v>#VALUE!</v>
      </c>
      <c r="CF98" t="e">
        <f>'Global IMACD Form'!268:268-"$Cm=!&amp;4^"</f>
        <v>#VALUE!</v>
      </c>
      <c r="CG98" t="e">
        <f>'Global IMACD Form'!269:269-"$Cm=!&amp;4_"</f>
        <v>#VALUE!</v>
      </c>
      <c r="CH98" t="e">
        <f>'Global IMACD Form'!270:270-"$Cm=!&amp;4`"</f>
        <v>#VALUE!</v>
      </c>
      <c r="CI98" t="e">
        <f>'Global IMACD Form'!271:271-"$Cm=!&amp;4a"</f>
        <v>#VALUE!</v>
      </c>
      <c r="CJ98" t="e">
        <f>'Global IMACD Form'!272:272-"$Cm=!&amp;4b"</f>
        <v>#VALUE!</v>
      </c>
      <c r="CK98" t="e">
        <f>'Global IMACD Form'!273:273-"$Cm=!&amp;4c"</f>
        <v>#VALUE!</v>
      </c>
      <c r="CL98" t="e">
        <f>'Global IMACD Form'!274:274-"$Cm=!&amp;4d"</f>
        <v>#VALUE!</v>
      </c>
      <c r="CM98" t="e">
        <f>'Global IMACD Form'!275:275-"$Cm=!&amp;4e"</f>
        <v>#VALUE!</v>
      </c>
      <c r="CN98" t="e">
        <f>'Global IMACD Form'!276:276-"$Cm=!&amp;4f"</f>
        <v>#VALUE!</v>
      </c>
      <c r="CO98" t="e">
        <f>'Global IMACD Form'!277:277-"$Cm=!&amp;4g"</f>
        <v>#VALUE!</v>
      </c>
      <c r="CP98" t="e">
        <f>'Global IMACD Form'!278:278-"$Cm=!&amp;4h"</f>
        <v>#VALUE!</v>
      </c>
      <c r="CQ98" t="e">
        <f>'Global IMACD Form'!279:279-"$Cm=!&amp;4i"</f>
        <v>#VALUE!</v>
      </c>
      <c r="CR98" t="e">
        <f>'Global IMACD Form'!280:280-"$Cm=!&amp;4j"</f>
        <v>#VALUE!</v>
      </c>
      <c r="CS98" t="e">
        <f>'Global IMACD Form'!281:281-"$Cm=!&amp;4k"</f>
        <v>#VALUE!</v>
      </c>
      <c r="CT98" t="e">
        <f>'Global IMACD Form'!282:282-"$Cm=!&amp;4l"</f>
        <v>#VALUE!</v>
      </c>
      <c r="CU98" t="e">
        <f>'Global IMACD Form'!283:283-"$Cm=!&amp;4m"</f>
        <v>#VALUE!</v>
      </c>
      <c r="CV98" t="e">
        <f>'Global IMACD Form'!284:284-"$Cm=!&amp;4n"</f>
        <v>#VALUE!</v>
      </c>
      <c r="CW98" t="e">
        <f>'Global IMACD Form'!285:285-"$Cm=!&amp;4o"</f>
        <v>#VALUE!</v>
      </c>
      <c r="CX98" t="e">
        <f>'Global IMACD Form'!286:286-"$Cm=!&amp;4p"</f>
        <v>#VALUE!</v>
      </c>
      <c r="CY98" t="e">
        <f>'Global IMACD Form'!287:287-"$Cm=!&amp;4q"</f>
        <v>#VALUE!</v>
      </c>
      <c r="CZ98" t="e">
        <f>'Global IMACD Form'!288:288-"$Cm=!&amp;4r"</f>
        <v>#VALUE!</v>
      </c>
      <c r="DA98" t="e">
        <f>'Global IMACD Form'!289:289-"$Cm=!&amp;4s"</f>
        <v>#VALUE!</v>
      </c>
      <c r="DB98" t="e">
        <f>'Global IMACD Form'!290:290-"$Cm=!&amp;4t"</f>
        <v>#VALUE!</v>
      </c>
      <c r="DC98" t="e">
        <f>'Global IMACD Form'!291:291-"$Cm=!&amp;4u"</f>
        <v>#VALUE!</v>
      </c>
      <c r="DD98" t="e">
        <f>'Global IMACD Form'!292:292-"$Cm=!&amp;4v"</f>
        <v>#VALUE!</v>
      </c>
      <c r="DE98" t="e">
        <f>'Global IMACD Form'!293:293-"$Cm=!&amp;4w"</f>
        <v>#VALUE!</v>
      </c>
      <c r="DF98" t="e">
        <f>'Global IMACD Form'!294:294-"$Cm=!&amp;4x"</f>
        <v>#VALUE!</v>
      </c>
      <c r="DG98" t="e">
        <f>'Global IMACD Form'!295:295-"$Cm=!&amp;4y"</f>
        <v>#VALUE!</v>
      </c>
      <c r="DH98" t="e">
        <f>'Global IMACD Form'!296:296-"$Cm=!&amp;4z"</f>
        <v>#VALUE!</v>
      </c>
      <c r="DI98" t="e">
        <f>'Global IMACD Form'!297:297-"$Cm=!&amp;4{"</f>
        <v>#VALUE!</v>
      </c>
      <c r="DJ98" t="e">
        <f>'Global IMACD Form'!298:298-"$Cm=!&amp;4|"</f>
        <v>#VALUE!</v>
      </c>
      <c r="DK98" t="e">
        <f>'Global IMACD Form'!299:299-"$Cm=!&amp;4}"</f>
        <v>#VALUE!</v>
      </c>
      <c r="DL98" t="e">
        <f>'Global IMACD Form'!300:300-"$Cm=!&amp;4~"</f>
        <v>#VALUE!</v>
      </c>
      <c r="DM98" t="e">
        <f>'Global IMACD Form'!301:301-"$Cm=!&amp;5#"</f>
        <v>#VALUE!</v>
      </c>
      <c r="DN98" t="e">
        <f>'Global IMACD Form'!302:302-"$Cm=!&amp;5$"</f>
        <v>#VALUE!</v>
      </c>
      <c r="DO98" t="e">
        <f>'Global IMACD Form'!303:303-"$Cm=!&amp;5%"</f>
        <v>#VALUE!</v>
      </c>
      <c r="DP98" t="e">
        <f>'Global IMACD Form'!304:304-"$Cm=!&amp;5&amp;"</f>
        <v>#VALUE!</v>
      </c>
      <c r="DQ98" t="e">
        <f>'Global IMACD Form'!305:305-"$Cm=!&amp;5'"</f>
        <v>#VALUE!</v>
      </c>
      <c r="DR98" t="e">
        <f>'Global IMACD Form'!306:306-"$Cm=!&amp;5("</f>
        <v>#VALUE!</v>
      </c>
      <c r="DS98" t="e">
        <f>'Global IMACD Form'!307:307-"$Cm=!&amp;5)"</f>
        <v>#VALUE!</v>
      </c>
      <c r="DT98" t="e">
        <f>'Global IMACD Form'!308:308-"$Cm=!&amp;5."</f>
        <v>#VALUE!</v>
      </c>
      <c r="DU98" t="e">
        <f>'Global IMACD Form'!309:309-"$Cm=!&amp;5/"</f>
        <v>#VALUE!</v>
      </c>
      <c r="DV98" t="e">
        <f>'Global IMACD Form'!310:310-"$Cm=!&amp;50"</f>
        <v>#VALUE!</v>
      </c>
      <c r="DW98" t="e">
        <f>'Global IMACD Form'!311:311-"$Cm=!&amp;51"</f>
        <v>#VALUE!</v>
      </c>
      <c r="DX98" t="e">
        <f>'Global IMACD Form'!312:312-"$Cm=!&amp;52"</f>
        <v>#VALUE!</v>
      </c>
      <c r="DY98" t="e">
        <f>'Global IMACD Form'!A1+"$Cm=!&amp;53"</f>
        <v>#VALUE!</v>
      </c>
      <c r="DZ98" t="e">
        <f>'Global IMACD Form'!B1+"$Cm=!&amp;54"</f>
        <v>#VALUE!</v>
      </c>
      <c r="EA98" t="e">
        <f>'Global IMACD Form'!C1+"$Cm=!&amp;55"</f>
        <v>#VALUE!</v>
      </c>
      <c r="EB98" t="e">
        <f>'Global IMACD Form'!D1+"$Cm=!&amp;56"</f>
        <v>#VALUE!</v>
      </c>
      <c r="EC98" t="e">
        <f>'Global IMACD Form'!E1+"$Cm=!&amp;57"</f>
        <v>#VALUE!</v>
      </c>
      <c r="ED98" t="e">
        <f>'Global IMACD Form'!F1+"$Cm=!&amp;58"</f>
        <v>#VALUE!</v>
      </c>
      <c r="EE98" t="e">
        <f>'Global IMACD Form'!G1+"$Cm=!&amp;59"</f>
        <v>#VALUE!</v>
      </c>
      <c r="EF98" t="e">
        <f>'Global IMACD Form'!#REF!+"$Cm=!&amp;5:"</f>
        <v>#REF!</v>
      </c>
      <c r="EG98" t="e">
        <f>'Global IMACD Form'!#REF!+"$Cm=!&amp;5;"</f>
        <v>#REF!</v>
      </c>
      <c r="EH98" t="e">
        <f>'Global IMACD Form'!#REF!+"$Cm=!&amp;5&lt;"</f>
        <v>#REF!</v>
      </c>
      <c r="EI98" t="e">
        <f>'Global IMACD Form'!#REF!+"$Cm=!&amp;5="</f>
        <v>#REF!</v>
      </c>
      <c r="EJ98" t="e">
        <f>'Global IMACD Form'!#REF!+"$Cm=!&amp;5&gt;"</f>
        <v>#REF!</v>
      </c>
      <c r="EK98" t="e">
        <f>'Global IMACD Form'!#REF!+"$Cm=!&amp;5?"</f>
        <v>#REF!</v>
      </c>
      <c r="EL98" t="e">
        <f>'Global IMACD Form'!#REF!+"$Cm=!&amp;5@"</f>
        <v>#REF!</v>
      </c>
      <c r="EM98" t="e">
        <f>'Global IMACD Form'!#REF!+"$Cm=!&amp;5A"</f>
        <v>#REF!</v>
      </c>
      <c r="EN98" t="e">
        <f>'Global IMACD Form'!#REF!+"$Cm=!&amp;5B"</f>
        <v>#REF!</v>
      </c>
      <c r="EO98" t="e">
        <f>'Global IMACD Form'!#REF!+"$Cm=!&amp;5C"</f>
        <v>#REF!</v>
      </c>
      <c r="EP98" t="e">
        <f>'Global IMACD Form'!#REF!+"$Cm=!&amp;5D"</f>
        <v>#REF!</v>
      </c>
      <c r="EQ98" t="e">
        <f>'Global IMACD Form'!#REF!+"$Cm=!&amp;5E"</f>
        <v>#REF!</v>
      </c>
      <c r="ER98" t="e">
        <f>'Global IMACD Form'!#REF!+"$Cm=!&amp;5F"</f>
        <v>#REF!</v>
      </c>
      <c r="ES98" t="e">
        <f>'Global IMACD Form'!#REF!+"$Cm=!&amp;5G"</f>
        <v>#REF!</v>
      </c>
      <c r="ET98" t="e">
        <f>'Global IMACD Form'!A3+"$Cm=!&amp;5H"</f>
        <v>#VALUE!</v>
      </c>
      <c r="EU98" t="e">
        <f>'Global IMACD Form'!B3+"$Cm=!&amp;5I"</f>
        <v>#VALUE!</v>
      </c>
      <c r="EV98" t="e">
        <f>'Global IMACD Form'!C3+"$Cm=!&amp;5J"</f>
        <v>#VALUE!</v>
      </c>
      <c r="EW98" t="e">
        <f>'Global IMACD Form'!D3+"$Cm=!&amp;5K"</f>
        <v>#VALUE!</v>
      </c>
      <c r="EX98" t="e">
        <f>'Global IMACD Form'!F3+"$Cm=!&amp;5L"</f>
        <v>#VALUE!</v>
      </c>
      <c r="EY98" t="e">
        <f>'Global IMACD Form'!F2+"$Cm=!&amp;5M"</f>
        <v>#VALUE!</v>
      </c>
      <c r="EZ98" t="e">
        <f>'Global IMACD Form'!G2+"$Cm=!&amp;5N"</f>
        <v>#VALUE!</v>
      </c>
      <c r="FA98" t="e">
        <f>'Global IMACD Form'!#REF!+"$Cm=!&amp;5O"</f>
        <v>#REF!</v>
      </c>
      <c r="FB98" t="e">
        <f>'Global IMACD Form'!#REF!+"$Cm=!&amp;5P"</f>
        <v>#REF!</v>
      </c>
      <c r="FC98" t="e">
        <f>'Global IMACD Form'!#REF!+"$Cm=!&amp;5Q"</f>
        <v>#REF!</v>
      </c>
      <c r="FD98" t="e">
        <f>'Global IMACD Form'!A4+"$Cm=!&amp;5R"</f>
        <v>#VALUE!</v>
      </c>
      <c r="FE98" t="e">
        <f>'Global IMACD Form'!B4+"$Cm=!&amp;5S"</f>
        <v>#VALUE!</v>
      </c>
      <c r="FF98" t="e">
        <f>'Global IMACD Form'!C4+"$Cm=!&amp;5T"</f>
        <v>#VALUE!</v>
      </c>
      <c r="FG98" t="e">
        <f>'Global IMACD Form'!D4+"$Cm=!&amp;5U"</f>
        <v>#VALUE!</v>
      </c>
      <c r="FH98" t="e">
        <f>'Global IMACD Form'!E4+"$Cm=!&amp;5V"</f>
        <v>#VALUE!</v>
      </c>
      <c r="FI98" t="e">
        <f>'Global IMACD Form'!F4+"$Cm=!&amp;5W"</f>
        <v>#VALUE!</v>
      </c>
      <c r="FJ98" t="e">
        <f>'Global IMACD Form'!G4+"$Cm=!&amp;5X"</f>
        <v>#VALUE!</v>
      </c>
      <c r="FK98" t="e">
        <f>'Global IMACD Form'!#REF!+"$Cm=!&amp;5Y"</f>
        <v>#REF!</v>
      </c>
      <c r="FL98" t="e">
        <f>'Global IMACD Form'!#REF!+"$Cm=!&amp;5Z"</f>
        <v>#REF!</v>
      </c>
      <c r="FM98" t="e">
        <f>'Global IMACD Form'!#REF!+"$Cm=!&amp;5["</f>
        <v>#REF!</v>
      </c>
      <c r="FN98" t="e">
        <f>'Global IMACD Form'!A7+"$Cm=!&amp;5\"</f>
        <v>#VALUE!</v>
      </c>
      <c r="FO98" t="e">
        <f>'Global IMACD Form'!B7+"$Cm=!&amp;5]"</f>
        <v>#VALUE!</v>
      </c>
      <c r="FP98" t="e">
        <f>'Global IMACD Form'!C7+"$Cm=!&amp;5^"</f>
        <v>#VALUE!</v>
      </c>
      <c r="FQ98" t="e">
        <f>'Global IMACD Form'!D7+"$Cm=!&amp;5_"</f>
        <v>#VALUE!</v>
      </c>
      <c r="FR98" t="e">
        <f>'Global IMACD Form'!E7+"$Cm=!&amp;5`"</f>
        <v>#VALUE!</v>
      </c>
      <c r="FS98" t="e">
        <f>'Global IMACD Form'!F7+"$Cm=!&amp;5a"</f>
        <v>#VALUE!</v>
      </c>
      <c r="FT98" t="e">
        <f>'Global IMACD Form'!G7+"$Cm=!&amp;5b"</f>
        <v>#VALUE!</v>
      </c>
      <c r="FU98" t="e">
        <f>'Global IMACD Form'!#REF!+"$Cm=!&amp;5c"</f>
        <v>#REF!</v>
      </c>
      <c r="FV98" t="e">
        <f>'Global IMACD Form'!#REF!+"$Cm=!&amp;5d"</f>
        <v>#REF!</v>
      </c>
      <c r="FW98" t="e">
        <f>'Global IMACD Form'!A8+"$Cm=!&amp;5e"</f>
        <v>#VALUE!</v>
      </c>
      <c r="FX98" t="e">
        <f>'Global IMACD Form'!B8+"$Cm=!&amp;5f"</f>
        <v>#VALUE!</v>
      </c>
      <c r="FY98" t="e">
        <f>'Global IMACD Form'!C8+"$Cm=!&amp;5g"</f>
        <v>#VALUE!</v>
      </c>
      <c r="FZ98" t="e">
        <f>'Global IMACD Form'!D8+"$Cm=!&amp;5h"</f>
        <v>#VALUE!</v>
      </c>
      <c r="GA98" t="e">
        <f>'Global IMACD Form'!E8+"$Cm=!&amp;5i"</f>
        <v>#VALUE!</v>
      </c>
      <c r="GB98" t="e">
        <f>'Global IMACD Form'!F8+"$Cm=!&amp;5j"</f>
        <v>#VALUE!</v>
      </c>
      <c r="GC98" t="e">
        <f>'Global IMACD Form'!G8+"$Cm=!&amp;5k"</f>
        <v>#VALUE!</v>
      </c>
      <c r="GD98" t="e">
        <f>'Global IMACD Form'!#REF!+"$Cm=!&amp;5l"</f>
        <v>#REF!</v>
      </c>
      <c r="GE98" t="e">
        <f>'Global IMACD Form'!#REF!+"$Cm=!&amp;5m"</f>
        <v>#REF!</v>
      </c>
      <c r="GF98" t="e">
        <f>'Global IMACD Form'!#REF!+"$Cm=!&amp;5n"</f>
        <v>#REF!</v>
      </c>
      <c r="GG98" t="e">
        <f>'Global IMACD Form'!#REF!+"$Cm=!&amp;5o"</f>
        <v>#REF!</v>
      </c>
      <c r="GH98" t="e">
        <f>'Global IMACD Form'!#REF!+"$Cm=!&amp;5p"</f>
        <v>#REF!</v>
      </c>
      <c r="GI98" t="e">
        <f>'Global IMACD Form'!#REF!+"$Cm=!&amp;5q"</f>
        <v>#REF!</v>
      </c>
      <c r="GJ98" t="e">
        <f>'Global IMACD Form'!#REF!+"$Cm=!&amp;5r"</f>
        <v>#REF!</v>
      </c>
      <c r="GK98" t="e">
        <f>'Global IMACD Form'!#REF!+"$Cm=!&amp;5s"</f>
        <v>#REF!</v>
      </c>
      <c r="GL98" t="e">
        <f>'Global IMACD Form'!#REF!+"$Cm=!&amp;5t"</f>
        <v>#REF!</v>
      </c>
      <c r="GM98" t="e">
        <f>'Global IMACD Form'!#REF!+"$Cm=!&amp;5u"</f>
        <v>#REF!</v>
      </c>
      <c r="GN98" t="e">
        <f>'Global IMACD Form'!#REF!+"$Cm=!&amp;5v"</f>
        <v>#REF!</v>
      </c>
      <c r="GO98" t="e">
        <f>'Global IMACD Form'!#REF!+"$Cm=!&amp;5w"</f>
        <v>#REF!</v>
      </c>
      <c r="GP98" t="e">
        <f>'Global IMACD Form'!#REF!+"$Cm=!&amp;5x"</f>
        <v>#REF!</v>
      </c>
      <c r="GQ98" t="e">
        <f>'Global IMACD Form'!A10+"$Cm=!&amp;5y"</f>
        <v>#VALUE!</v>
      </c>
      <c r="GR98" t="e">
        <f>'Global IMACD Form'!B10+"$Cm=!&amp;5z"</f>
        <v>#VALUE!</v>
      </c>
      <c r="GS98" t="e">
        <f>'Global IMACD Form'!C10+"$Cm=!&amp;5{"</f>
        <v>#VALUE!</v>
      </c>
      <c r="GT98" t="e">
        <f>'Global IMACD Form'!D10+"$Cm=!&amp;5|"</f>
        <v>#VALUE!</v>
      </c>
      <c r="GU98" t="e">
        <f>'Global IMACD Form'!E10+"$Cm=!&amp;5}"</f>
        <v>#VALUE!</v>
      </c>
      <c r="GV98" t="e">
        <f>'Global IMACD Form'!F10+"$Cm=!&amp;5~"</f>
        <v>#VALUE!</v>
      </c>
      <c r="GW98" t="e">
        <f>'Global IMACD Form'!G10+"$Cm=!&amp;6#"</f>
        <v>#VALUE!</v>
      </c>
      <c r="GX98" t="e">
        <f>'Global IMACD Form'!#REF!+"$Cm=!&amp;6$"</f>
        <v>#REF!</v>
      </c>
      <c r="GY98" t="e">
        <f>'Global IMACD Form'!#REF!+"$Cm=!&amp;6%"</f>
        <v>#REF!</v>
      </c>
      <c r="GZ98" t="e">
        <f>'Global IMACD Form'!#REF!+"$Cm=!&amp;6&amp;"</f>
        <v>#REF!</v>
      </c>
      <c r="HA98" t="e">
        <f>'Global IMACD Form'!A11+"$Cm=!&amp;6'"</f>
        <v>#VALUE!</v>
      </c>
      <c r="HB98" t="e">
        <f>'Global IMACD Form'!B11+"$Cm=!&amp;6("</f>
        <v>#VALUE!</v>
      </c>
      <c r="HC98" s="2" t="e">
        <f>'Global IMACD Form'!C11+"$Cm=!&amp;6)"</f>
        <v>#VALUE!</v>
      </c>
      <c r="HD98" t="e">
        <f>'Global IMACD Form'!D11+"$Cm=!&amp;6."</f>
        <v>#VALUE!</v>
      </c>
      <c r="HE98" t="e">
        <f>'Global IMACD Form'!E11+"$Cm=!&amp;6/"</f>
        <v>#VALUE!</v>
      </c>
      <c r="HF98" t="e">
        <f>'Global IMACD Form'!F11+"$Cm=!&amp;60"</f>
        <v>#VALUE!</v>
      </c>
      <c r="HG98" t="e">
        <f>'Global IMACD Form'!G11+"$Cm=!&amp;61"</f>
        <v>#VALUE!</v>
      </c>
      <c r="HH98" t="e">
        <f>'Global IMACD Form'!#REF!+"$Cm=!&amp;62"</f>
        <v>#REF!</v>
      </c>
      <c r="HI98" t="e">
        <f>'Global IMACD Form'!#REF!+"$Cm=!&amp;63"</f>
        <v>#REF!</v>
      </c>
      <c r="HJ98" t="e">
        <f>'Global IMACD Form'!A12+"$Cm=!&amp;64"</f>
        <v>#VALUE!</v>
      </c>
      <c r="HK98" t="e">
        <f>'Global IMACD Form'!B12+"$Cm=!&amp;65"</f>
        <v>#VALUE!</v>
      </c>
      <c r="HL98" s="2" t="e">
        <f>'Global IMACD Form'!C12+"$Cm=!&amp;66"</f>
        <v>#VALUE!</v>
      </c>
      <c r="HM98" t="e">
        <f>'Global IMACD Form'!D12+"$Cm=!&amp;67"</f>
        <v>#VALUE!</v>
      </c>
      <c r="HN98" t="e">
        <f>'Global IMACD Form'!E12+"$Cm=!&amp;68"</f>
        <v>#VALUE!</v>
      </c>
      <c r="HO98" t="e">
        <f>'Global IMACD Form'!F12+"$Cm=!&amp;69"</f>
        <v>#VALUE!</v>
      </c>
      <c r="HP98" t="e">
        <f>'Global IMACD Form'!G12+"$Cm=!&amp;6:"</f>
        <v>#VALUE!</v>
      </c>
      <c r="HQ98" t="e">
        <f>'Global IMACD Form'!#REF!+"$Cm=!&amp;6;"</f>
        <v>#REF!</v>
      </c>
      <c r="HR98" t="e">
        <f>'Global IMACD Form'!#REF!+"$Cm=!&amp;6&lt;"</f>
        <v>#REF!</v>
      </c>
      <c r="HS98" t="e">
        <f>'Global IMACD Form'!#REF!+"$Cm=!&amp;6="</f>
        <v>#REF!</v>
      </c>
      <c r="HT98" t="e">
        <f>'Global IMACD Form'!#REF!+"$Cm=!&amp;6&gt;"</f>
        <v>#REF!</v>
      </c>
      <c r="HU98" t="e">
        <f>'Global IMACD Form'!#REF!+"$Cm=!&amp;6?"</f>
        <v>#REF!</v>
      </c>
      <c r="HV98" t="e">
        <f>'Global IMACD Form'!A13+"$Cm=!&amp;6@"</f>
        <v>#VALUE!</v>
      </c>
      <c r="HW98" t="e">
        <f>'Global IMACD Form'!B13+"$Cm=!&amp;6A"</f>
        <v>#VALUE!</v>
      </c>
      <c r="HX98" s="2" t="e">
        <f>'Global IMACD Form'!C13+"$Cm=!&amp;6B"</f>
        <v>#VALUE!</v>
      </c>
      <c r="HY98" t="e">
        <f>'Global IMACD Form'!D13+"$Cm=!&amp;6C"</f>
        <v>#VALUE!</v>
      </c>
      <c r="HZ98" t="e">
        <f>'Global IMACD Form'!E13+"$Cm=!&amp;6D"</f>
        <v>#VALUE!</v>
      </c>
      <c r="IA98" t="e">
        <f>'Global IMACD Form'!F13+"$Cm=!&amp;6E"</f>
        <v>#VALUE!</v>
      </c>
      <c r="IB98" t="e">
        <f>'Global IMACD Form'!G13+"$Cm=!&amp;6F"</f>
        <v>#VALUE!</v>
      </c>
      <c r="IC98" t="e">
        <f>'Global IMACD Form'!#REF!+"$Cm=!&amp;6G"</f>
        <v>#REF!</v>
      </c>
      <c r="ID98" t="e">
        <f>'Global IMACD Form'!#REF!+"$Cm=!&amp;6H"</f>
        <v>#REF!</v>
      </c>
      <c r="IE98" t="e">
        <f>'Global IMACD Form'!#REF!+"$Cm=!&amp;6I"</f>
        <v>#REF!</v>
      </c>
      <c r="IF98" t="e">
        <f>'Global IMACD Form'!#REF!+"$Cm=!&amp;6J"</f>
        <v>#REF!</v>
      </c>
      <c r="IG98" t="e">
        <f>'Global IMACD Form'!#REF!+"$Cm=!&amp;6K"</f>
        <v>#REF!</v>
      </c>
      <c r="IH98" t="e">
        <f>'Global IMACD Form'!A14+"$Cm=!&amp;6L"</f>
        <v>#VALUE!</v>
      </c>
      <c r="II98" t="e">
        <f>'Global IMACD Form'!B14+"$Cm=!&amp;6M"</f>
        <v>#VALUE!</v>
      </c>
      <c r="IJ98" s="2" t="e">
        <f>'Global IMACD Form'!C14+"$Cm=!&amp;6N"</f>
        <v>#VALUE!</v>
      </c>
      <c r="IK98" t="e">
        <f>'Global IMACD Form'!D14+"$Cm=!&amp;6O"</f>
        <v>#VALUE!</v>
      </c>
      <c r="IL98" t="e">
        <f>'Global IMACD Form'!E14+"$Cm=!&amp;6P"</f>
        <v>#VALUE!</v>
      </c>
      <c r="IM98" t="e">
        <f>'Global IMACD Form'!F14+"$Cm=!&amp;6Q"</f>
        <v>#VALUE!</v>
      </c>
      <c r="IN98" t="e">
        <f>'Global IMACD Form'!G14+"$Cm=!&amp;6R"</f>
        <v>#VALUE!</v>
      </c>
      <c r="IO98" t="e">
        <f>'Global IMACD Form'!#REF!+"$Cm=!&amp;6S"</f>
        <v>#REF!</v>
      </c>
      <c r="IP98" t="e">
        <f>'Global IMACD Form'!#REF!+"$Cm=!&amp;6T"</f>
        <v>#REF!</v>
      </c>
      <c r="IQ98" t="e">
        <f>'Global IMACD Form'!#REF!+"$Cm=!&amp;6U"</f>
        <v>#REF!</v>
      </c>
      <c r="IR98" t="e">
        <f>'Global IMACD Form'!#REF!+"$Cm=!&amp;6V"</f>
        <v>#REF!</v>
      </c>
      <c r="IS98" t="e">
        <f>'Global IMACD Form'!A15+"$Cm=!&amp;6W"</f>
        <v>#VALUE!</v>
      </c>
      <c r="IT98" t="e">
        <f>'Global IMACD Form'!B15+"$Cm=!&amp;6X"</f>
        <v>#VALUE!</v>
      </c>
      <c r="IU98" s="2" t="e">
        <f>'Global IMACD Form'!C15+"$Cm=!&amp;6Y"</f>
        <v>#VALUE!</v>
      </c>
      <c r="IV98" t="e">
        <f>'Global IMACD Form'!D15+"$Cm=!&amp;6Z"</f>
        <v>#VALUE!</v>
      </c>
    </row>
    <row r="99" spans="6:256">
      <c r="F99" t="e">
        <f>'Global IMACD Form'!E15+"$Cm=!&amp;6["</f>
        <v>#VALUE!</v>
      </c>
      <c r="G99" t="e">
        <f>'Global IMACD Form'!F15+"$Cm=!&amp;6\"</f>
        <v>#VALUE!</v>
      </c>
      <c r="H99" t="e">
        <f>'Global IMACD Form'!G15+"$Cm=!&amp;6]"</f>
        <v>#VALUE!</v>
      </c>
      <c r="I99" t="e">
        <f>'Global IMACD Form'!#REF!+"$Cm=!&amp;6^"</f>
        <v>#REF!</v>
      </c>
      <c r="J99" t="e">
        <f>'Global IMACD Form'!#REF!+"$Cm=!&amp;6_"</f>
        <v>#REF!</v>
      </c>
      <c r="K99" t="e">
        <f>'Global IMACD Form'!#REF!+"$Cm=!&amp;6`"</f>
        <v>#REF!</v>
      </c>
      <c r="L99" t="e">
        <f>'Global IMACD Form'!#REF!+"$Cm=!&amp;6a"</f>
        <v>#REF!</v>
      </c>
      <c r="M99" t="e">
        <f>'Global IMACD Form'!#REF!+"$Cm=!&amp;6b"</f>
        <v>#REF!</v>
      </c>
      <c r="N99" t="e">
        <f>'Global IMACD Form'!#REF!+"$Cm=!&amp;6c"</f>
        <v>#REF!</v>
      </c>
      <c r="O99" t="e">
        <f>'Global IMACD Form'!A16+"$Cm=!&amp;6d"</f>
        <v>#VALUE!</v>
      </c>
      <c r="P99" t="e">
        <f>'Global IMACD Form'!B16+"$Cm=!&amp;6e"</f>
        <v>#VALUE!</v>
      </c>
      <c r="Q99" s="2" t="e">
        <f>'Global IMACD Form'!C16+"$Cm=!&amp;6f"</f>
        <v>#VALUE!</v>
      </c>
      <c r="R99" t="e">
        <f>'Global IMACD Form'!D16+"$Cm=!&amp;6g"</f>
        <v>#VALUE!</v>
      </c>
      <c r="S99" t="e">
        <f>'Global IMACD Form'!E16+"$Cm=!&amp;6h"</f>
        <v>#VALUE!</v>
      </c>
      <c r="T99" t="e">
        <f>'Global IMACD Form'!F16+"$Cm=!&amp;6i"</f>
        <v>#VALUE!</v>
      </c>
      <c r="U99" t="e">
        <f>'Global IMACD Form'!G16+"$Cm=!&amp;6j"</f>
        <v>#VALUE!</v>
      </c>
      <c r="V99" t="e">
        <f>'Global IMACD Form'!#REF!+"$Cm=!&amp;6k"</f>
        <v>#REF!</v>
      </c>
      <c r="W99" t="e">
        <f>'Global IMACD Form'!#REF!+"$Cm=!&amp;6l"</f>
        <v>#REF!</v>
      </c>
      <c r="X99" t="e">
        <f>'Global IMACD Form'!#REF!+"$Cm=!&amp;6m"</f>
        <v>#REF!</v>
      </c>
      <c r="Y99" t="e">
        <f>'Global IMACD Form'!#REF!+"$Cm=!&amp;6n"</f>
        <v>#REF!</v>
      </c>
      <c r="Z99" t="e">
        <f>'Global IMACD Form'!#REF!+"$Cm=!&amp;6o"</f>
        <v>#REF!</v>
      </c>
      <c r="AA99" t="e">
        <f>'Global IMACD Form'!#REF!+"$Cm=!&amp;6p"</f>
        <v>#REF!</v>
      </c>
      <c r="AB99" t="e">
        <f>'Global IMACD Form'!A18+"$Cm=!&amp;6q"</f>
        <v>#VALUE!</v>
      </c>
      <c r="AC99" t="e">
        <f>'Global IMACD Form'!B18+"$Cm=!&amp;6r"</f>
        <v>#VALUE!</v>
      </c>
      <c r="AD99" s="2" t="e">
        <f>'Global IMACD Form'!C18+"$Cm=!&amp;6s"</f>
        <v>#VALUE!</v>
      </c>
      <c r="AE99" t="e">
        <f>'Global IMACD Form'!D18+"$Cm=!&amp;6t"</f>
        <v>#VALUE!</v>
      </c>
      <c r="AF99" t="e">
        <f>'Global IMACD Form'!E18+"$Cm=!&amp;6u"</f>
        <v>#VALUE!</v>
      </c>
      <c r="AG99" t="e">
        <f>'Global IMACD Form'!F18+"$Cm=!&amp;6v"</f>
        <v>#VALUE!</v>
      </c>
      <c r="AH99" t="e">
        <f>'Global IMACD Form'!G18+"$Cm=!&amp;6w"</f>
        <v>#VALUE!</v>
      </c>
      <c r="AI99" t="e">
        <f>'Global IMACD Form'!#REF!+"$Cm=!&amp;6x"</f>
        <v>#REF!</v>
      </c>
      <c r="AJ99" t="e">
        <f>'Global IMACD Form'!#REF!+"$Cm=!&amp;6y"</f>
        <v>#REF!</v>
      </c>
      <c r="AK99" t="e">
        <f>'Global IMACD Form'!#REF!+"$Cm=!&amp;6z"</f>
        <v>#REF!</v>
      </c>
      <c r="AL99" t="e">
        <f>'Global IMACD Form'!#REF!+"$Cm=!&amp;6{"</f>
        <v>#REF!</v>
      </c>
      <c r="AM99" t="e">
        <f>'Global IMACD Form'!#REF!+"$Cm=!&amp;6|"</f>
        <v>#REF!</v>
      </c>
      <c r="AN99" t="e">
        <f>'Global IMACD Form'!#REF!+"$Cm=!&amp;6}"</f>
        <v>#REF!</v>
      </c>
      <c r="AO99" t="e">
        <f>'Global IMACD Form'!A24+"$Cm=!&amp;6~"</f>
        <v>#VALUE!</v>
      </c>
      <c r="AP99" t="e">
        <f>'Global IMACD Form'!B25+"$Cm=!&amp;7#"</f>
        <v>#VALUE!</v>
      </c>
      <c r="AQ99" s="2" t="e">
        <f>'Global IMACD Form'!#REF!+"$Cm=!&amp;7$"</f>
        <v>#REF!</v>
      </c>
      <c r="AR99" t="e">
        <f>'Global IMACD Form'!D24+"$Cm=!&amp;7%"</f>
        <v>#VALUE!</v>
      </c>
      <c r="AS99" t="e">
        <f>'Global IMACD Form'!E24+"$Cm=!&amp;7&amp;"</f>
        <v>#VALUE!</v>
      </c>
      <c r="AT99" t="e">
        <f>'Global IMACD Form'!F24+"$Cm=!&amp;7'"</f>
        <v>#VALUE!</v>
      </c>
      <c r="AU99" t="e">
        <f>'Global IMACD Form'!G24+"$Cm=!&amp;7("</f>
        <v>#VALUE!</v>
      </c>
      <c r="AV99" t="e">
        <f>'Global IMACD Form'!#REF!+"$Cm=!&amp;7)"</f>
        <v>#REF!</v>
      </c>
      <c r="AW99" t="e">
        <f>'Global IMACD Form'!#REF!+"$Cm=!&amp;7."</f>
        <v>#REF!</v>
      </c>
      <c r="AX99" t="e">
        <f>'Global IMACD Form'!#REF!+"$Cm=!&amp;7/"</f>
        <v>#REF!</v>
      </c>
      <c r="AY99" t="e">
        <f>'Global IMACD Form'!#REF!+"$Cm=!&amp;70"</f>
        <v>#REF!</v>
      </c>
      <c r="AZ99" t="e">
        <f>'Global IMACD Form'!#REF!+"$Cm=!&amp;71"</f>
        <v>#REF!</v>
      </c>
      <c r="BA99" t="e">
        <f>'Global IMACD Form'!#REF!+"$Cm=!&amp;72"</f>
        <v>#REF!</v>
      </c>
      <c r="BB99" t="e">
        <f>'Global IMACD Form'!A26+"$Cm=!&amp;73"</f>
        <v>#VALUE!</v>
      </c>
      <c r="BC99" t="e">
        <f>'Global IMACD Form'!B27+"$Cm=!&amp;74"</f>
        <v>#VALUE!</v>
      </c>
      <c r="BD99" s="2" t="e">
        <f>'Global IMACD Form'!C26+"$Cm=!&amp;75"</f>
        <v>#VALUE!</v>
      </c>
      <c r="BE99" t="e">
        <f>'Global IMACD Form'!D26+"$Cm=!&amp;76"</f>
        <v>#VALUE!</v>
      </c>
      <c r="BF99" t="e">
        <f>'Global IMACD Form'!E26+"$Cm=!&amp;77"</f>
        <v>#VALUE!</v>
      </c>
      <c r="BG99" t="e">
        <f>'Global IMACD Form'!F26+"$Cm=!&amp;78"</f>
        <v>#VALUE!</v>
      </c>
      <c r="BH99" t="e">
        <f>'Global IMACD Form'!G26+"$Cm=!&amp;79"</f>
        <v>#VALUE!</v>
      </c>
      <c r="BI99" t="e">
        <f>'Global IMACD Form'!#REF!+"$Cm=!&amp;7:"</f>
        <v>#REF!</v>
      </c>
      <c r="BJ99" t="e">
        <f>'Global IMACD Form'!#REF!+"$Cm=!&amp;7;"</f>
        <v>#REF!</v>
      </c>
      <c r="BK99" t="e">
        <f>'Global IMACD Form'!#REF!+"$Cm=!&amp;7&lt;"</f>
        <v>#REF!</v>
      </c>
      <c r="BL99" t="e">
        <f>'Global IMACD Form'!#REF!+"$Cm=!&amp;7="</f>
        <v>#REF!</v>
      </c>
      <c r="BM99" t="e">
        <f>'Global IMACD Form'!#REF!+"$Cm=!&amp;7&gt;"</f>
        <v>#REF!</v>
      </c>
      <c r="BN99" t="e">
        <f>'Global IMACD Form'!#REF!+"$Cm=!&amp;7?"</f>
        <v>#REF!</v>
      </c>
      <c r="BO99" t="e">
        <f>'Global IMACD Form'!A27+"$Cm=!&amp;7@"</f>
        <v>#VALUE!</v>
      </c>
      <c r="BP99" t="e">
        <f>'Global IMACD Form'!B28+"$Cm=!&amp;7A"</f>
        <v>#VALUE!</v>
      </c>
      <c r="BQ99" s="2" t="e">
        <f>'Global IMACD Form'!C27+"$Cm=!&amp;7B"</f>
        <v>#VALUE!</v>
      </c>
      <c r="BR99" t="e">
        <f>'Global IMACD Form'!D27+"$Cm=!&amp;7C"</f>
        <v>#VALUE!</v>
      </c>
      <c r="BS99" t="e">
        <f>'Global IMACD Form'!E27+"$Cm=!&amp;7D"</f>
        <v>#VALUE!</v>
      </c>
      <c r="BT99" t="e">
        <f>'Global IMACD Form'!F27+"$Cm=!&amp;7E"</f>
        <v>#VALUE!</v>
      </c>
      <c r="BU99" t="e">
        <f>'Global IMACD Form'!G27+"$Cm=!&amp;7F"</f>
        <v>#VALUE!</v>
      </c>
      <c r="BV99" t="e">
        <f>'Global IMACD Form'!#REF!+"$Cm=!&amp;7G"</f>
        <v>#REF!</v>
      </c>
      <c r="BW99" t="e">
        <f>'Global IMACD Form'!#REF!+"$Cm=!&amp;7H"</f>
        <v>#REF!</v>
      </c>
      <c r="BX99" t="e">
        <f>'Global IMACD Form'!#REF!+"$Cm=!&amp;7I"</f>
        <v>#REF!</v>
      </c>
      <c r="BY99" t="e">
        <f>'Global IMACD Form'!#REF!+"$Cm=!&amp;7J"</f>
        <v>#REF!</v>
      </c>
      <c r="BZ99" t="e">
        <f>'Global IMACD Form'!#REF!+"$Cm=!&amp;7K"</f>
        <v>#REF!</v>
      </c>
      <c r="CA99" t="e">
        <f>'Global IMACD Form'!#REF!+"$Cm=!&amp;7L"</f>
        <v>#REF!</v>
      </c>
      <c r="CB99" t="e">
        <f>'Global IMACD Form'!A28+"$Cm=!&amp;7M"</f>
        <v>#VALUE!</v>
      </c>
      <c r="CC99" t="e">
        <f>'Global IMACD Form'!B29+"$Cm=!&amp;7N"</f>
        <v>#VALUE!</v>
      </c>
      <c r="CD99" s="2" t="e">
        <f>'Global IMACD Form'!C28+"$Cm=!&amp;7O"</f>
        <v>#VALUE!</v>
      </c>
      <c r="CE99" t="e">
        <f>'Global IMACD Form'!D28+"$Cm=!&amp;7P"</f>
        <v>#VALUE!</v>
      </c>
      <c r="CF99" t="e">
        <f>'Global IMACD Form'!E28+"$Cm=!&amp;7Q"</f>
        <v>#VALUE!</v>
      </c>
      <c r="CG99" t="e">
        <f>'Global IMACD Form'!F28+"$Cm=!&amp;7R"</f>
        <v>#VALUE!</v>
      </c>
      <c r="CH99" t="e">
        <f>'Global IMACD Form'!G28+"$Cm=!&amp;7S"</f>
        <v>#VALUE!</v>
      </c>
      <c r="CI99" t="e">
        <f>'Global IMACD Form'!#REF!+"$Cm=!&amp;7T"</f>
        <v>#REF!</v>
      </c>
      <c r="CJ99" t="e">
        <f>'Global IMACD Form'!#REF!+"$Cm=!&amp;7U"</f>
        <v>#REF!</v>
      </c>
      <c r="CK99" t="e">
        <f>'Global IMACD Form'!#REF!+"$Cm=!&amp;7V"</f>
        <v>#REF!</v>
      </c>
      <c r="CL99" t="e">
        <f>'Global IMACD Form'!#REF!+"$Cm=!&amp;7W"</f>
        <v>#REF!</v>
      </c>
      <c r="CM99" t="e">
        <f>'Global IMACD Form'!#REF!+"$Cm=!&amp;7X"</f>
        <v>#REF!</v>
      </c>
      <c r="CN99" t="e">
        <f>'Global IMACD Form'!#REF!+"$Cm=!&amp;7Y"</f>
        <v>#REF!</v>
      </c>
      <c r="CO99" t="e">
        <f>'Global IMACD Form'!A29+"$Cm=!&amp;7Z"</f>
        <v>#VALUE!</v>
      </c>
      <c r="CP99" t="e">
        <f>'Global IMACD Form'!B30+"$Cm=!&amp;7["</f>
        <v>#VALUE!</v>
      </c>
      <c r="CQ99" s="2" t="e">
        <f>'Global IMACD Form'!C29+"$Cm=!&amp;7\"</f>
        <v>#VALUE!</v>
      </c>
      <c r="CR99" t="e">
        <f>'Global IMACD Form'!D29+"$Cm=!&amp;7]"</f>
        <v>#VALUE!</v>
      </c>
      <c r="CS99" t="e">
        <f>'Global IMACD Form'!#REF!+"$Cm=!&amp;7^"</f>
        <v>#REF!</v>
      </c>
      <c r="CT99" t="e">
        <f>'Global IMACD Form'!F29+"$Cm=!&amp;7_"</f>
        <v>#VALUE!</v>
      </c>
      <c r="CU99" t="e">
        <f>'Global IMACD Form'!G29+"$Cm=!&amp;7`"</f>
        <v>#VALUE!</v>
      </c>
      <c r="CV99" t="e">
        <f>'Global IMACD Form'!#REF!+"$Cm=!&amp;7a"</f>
        <v>#REF!</v>
      </c>
      <c r="CW99" t="e">
        <f>'Global IMACD Form'!#REF!+"$Cm=!&amp;7b"</f>
        <v>#REF!</v>
      </c>
      <c r="CX99" t="e">
        <f>'Global IMACD Form'!#REF!+"$Cm=!&amp;7c"</f>
        <v>#REF!</v>
      </c>
      <c r="CY99" t="e">
        <f>'Global IMACD Form'!#REF!+"$Cm=!&amp;7d"</f>
        <v>#REF!</v>
      </c>
      <c r="CZ99" t="e">
        <f>'Global IMACD Form'!A30+"$Cm=!&amp;7e"</f>
        <v>#VALUE!</v>
      </c>
      <c r="DA99" t="e">
        <f>'Global IMACD Form'!#REF!+"$Cm=!&amp;7f"</f>
        <v>#REF!</v>
      </c>
      <c r="DB99" s="2" t="e">
        <f>'Global IMACD Form'!C30+"$Cm=!&amp;7g"</f>
        <v>#VALUE!</v>
      </c>
      <c r="DC99" t="e">
        <f>'Global IMACD Form'!D30+"$Cm=!&amp;7h"</f>
        <v>#VALUE!</v>
      </c>
      <c r="DD99" t="e">
        <f>'Global IMACD Form'!E30+"$Cm=!&amp;7i"</f>
        <v>#VALUE!</v>
      </c>
      <c r="DE99" t="e">
        <f>'Global IMACD Form'!F30+"$Cm=!&amp;7j"</f>
        <v>#VALUE!</v>
      </c>
      <c r="DF99" t="e">
        <f>'Global IMACD Form'!G30+"$Cm=!&amp;7k"</f>
        <v>#VALUE!</v>
      </c>
      <c r="DG99" t="e">
        <f>'Global IMACD Form'!#REF!+"$Cm=!&amp;7l"</f>
        <v>#REF!</v>
      </c>
      <c r="DH99" t="e">
        <f>'Global IMACD Form'!#REF!+"$Cm=!&amp;7m"</f>
        <v>#REF!</v>
      </c>
      <c r="DI99" t="e">
        <f>'Global IMACD Form'!#REF!+"$Cm=!&amp;7n"</f>
        <v>#REF!</v>
      </c>
      <c r="DJ99" t="e">
        <f>'Global IMACD Form'!#REF!+"$Cm=!&amp;7o"</f>
        <v>#REF!</v>
      </c>
      <c r="DK99" t="e">
        <f>'Global IMACD Form'!A31+"$Cm=!&amp;7p"</f>
        <v>#VALUE!</v>
      </c>
      <c r="DL99" t="e">
        <f>'Global IMACD Form'!#REF!+"$Cm=!&amp;7q"</f>
        <v>#REF!</v>
      </c>
      <c r="DM99" s="2" t="e">
        <f>'Global IMACD Form'!C31+"$Cm=!&amp;7r"</f>
        <v>#VALUE!</v>
      </c>
      <c r="DN99" t="e">
        <f>'Global IMACD Form'!D31+"$Cm=!&amp;7s"</f>
        <v>#VALUE!</v>
      </c>
      <c r="DO99" t="e">
        <f>'Global IMACD Form'!E29+"$Cm=!&amp;7t"</f>
        <v>#VALUE!</v>
      </c>
      <c r="DP99" t="e">
        <f>'Global IMACD Form'!F31+"$Cm=!&amp;7u"</f>
        <v>#VALUE!</v>
      </c>
      <c r="DQ99" t="e">
        <f>'Global IMACD Form'!G31+"$Cm=!&amp;7v"</f>
        <v>#VALUE!</v>
      </c>
      <c r="DR99" t="e">
        <f>'Global IMACD Form'!#REF!+"$Cm=!&amp;7w"</f>
        <v>#REF!</v>
      </c>
      <c r="DS99" t="e">
        <f>'Global IMACD Form'!#REF!+"$Cm=!&amp;7x"</f>
        <v>#REF!</v>
      </c>
      <c r="DT99" t="e">
        <f>'Global IMACD Form'!#REF!+"$Cm=!&amp;7y"</f>
        <v>#REF!</v>
      </c>
      <c r="DU99" t="e">
        <f>'Global IMACD Form'!#REF!+"$Cm=!&amp;7z"</f>
        <v>#REF!</v>
      </c>
      <c r="DV99" t="e">
        <f>'Global IMACD Form'!A33+"$Cm=!&amp;7{"</f>
        <v>#VALUE!</v>
      </c>
      <c r="DW99" t="e">
        <f>'Global IMACD Form'!B31+"$Cm=!&amp;7|"</f>
        <v>#VALUE!</v>
      </c>
      <c r="DX99" s="2" t="e">
        <f>'Global IMACD Form'!C33+"$Cm=!&amp;7}"</f>
        <v>#VALUE!</v>
      </c>
      <c r="DY99" t="e">
        <f>'Global IMACD Form'!D33+"$Cm=!&amp;7~"</f>
        <v>#VALUE!</v>
      </c>
      <c r="DZ99" t="e">
        <f>'Global IMACD Form'!#REF!+"$Cm=!&amp;8#"</f>
        <v>#REF!</v>
      </c>
      <c r="EA99" t="e">
        <f>'Global IMACD Form'!#REF!+"$Cm=!&amp;8$"</f>
        <v>#REF!</v>
      </c>
      <c r="EB99" t="e">
        <f>'Global IMACD Form'!#REF!+"$Cm=!&amp;8%"</f>
        <v>#REF!</v>
      </c>
      <c r="EC99" t="e">
        <f>'Global IMACD Form'!#REF!+"$Cm=!&amp;8&amp;"</f>
        <v>#REF!</v>
      </c>
      <c r="ED99" t="e">
        <f>'Global IMACD Form'!#REF!+"$Cm=!&amp;8'"</f>
        <v>#REF!</v>
      </c>
      <c r="EE99" t="e">
        <f>'Global IMACD Form'!#REF!+"$Cm=!&amp;8("</f>
        <v>#REF!</v>
      </c>
      <c r="EF99" t="e">
        <f>'Global IMACD Form'!#REF!+"$Cm=!&amp;8)"</f>
        <v>#REF!</v>
      </c>
      <c r="EG99" t="e">
        <f>'Global IMACD Form'!A34+"$Cm=!&amp;8."</f>
        <v>#VALUE!</v>
      </c>
      <c r="EH99" t="e">
        <f>'Global IMACD Form'!B34+"$Cm=!&amp;8/"</f>
        <v>#VALUE!</v>
      </c>
      <c r="EI99" s="2" t="e">
        <f>'Global IMACD Form'!C34+"$Cm=!&amp;80"</f>
        <v>#VALUE!</v>
      </c>
      <c r="EJ99" t="e">
        <f>'Global IMACD Form'!D34+"$Cm=!&amp;81"</f>
        <v>#VALUE!</v>
      </c>
      <c r="EK99" t="e">
        <f>'Global IMACD Form'!#REF!+"$Cm=!&amp;82"</f>
        <v>#REF!</v>
      </c>
      <c r="EL99" t="e">
        <f>'Global IMACD Form'!#REF!+"$Cm=!&amp;83"</f>
        <v>#REF!</v>
      </c>
      <c r="EM99" t="e">
        <f>'Global IMACD Form'!#REF!+"$Cm=!&amp;84"</f>
        <v>#REF!</v>
      </c>
      <c r="EN99" t="e">
        <f>'Global IMACD Form'!#REF!+"$Cm=!&amp;85"</f>
        <v>#REF!</v>
      </c>
      <c r="EO99" t="e">
        <f>'Global IMACD Form'!A35+"$Cm=!&amp;86"</f>
        <v>#VALUE!</v>
      </c>
      <c r="EP99" t="e">
        <f>'Global IMACD Form'!B35+"$Cm=!&amp;87"</f>
        <v>#VALUE!</v>
      </c>
      <c r="EQ99" s="2" t="e">
        <f>'Global IMACD Form'!C35+"$Cm=!&amp;88"</f>
        <v>#VALUE!</v>
      </c>
      <c r="ER99" t="e">
        <f>'Global IMACD Form'!D35+"$Cm=!&amp;89"</f>
        <v>#VALUE!</v>
      </c>
      <c r="ES99" t="e">
        <f>'Global IMACD Form'!E33+"$Cm=!&amp;8:"</f>
        <v>#VALUE!</v>
      </c>
      <c r="ET99" t="e">
        <f>'Global IMACD Form'!F33+"$Cm=!&amp;8;"</f>
        <v>#VALUE!</v>
      </c>
      <c r="EU99" t="e">
        <f>'Global IMACD Form'!G33+"$Cm=!&amp;8&lt;"</f>
        <v>#VALUE!</v>
      </c>
      <c r="EV99" t="e">
        <f>'Global IMACD Form'!#REF!+"$Cm=!&amp;8="</f>
        <v>#REF!</v>
      </c>
      <c r="EW99" t="e">
        <f>'Global IMACD Form'!A36+"$Cm=!&amp;8&gt;"</f>
        <v>#VALUE!</v>
      </c>
      <c r="EX99" t="e">
        <f>'Global IMACD Form'!B36+"$Cm=!&amp;8?"</f>
        <v>#VALUE!</v>
      </c>
      <c r="EY99" s="2" t="e">
        <f>'Global IMACD Form'!C36+"$Cm=!&amp;8@"</f>
        <v>#VALUE!</v>
      </c>
      <c r="EZ99" t="e">
        <f>'Global IMACD Form'!D36+"$Cm=!&amp;8A"</f>
        <v>#VALUE!</v>
      </c>
      <c r="FA99" t="e">
        <f>'Global IMACD Form'!E34+"$Cm=!&amp;8B"</f>
        <v>#VALUE!</v>
      </c>
      <c r="FB99" t="e">
        <f>'Global IMACD Form'!F34+"$Cm=!&amp;8C"</f>
        <v>#VALUE!</v>
      </c>
      <c r="FC99" t="e">
        <f>'Global IMACD Form'!G34+"$Cm=!&amp;8D"</f>
        <v>#VALUE!</v>
      </c>
      <c r="FD99" t="e">
        <f>'Global IMACD Form'!#REF!+"$Cm=!&amp;8E"</f>
        <v>#REF!</v>
      </c>
      <c r="FE99" t="e">
        <f>'Global IMACD Form'!#REF!+"$Cm=!&amp;8F"</f>
        <v>#REF!</v>
      </c>
      <c r="FF99" t="e">
        <f>'Global IMACD Form'!B37+"$Cm=!&amp;8G"</f>
        <v>#VALUE!</v>
      </c>
      <c r="FG99" s="2" t="e">
        <f>'Global IMACD Form'!C37+"$Cm=!&amp;8H"</f>
        <v>#VALUE!</v>
      </c>
      <c r="FH99" t="e">
        <f>'Global IMACD Form'!D37+"$Cm=!&amp;8I"</f>
        <v>#VALUE!</v>
      </c>
      <c r="FI99" t="e">
        <f>'Global IMACD Form'!E35+"$Cm=!&amp;8J"</f>
        <v>#VALUE!</v>
      </c>
      <c r="FJ99" t="e">
        <f>'Global IMACD Form'!F35+"$Cm=!&amp;8K"</f>
        <v>#VALUE!</v>
      </c>
      <c r="FK99" t="e">
        <f>'Global IMACD Form'!G35+"$Cm=!&amp;8L"</f>
        <v>#VALUE!</v>
      </c>
      <c r="FL99" t="e">
        <f>'Global IMACD Form'!#REF!+"$Cm=!&amp;8M"</f>
        <v>#REF!</v>
      </c>
      <c r="FM99" t="e">
        <f>'Global IMACD Form'!A37+"$Cm=!&amp;8N"</f>
        <v>#VALUE!</v>
      </c>
      <c r="FN99" t="e">
        <f>'Global IMACD Form'!B38+"$Cm=!&amp;8O"</f>
        <v>#VALUE!</v>
      </c>
      <c r="FO99" s="2" t="e">
        <f>'Global IMACD Form'!C38+"$Cm=!&amp;8P"</f>
        <v>#VALUE!</v>
      </c>
      <c r="FP99" t="e">
        <f>'Global IMACD Form'!D38+"$Cm=!&amp;8Q"</f>
        <v>#VALUE!</v>
      </c>
      <c r="FQ99" t="e">
        <f>'Global IMACD Form'!E36+"$Cm=!&amp;8R"</f>
        <v>#VALUE!</v>
      </c>
      <c r="FR99" t="e">
        <f>'Global IMACD Form'!F36+"$Cm=!&amp;8S"</f>
        <v>#VALUE!</v>
      </c>
      <c r="FS99" t="e">
        <f>'Global IMACD Form'!G36+"$Cm=!&amp;8T"</f>
        <v>#VALUE!</v>
      </c>
      <c r="FT99" t="e">
        <f>'Global IMACD Form'!#REF!+"$Cm=!&amp;8U"</f>
        <v>#REF!</v>
      </c>
      <c r="FU99" t="e">
        <f>'Global IMACD Form'!A39+"$Cm=!&amp;8V"</f>
        <v>#VALUE!</v>
      </c>
      <c r="FV99" t="e">
        <f>'Global IMACD Form'!B39+"$Cm=!&amp;8W"</f>
        <v>#VALUE!</v>
      </c>
      <c r="FW99" s="2" t="e">
        <f>'Global IMACD Form'!C39+"$Cm=!&amp;8X"</f>
        <v>#VALUE!</v>
      </c>
      <c r="FX99" t="e">
        <f>'Global IMACD Form'!D39+"$Cm=!&amp;8Y"</f>
        <v>#VALUE!</v>
      </c>
      <c r="FY99" t="e">
        <f>'Global IMACD Form'!E37+"$Cm=!&amp;8Z"</f>
        <v>#VALUE!</v>
      </c>
      <c r="FZ99" t="e">
        <f>'Global IMACD Form'!F37+"$Cm=!&amp;8["</f>
        <v>#VALUE!</v>
      </c>
      <c r="GA99" t="e">
        <f>'Global IMACD Form'!G37+"$Cm=!&amp;8\"</f>
        <v>#VALUE!</v>
      </c>
      <c r="GB99" t="e">
        <f>'Global IMACD Form'!#REF!+"$Cm=!&amp;8]"</f>
        <v>#REF!</v>
      </c>
      <c r="GC99" t="e">
        <f>'Global IMACD Form'!A40+"$Cm=!&amp;8^"</f>
        <v>#VALUE!</v>
      </c>
      <c r="GD99" t="e">
        <f>'Global IMACD Form'!B40+"$Cm=!&amp;8_"</f>
        <v>#VALUE!</v>
      </c>
      <c r="GE99" s="2" t="e">
        <f>'Global IMACD Form'!C40+"$Cm=!&amp;8`"</f>
        <v>#VALUE!</v>
      </c>
      <c r="GF99" t="e">
        <f>'Global IMACD Form'!D40+"$Cm=!&amp;8a"</f>
        <v>#VALUE!</v>
      </c>
      <c r="GG99" t="e">
        <f>'Global IMACD Form'!E38+"$Cm=!&amp;8b"</f>
        <v>#VALUE!</v>
      </c>
      <c r="GH99" t="e">
        <f>'Global IMACD Form'!F38+"$Cm=!&amp;8c"</f>
        <v>#VALUE!</v>
      </c>
      <c r="GI99" t="e">
        <f>'Global IMACD Form'!G38+"$Cm=!&amp;8d"</f>
        <v>#VALUE!</v>
      </c>
      <c r="GJ99" t="e">
        <f>'Global IMACD Form'!#REF!+"$Cm=!&amp;8e"</f>
        <v>#REF!</v>
      </c>
      <c r="GK99" t="e">
        <f>'Global IMACD Form'!#REF!+"$Cm=!&amp;8f"</f>
        <v>#REF!</v>
      </c>
      <c r="GL99" t="e">
        <f>'Global IMACD Form'!#REF!+"$Cm=!&amp;8g"</f>
        <v>#REF!</v>
      </c>
      <c r="GM99" s="2" t="e">
        <f>'Global IMACD Form'!#REF!+"$Cm=!&amp;8h"</f>
        <v>#REF!</v>
      </c>
      <c r="GN99" t="e">
        <f>'Global IMACD Form'!#REF!+"$Cm=!&amp;8i"</f>
        <v>#REF!</v>
      </c>
      <c r="GO99" t="e">
        <f>'Global IMACD Form'!#REF!+"$Cm=!&amp;8j"</f>
        <v>#REF!</v>
      </c>
      <c r="GP99" t="e">
        <f>'Global IMACD Form'!#REF!+"$Cm=!&amp;8k"</f>
        <v>#REF!</v>
      </c>
      <c r="GQ99" t="e">
        <f>'Global IMACD Form'!#REF!+"$Cm=!&amp;8l"</f>
        <v>#REF!</v>
      </c>
      <c r="GR99" t="e">
        <f>'Global IMACD Form'!#REF!+"$Cm=!&amp;8m"</f>
        <v>#REF!</v>
      </c>
      <c r="GS99" t="e">
        <f>'Global IMACD Form'!A47+"$Cm=!&amp;8n"</f>
        <v>#VALUE!</v>
      </c>
      <c r="GT99" t="e">
        <f>'Global IMACD Form'!B47+"$Cm=!&amp;8o"</f>
        <v>#VALUE!</v>
      </c>
      <c r="GU99" t="e">
        <f>'Global IMACD Form'!C47+"$Cm=!&amp;8p"</f>
        <v>#VALUE!</v>
      </c>
      <c r="GV99" t="e">
        <f>'Global IMACD Form'!D47+"$Cm=!&amp;8q"</f>
        <v>#VALUE!</v>
      </c>
      <c r="GW99" t="e">
        <f>'Global IMACD Form'!E47+"$Cm=!&amp;8r"</f>
        <v>#VALUE!</v>
      </c>
      <c r="GX99" t="e">
        <f>'Global IMACD Form'!F47+"$Cm=!&amp;8s"</f>
        <v>#VALUE!</v>
      </c>
      <c r="GY99" t="e">
        <f>'Global IMACD Form'!G47+"$Cm=!&amp;8t"</f>
        <v>#VALUE!</v>
      </c>
      <c r="GZ99" t="e">
        <f>'Global IMACD Form'!#REF!+"$Cm=!&amp;8u"</f>
        <v>#REF!</v>
      </c>
      <c r="HA99" t="e">
        <f>'Global IMACD Form'!#REF!+"$Cm=!&amp;8v"</f>
        <v>#REF!</v>
      </c>
      <c r="HB99" t="e">
        <f>'Global IMACD Form'!#REF!+"$Cm=!&amp;8w"</f>
        <v>#REF!</v>
      </c>
      <c r="HC99" t="e">
        <f>'Global IMACD Form'!#REF!+"$Cm=!&amp;8x"</f>
        <v>#REF!</v>
      </c>
      <c r="HD99" t="e">
        <f>'Global IMACD Form'!#REF!+"$Cm=!&amp;8y"</f>
        <v>#REF!</v>
      </c>
      <c r="HE99" t="e">
        <f>'Global IMACD Form'!#REF!+"$Cm=!&amp;8z"</f>
        <v>#REF!</v>
      </c>
      <c r="HF99" t="e">
        <f>'Global IMACD Form'!#REF!+"$Cm=!&amp;8{"</f>
        <v>#REF!</v>
      </c>
      <c r="HG99" t="e">
        <f>'Global IMACD Form'!#REF!+"$Cm=!&amp;8|"</f>
        <v>#REF!</v>
      </c>
      <c r="HH99" t="e">
        <f>'Global IMACD Form'!#REF!+"$Cm=!&amp;8}"</f>
        <v>#REF!</v>
      </c>
      <c r="HI99" t="e">
        <f>'Global IMACD Form'!#REF!+"$Cm=!&amp;8~"</f>
        <v>#REF!</v>
      </c>
      <c r="HJ99" t="e">
        <f>'Global IMACD Form'!#REF!+"$Cm=!&amp;9#"</f>
        <v>#REF!</v>
      </c>
      <c r="HK99" t="e">
        <f>'Global IMACD Form'!#REF!+"$Cm=!&amp;9$"</f>
        <v>#REF!</v>
      </c>
      <c r="HL99" t="e">
        <f>'Global IMACD Form'!#REF!+"$Cm=!&amp;9%"</f>
        <v>#REF!</v>
      </c>
      <c r="HM99" t="e">
        <f>'Global IMACD Form'!#REF!+"$Cm=!&amp;9&amp;"</f>
        <v>#REF!</v>
      </c>
      <c r="HN99" t="e">
        <f>'Global IMACD Form'!#REF!+"$Cm=!&amp;9'"</f>
        <v>#REF!</v>
      </c>
      <c r="HO99" t="e">
        <f>'Global IMACD Form'!#REF!+"$Cm=!&amp;9("</f>
        <v>#REF!</v>
      </c>
      <c r="HP99" t="e">
        <f>'Global IMACD Form'!#REF!+"$Cm=!&amp;9)"</f>
        <v>#REF!</v>
      </c>
      <c r="HQ99" t="e">
        <f>'Global IMACD Form'!A49+"$Cm=!&amp;9."</f>
        <v>#VALUE!</v>
      </c>
      <c r="HR99" t="e">
        <f>'Global IMACD Form'!B49+"$Cm=!&amp;9/"</f>
        <v>#VALUE!</v>
      </c>
      <c r="HS99" t="e">
        <f>'Global IMACD Form'!C49+"$Cm=!&amp;90"</f>
        <v>#VALUE!</v>
      </c>
      <c r="HT99" t="e">
        <f>'Global IMACD Form'!D49+"$Cm=!&amp;91"</f>
        <v>#VALUE!</v>
      </c>
      <c r="HU99" t="e">
        <f>'Global IMACD Form'!E49+"$Cm=!&amp;92"</f>
        <v>#VALUE!</v>
      </c>
      <c r="HV99" t="e">
        <f>'Global IMACD Form'!F49+"$Cm=!&amp;93"</f>
        <v>#VALUE!</v>
      </c>
      <c r="HW99" t="e">
        <f>'Global IMACD Form'!G49+"$Cm=!&amp;94"</f>
        <v>#VALUE!</v>
      </c>
      <c r="HX99" t="e">
        <f>'Global IMACD Form'!#REF!+"$Cm=!&amp;95"</f>
        <v>#REF!</v>
      </c>
      <c r="HY99" t="e">
        <f>'Global IMACD Form'!A50+"$Cm=!&amp;96"</f>
        <v>#VALUE!</v>
      </c>
      <c r="HZ99" t="e">
        <f>'Global IMACD Form'!B50+"$Cm=!&amp;97"</f>
        <v>#VALUE!</v>
      </c>
      <c r="IA99" s="2" t="e">
        <f>'Global IMACD Form'!C50+"$Cm=!&amp;98"</f>
        <v>#VALUE!</v>
      </c>
      <c r="IB99" t="e">
        <f>'Global IMACD Form'!D50+"$Cm=!&amp;99"</f>
        <v>#VALUE!</v>
      </c>
      <c r="IC99" t="e">
        <f>'Global IMACD Form'!E50+"$Cm=!&amp;9:"</f>
        <v>#VALUE!</v>
      </c>
      <c r="ID99" t="e">
        <f>'Global IMACD Form'!F50+"$Cm=!&amp;9;"</f>
        <v>#VALUE!</v>
      </c>
      <c r="IE99" t="e">
        <f>'Global IMACD Form'!G50+"$Cm=!&amp;9&lt;"</f>
        <v>#VALUE!</v>
      </c>
      <c r="IF99" t="e">
        <f>'Global IMACD Form'!#REF!+"$Cm=!&amp;9="</f>
        <v>#REF!</v>
      </c>
      <c r="IG99" t="e">
        <f>'Global IMACD Form'!A51+"$Cm=!&amp;9&gt;"</f>
        <v>#VALUE!</v>
      </c>
      <c r="IH99" t="e">
        <f>'Global IMACD Form'!B51+"$Cm=!&amp;9?"</f>
        <v>#VALUE!</v>
      </c>
      <c r="II99" s="2" t="e">
        <f>'Global IMACD Form'!C51+"$Cm=!&amp;9@"</f>
        <v>#VALUE!</v>
      </c>
      <c r="IJ99" t="e">
        <f>'Global IMACD Form'!D51+"$Cm=!&amp;9A"</f>
        <v>#VALUE!</v>
      </c>
      <c r="IK99" t="e">
        <f>'Global IMACD Form'!E51+"$Cm=!&amp;9B"</f>
        <v>#VALUE!</v>
      </c>
      <c r="IL99" t="e">
        <f>'Global IMACD Form'!F51+"$Cm=!&amp;9C"</f>
        <v>#VALUE!</v>
      </c>
      <c r="IM99" t="e">
        <f>'Global IMACD Form'!G51+"$Cm=!&amp;9D"</f>
        <v>#VALUE!</v>
      </c>
      <c r="IN99" t="e">
        <f>'Global IMACD Form'!#REF!+"$Cm=!&amp;9E"</f>
        <v>#REF!</v>
      </c>
      <c r="IO99" t="e">
        <f>'Global IMACD Form'!A52+"$Cm=!&amp;9F"</f>
        <v>#VALUE!</v>
      </c>
      <c r="IP99" t="e">
        <f>'Global IMACD Form'!B52+"$Cm=!&amp;9G"</f>
        <v>#VALUE!</v>
      </c>
      <c r="IQ99" s="2" t="e">
        <f>'Global IMACD Form'!C52+"$Cm=!&amp;9H"</f>
        <v>#VALUE!</v>
      </c>
      <c r="IR99" t="e">
        <f>'Global IMACD Form'!D52+"$Cm=!&amp;9I"</f>
        <v>#VALUE!</v>
      </c>
      <c r="IS99" t="e">
        <f>'Global IMACD Form'!E52+"$Cm=!&amp;9J"</f>
        <v>#VALUE!</v>
      </c>
      <c r="IT99" t="e">
        <f>'Global IMACD Form'!F52+"$Cm=!&amp;9K"</f>
        <v>#VALUE!</v>
      </c>
      <c r="IU99" t="e">
        <f>'Global IMACD Form'!G52+"$Cm=!&amp;9L"</f>
        <v>#VALUE!</v>
      </c>
      <c r="IV99" t="e">
        <f>'Global IMACD Form'!#REF!+"$Cm=!&amp;9M"</f>
        <v>#REF!</v>
      </c>
    </row>
    <row r="100" spans="6:256">
      <c r="F100" t="e">
        <f>'Global IMACD Form'!A53+"$Cm=!&amp;9N"</f>
        <v>#VALUE!</v>
      </c>
      <c r="G100" t="e">
        <f>'Global IMACD Form'!B53+"$Cm=!&amp;9O"</f>
        <v>#VALUE!</v>
      </c>
      <c r="H100" s="2" t="e">
        <f>'Global IMACD Form'!C53+"$Cm=!&amp;9P"</f>
        <v>#VALUE!</v>
      </c>
      <c r="I100" t="e">
        <f>'Global IMACD Form'!D53+"$Cm=!&amp;9Q"</f>
        <v>#VALUE!</v>
      </c>
      <c r="J100" t="e">
        <f>'Global IMACD Form'!E53+"$Cm=!&amp;9R"</f>
        <v>#VALUE!</v>
      </c>
      <c r="K100" t="e">
        <f>'Global IMACD Form'!F53+"$Cm=!&amp;9S"</f>
        <v>#VALUE!</v>
      </c>
      <c r="L100" t="e">
        <f>'Global IMACD Form'!G53+"$Cm=!&amp;9T"</f>
        <v>#VALUE!</v>
      </c>
      <c r="M100" t="e">
        <f>'Global IMACD Form'!#REF!+"$Cm=!&amp;9U"</f>
        <v>#REF!</v>
      </c>
      <c r="N100" t="e">
        <f>'Global IMACD Form'!A54+"$Cm=!&amp;9V"</f>
        <v>#VALUE!</v>
      </c>
      <c r="O100" t="e">
        <f>'Global IMACD Form'!B54+"$Cm=!&amp;9W"</f>
        <v>#VALUE!</v>
      </c>
      <c r="P100" s="2" t="e">
        <f>'Global IMACD Form'!C54+"$Cm=!&amp;9X"</f>
        <v>#VALUE!</v>
      </c>
      <c r="Q100" t="e">
        <f>'Global IMACD Form'!D54+"$Cm=!&amp;9Y"</f>
        <v>#VALUE!</v>
      </c>
      <c r="R100" t="e">
        <f>'Global IMACD Form'!E54+"$Cm=!&amp;9Z"</f>
        <v>#VALUE!</v>
      </c>
      <c r="S100" t="e">
        <f>'Global IMACD Form'!F54+"$Cm=!&amp;9["</f>
        <v>#VALUE!</v>
      </c>
      <c r="T100" t="e">
        <f>'Global IMACD Form'!G54+"$Cm=!&amp;9\"</f>
        <v>#VALUE!</v>
      </c>
      <c r="U100" t="e">
        <f>'Global IMACD Form'!#REF!+"$Cm=!&amp;9]"</f>
        <v>#REF!</v>
      </c>
      <c r="V100" t="e">
        <f>'Global IMACD Form'!A55+"$Cm=!&amp;9^"</f>
        <v>#VALUE!</v>
      </c>
      <c r="W100" t="e">
        <f>'Global IMACD Form'!B55+"$Cm=!&amp;9_"</f>
        <v>#VALUE!</v>
      </c>
      <c r="X100" s="2" t="e">
        <f>'Global IMACD Form'!C55+"$Cm=!&amp;9`"</f>
        <v>#VALUE!</v>
      </c>
      <c r="Y100" t="e">
        <f>'Global IMACD Form'!D55+"$Cm=!&amp;9a"</f>
        <v>#VALUE!</v>
      </c>
      <c r="Z100" t="e">
        <f>'Global IMACD Form'!E55+"$Cm=!&amp;9b"</f>
        <v>#VALUE!</v>
      </c>
      <c r="AA100" t="e">
        <f>'Global IMACD Form'!F55+"$Cm=!&amp;9c"</f>
        <v>#VALUE!</v>
      </c>
      <c r="AB100" t="e">
        <f>'Global IMACD Form'!G55+"$Cm=!&amp;9d"</f>
        <v>#VALUE!</v>
      </c>
      <c r="AC100" t="e">
        <f>'Global IMACD Form'!#REF!+"$Cm=!&amp;9e"</f>
        <v>#REF!</v>
      </c>
      <c r="AD100" t="e">
        <f>'Global IMACD Form'!A56+"$Cm=!&amp;9f"</f>
        <v>#VALUE!</v>
      </c>
      <c r="AE100" t="e">
        <f>'Global IMACD Form'!B56+"$Cm=!&amp;9g"</f>
        <v>#VALUE!</v>
      </c>
      <c r="AF100" s="2" t="e">
        <f>'Global IMACD Form'!C56+"$Cm=!&amp;9h"</f>
        <v>#VALUE!</v>
      </c>
      <c r="AG100" t="e">
        <f>'Global IMACD Form'!D56+"$Cm=!&amp;9i"</f>
        <v>#VALUE!</v>
      </c>
      <c r="AH100" t="e">
        <f>'Global IMACD Form'!#REF!+"$Cm=!&amp;9j"</f>
        <v>#REF!</v>
      </c>
      <c r="AI100" t="e">
        <f>'Global IMACD Form'!A57+"$Cm=!&amp;9k"</f>
        <v>#VALUE!</v>
      </c>
      <c r="AJ100" t="e">
        <f>'Global IMACD Form'!B57+"$Cm=!&amp;9l"</f>
        <v>#VALUE!</v>
      </c>
      <c r="AK100" s="2" t="e">
        <f>'Global IMACD Form'!C57+"$Cm=!&amp;9m"</f>
        <v>#VALUE!</v>
      </c>
      <c r="AL100" t="e">
        <f>'Global IMACD Form'!D57+"$Cm=!&amp;9n"</f>
        <v>#VALUE!</v>
      </c>
      <c r="AM100" t="e">
        <f>'Global IMACD Form'!E57+"$Cm=!&amp;9o"</f>
        <v>#VALUE!</v>
      </c>
      <c r="AN100" t="e">
        <f>'Global IMACD Form'!F57+"$Cm=!&amp;9p"</f>
        <v>#VALUE!</v>
      </c>
      <c r="AO100" t="e">
        <f>'Global IMACD Form'!G57+"$Cm=!&amp;9q"</f>
        <v>#VALUE!</v>
      </c>
      <c r="AP100" t="e">
        <f>'Global IMACD Form'!#REF!+"$Cm=!&amp;9r"</f>
        <v>#REF!</v>
      </c>
      <c r="AQ100" t="e">
        <f>'Global IMACD Form'!A58+"$Cm=!&amp;9s"</f>
        <v>#VALUE!</v>
      </c>
      <c r="AR100" t="e">
        <f>'Global IMACD Form'!B58+"$Cm=!&amp;9t"</f>
        <v>#VALUE!</v>
      </c>
      <c r="AS100" s="2" t="e">
        <f>'Global IMACD Form'!C58+"$Cm=!&amp;9u"</f>
        <v>#VALUE!</v>
      </c>
      <c r="AT100" t="e">
        <f>'Global IMACD Form'!D58+"$Cm=!&amp;9v"</f>
        <v>#VALUE!</v>
      </c>
      <c r="AU100" t="e">
        <f>'Global IMACD Form'!E58+"$Cm=!&amp;9w"</f>
        <v>#VALUE!</v>
      </c>
      <c r="AV100" t="e">
        <f>'Global IMACD Form'!F58+"$Cm=!&amp;9x"</f>
        <v>#VALUE!</v>
      </c>
      <c r="AW100" t="e">
        <f>'Global IMACD Form'!G58+"$Cm=!&amp;9y"</f>
        <v>#VALUE!</v>
      </c>
      <c r="AX100" t="e">
        <f>'Global IMACD Form'!#REF!+"$Cm=!&amp;9z"</f>
        <v>#REF!</v>
      </c>
      <c r="AY100" t="e">
        <f>'Global IMACD Form'!A59+"$Cm=!&amp;9{"</f>
        <v>#VALUE!</v>
      </c>
      <c r="AZ100" t="e">
        <f>'Global IMACD Form'!B59+"$Cm=!&amp;9|"</f>
        <v>#VALUE!</v>
      </c>
      <c r="BA100" s="2" t="e">
        <f>'Global IMACD Form'!C59+"$Cm=!&amp;9}"</f>
        <v>#VALUE!</v>
      </c>
      <c r="BB100" t="e">
        <f>'Global IMACD Form'!D59+"$Cm=!&amp;9~"</f>
        <v>#VALUE!</v>
      </c>
      <c r="BC100" t="e">
        <f>'Global IMACD Form'!E59+"$Cm=!&amp;:#"</f>
        <v>#VALUE!</v>
      </c>
      <c r="BD100" t="e">
        <f>'Global IMACD Form'!F59+"$Cm=!&amp;:$"</f>
        <v>#VALUE!</v>
      </c>
      <c r="BE100" t="e">
        <f>'Global IMACD Form'!G59+"$Cm=!&amp;:%"</f>
        <v>#VALUE!</v>
      </c>
      <c r="BF100" t="e">
        <f>'Global IMACD Form'!#REF!+"$Cm=!&amp;:&amp;"</f>
        <v>#REF!</v>
      </c>
      <c r="BG100" t="e">
        <f>'Global IMACD Form'!A60+"$Cm=!&amp;:'"</f>
        <v>#VALUE!</v>
      </c>
      <c r="BH100" t="e">
        <f>'Global IMACD Form'!B60+"$Cm=!&amp;:("</f>
        <v>#VALUE!</v>
      </c>
      <c r="BI100" s="2" t="e">
        <f>'Global IMACD Form'!C60+"$Cm=!&amp;:)"</f>
        <v>#VALUE!</v>
      </c>
      <c r="BJ100" t="e">
        <f>'Global IMACD Form'!D60+"$Cm=!&amp;:."</f>
        <v>#VALUE!</v>
      </c>
      <c r="BK100" t="e">
        <f>'Global IMACD Form'!E60+"$Cm=!&amp;:/"</f>
        <v>#VALUE!</v>
      </c>
      <c r="BL100" t="e">
        <f>'Global IMACD Form'!F60+"$Cm=!&amp;:0"</f>
        <v>#VALUE!</v>
      </c>
      <c r="BM100" t="e">
        <f>'Global IMACD Form'!G60+"$Cm=!&amp;:1"</f>
        <v>#VALUE!</v>
      </c>
      <c r="BN100" t="e">
        <f>'Global IMACD Form'!#REF!+"$Cm=!&amp;:2"</f>
        <v>#REF!</v>
      </c>
      <c r="BO100" t="e">
        <f>'Global IMACD Form'!A61+"$Cm=!&amp;:3"</f>
        <v>#VALUE!</v>
      </c>
      <c r="BP100" t="e">
        <f>'Global IMACD Form'!B61+"$Cm=!&amp;:4"</f>
        <v>#VALUE!</v>
      </c>
      <c r="BQ100" s="2" t="e">
        <f>'Global IMACD Form'!C61+"$Cm=!&amp;:5"</f>
        <v>#VALUE!</v>
      </c>
      <c r="BR100" t="e">
        <f>'Global IMACD Form'!D61+"$Cm=!&amp;:6"</f>
        <v>#VALUE!</v>
      </c>
      <c r="BS100" t="e">
        <f>'Global IMACD Form'!E61+"$Cm=!&amp;:7"</f>
        <v>#VALUE!</v>
      </c>
      <c r="BT100" t="e">
        <f>'Global IMACD Form'!F61+"$Cm=!&amp;:8"</f>
        <v>#VALUE!</v>
      </c>
      <c r="BU100" t="e">
        <f>'Global IMACD Form'!G61+"$Cm=!&amp;:9"</f>
        <v>#VALUE!</v>
      </c>
      <c r="BV100" t="e">
        <f>'Global IMACD Form'!#REF!+"$Cm=!&amp;::"</f>
        <v>#REF!</v>
      </c>
      <c r="BW100" t="e">
        <f>'Global IMACD Form'!#REF!+"$Cm=!&amp;:;"</f>
        <v>#REF!</v>
      </c>
      <c r="BX100" t="e">
        <f>'Global IMACD Form'!#REF!+"$Cm=!&amp;:&lt;"</f>
        <v>#REF!</v>
      </c>
      <c r="BY100" t="e">
        <f>'Global IMACD Form'!#REF!+"$Cm=!&amp;:="</f>
        <v>#REF!</v>
      </c>
      <c r="BZ100" t="e">
        <f>'Global IMACD Form'!A62+"$Cm=!&amp;:&gt;"</f>
        <v>#VALUE!</v>
      </c>
      <c r="CA100" t="e">
        <f>'Global IMACD Form'!B62+"$Cm=!&amp;:?"</f>
        <v>#VALUE!</v>
      </c>
      <c r="CB100" s="2" t="e">
        <f>'Global IMACD Form'!C62+"$Cm=!&amp;:@"</f>
        <v>#VALUE!</v>
      </c>
      <c r="CC100" t="e">
        <f>'Global IMACD Form'!D62+"$Cm=!&amp;:A"</f>
        <v>#VALUE!</v>
      </c>
      <c r="CD100" t="e">
        <f>'Global IMACD Form'!E62+"$Cm=!&amp;:B"</f>
        <v>#VALUE!</v>
      </c>
      <c r="CE100" t="e">
        <f>'Global IMACD Form'!F62+"$Cm=!&amp;:C"</f>
        <v>#VALUE!</v>
      </c>
      <c r="CF100" t="e">
        <f>'Global IMACD Form'!G62+"$Cm=!&amp;:D"</f>
        <v>#VALUE!</v>
      </c>
      <c r="CG100" t="e">
        <f>'Global IMACD Form'!#REF!+"$Cm=!&amp;:E"</f>
        <v>#REF!</v>
      </c>
      <c r="CH100" t="e">
        <f>'Global IMACD Form'!#REF!+"$Cm=!&amp;:F"</f>
        <v>#REF!</v>
      </c>
      <c r="CI100" t="e">
        <f>'Global IMACD Form'!#REF!+"$Cm=!&amp;:G"</f>
        <v>#REF!</v>
      </c>
      <c r="CJ100" t="e">
        <f>'Global IMACD Form'!#REF!+"$Cm=!&amp;:H"</f>
        <v>#REF!</v>
      </c>
      <c r="CK100" t="e">
        <f>'Global IMACD Form'!A63+"$Cm=!&amp;:I"</f>
        <v>#VALUE!</v>
      </c>
      <c r="CL100" t="e">
        <f>'Global IMACD Form'!B63+"$Cm=!&amp;:J"</f>
        <v>#VALUE!</v>
      </c>
      <c r="CM100" s="2" t="e">
        <f>'Global IMACD Form'!C63+"$Cm=!&amp;:K"</f>
        <v>#VALUE!</v>
      </c>
      <c r="CN100" t="e">
        <f>'Global IMACD Form'!D63+"$Cm=!&amp;:L"</f>
        <v>#VALUE!</v>
      </c>
      <c r="CO100" t="e">
        <f>'Global IMACD Form'!E63+"$Cm=!&amp;:M"</f>
        <v>#VALUE!</v>
      </c>
      <c r="CP100" t="e">
        <f>'Global IMACD Form'!F63+"$Cm=!&amp;:N"</f>
        <v>#VALUE!</v>
      </c>
      <c r="CQ100" t="e">
        <f>'Global IMACD Form'!G63+"$Cm=!&amp;:O"</f>
        <v>#VALUE!</v>
      </c>
      <c r="CR100" t="e">
        <f>'Global IMACD Form'!#REF!+"$Cm=!&amp;:P"</f>
        <v>#REF!</v>
      </c>
      <c r="CS100" t="e">
        <f>'Global IMACD Form'!#REF!+"$Cm=!&amp;:Q"</f>
        <v>#REF!</v>
      </c>
      <c r="CT100" t="e">
        <f>'Global IMACD Form'!#REF!+"$Cm=!&amp;:R"</f>
        <v>#REF!</v>
      </c>
      <c r="CU100" t="e">
        <f>'Global IMACD Form'!#REF!+"$Cm=!&amp;:S"</f>
        <v>#REF!</v>
      </c>
      <c r="CV100" t="e">
        <f>'Global IMACD Form'!A64+"$Cm=!&amp;:T"</f>
        <v>#VALUE!</v>
      </c>
      <c r="CW100" t="e">
        <f>'Global IMACD Form'!B64+"$Cm=!&amp;:U"</f>
        <v>#VALUE!</v>
      </c>
      <c r="CX100" s="2" t="e">
        <f>'Global IMACD Form'!C64+"$Cm=!&amp;:V"</f>
        <v>#VALUE!</v>
      </c>
      <c r="CY100" t="e">
        <f>'Global IMACD Form'!D64+"$Cm=!&amp;:W"</f>
        <v>#VALUE!</v>
      </c>
      <c r="CZ100" t="e">
        <f>'Global IMACD Form'!#REF!+"$Cm=!&amp;:X"</f>
        <v>#REF!</v>
      </c>
      <c r="DA100" t="e">
        <f>'Global IMACD Form'!#REF!+"$Cm=!&amp;:Y"</f>
        <v>#REF!</v>
      </c>
      <c r="DB100" t="e">
        <f>'Global IMACD Form'!#REF!+"$Cm=!&amp;:Z"</f>
        <v>#REF!</v>
      </c>
      <c r="DC100" t="e">
        <f>'Global IMACD Form'!#REF!+"$Cm=!&amp;:["</f>
        <v>#REF!</v>
      </c>
      <c r="DD100" t="e">
        <f>'Global IMACD Form'!A65+"$Cm=!&amp;:\"</f>
        <v>#VALUE!</v>
      </c>
      <c r="DE100" t="e">
        <f>'Global IMACD Form'!B65+"$Cm=!&amp;:]"</f>
        <v>#VALUE!</v>
      </c>
      <c r="DF100" s="2" t="e">
        <f>'Global IMACD Form'!C65+"$Cm=!&amp;:^"</f>
        <v>#VALUE!</v>
      </c>
      <c r="DG100" t="e">
        <f>'Global IMACD Form'!D65+"$Cm=!&amp;:_"</f>
        <v>#VALUE!</v>
      </c>
      <c r="DH100" t="e">
        <f>'Global IMACD Form'!E65+"$Cm=!&amp;:`"</f>
        <v>#VALUE!</v>
      </c>
      <c r="DI100" t="e">
        <f>'Global IMACD Form'!F65+"$Cm=!&amp;:a"</f>
        <v>#VALUE!</v>
      </c>
      <c r="DJ100" s="2" t="e">
        <f>'Global IMACD Form'!G65+"$Cm=!&amp;:b"</f>
        <v>#VALUE!</v>
      </c>
      <c r="DK100" t="e">
        <f>'Global IMACD Form'!#REF!+"$Cm=!&amp;:c"</f>
        <v>#REF!</v>
      </c>
      <c r="DL100" t="e">
        <f>'Global IMACD Form'!#REF!+"$Cm=!&amp;:d"</f>
        <v>#REF!</v>
      </c>
      <c r="DM100" t="e">
        <f>'Global IMACD Form'!#REF!+"$Cm=!&amp;:e"</f>
        <v>#REF!</v>
      </c>
      <c r="DN100" t="e">
        <f>'Global IMACD Form'!#REF!+"$Cm=!&amp;:f"</f>
        <v>#REF!</v>
      </c>
      <c r="DO100" t="e">
        <f>'Global IMACD Form'!A66+"$Cm=!&amp;:g"</f>
        <v>#VALUE!</v>
      </c>
      <c r="DP100" t="e">
        <f>'Global IMACD Form'!B66+"$Cm=!&amp;:h"</f>
        <v>#VALUE!</v>
      </c>
      <c r="DQ100" s="2" t="e">
        <f>'Global IMACD Form'!C66+"$Cm=!&amp;:i"</f>
        <v>#VALUE!</v>
      </c>
      <c r="DR100" t="e">
        <f>'Global IMACD Form'!D66+"$Cm=!&amp;:j"</f>
        <v>#VALUE!</v>
      </c>
      <c r="DS100" t="e">
        <f>'Global IMACD Form'!E66+"$Cm=!&amp;:k"</f>
        <v>#VALUE!</v>
      </c>
      <c r="DT100" t="e">
        <f>'Global IMACD Form'!F66+"$Cm=!&amp;:l"</f>
        <v>#VALUE!</v>
      </c>
      <c r="DU100" s="2" t="e">
        <f>'Global IMACD Form'!G66+"$Cm=!&amp;:m"</f>
        <v>#VALUE!</v>
      </c>
      <c r="DV100" t="e">
        <f>'Global IMACD Form'!#REF!+"$Cm=!&amp;:n"</f>
        <v>#REF!</v>
      </c>
      <c r="DW100" t="e">
        <f>'Global IMACD Form'!#REF!+"$Cm=!&amp;:o"</f>
        <v>#REF!</v>
      </c>
      <c r="DX100" t="e">
        <f>'Global IMACD Form'!#REF!+"$Cm=!&amp;:p"</f>
        <v>#REF!</v>
      </c>
      <c r="DY100" t="e">
        <f>'Global IMACD Form'!#REF!+"$Cm=!&amp;:q"</f>
        <v>#REF!</v>
      </c>
      <c r="DZ100" t="e">
        <f>'Global IMACD Form'!A67+"$Cm=!&amp;:r"</f>
        <v>#VALUE!</v>
      </c>
      <c r="EA100" t="e">
        <f>'Global IMACD Form'!B67+"$Cm=!&amp;:s"</f>
        <v>#VALUE!</v>
      </c>
      <c r="EB100" s="2" t="e">
        <f>'Global IMACD Form'!C67+"$Cm=!&amp;:t"</f>
        <v>#VALUE!</v>
      </c>
      <c r="EC100" t="e">
        <f>'Global IMACD Form'!D67+"$Cm=!&amp;:u"</f>
        <v>#VALUE!</v>
      </c>
      <c r="ED100" t="e">
        <f>'Global IMACD Form'!E67+"$Cm=!&amp;:v"</f>
        <v>#VALUE!</v>
      </c>
      <c r="EE100" t="e">
        <f>'Global IMACD Form'!F67+"$Cm=!&amp;:w"</f>
        <v>#VALUE!</v>
      </c>
      <c r="EF100" s="2" t="e">
        <f>'Global IMACD Form'!G67+"$Cm=!&amp;:x"</f>
        <v>#VALUE!</v>
      </c>
      <c r="EG100" t="e">
        <f>'Global IMACD Form'!#REF!+"$Cm=!&amp;:y"</f>
        <v>#REF!</v>
      </c>
      <c r="EH100" t="e">
        <f>'Global IMACD Form'!#REF!+"$Cm=!&amp;:z"</f>
        <v>#REF!</v>
      </c>
      <c r="EI100" t="e">
        <f>'Global IMACD Form'!#REF!+"$Cm=!&amp;:{"</f>
        <v>#REF!</v>
      </c>
      <c r="EJ100" t="e">
        <f>'Global IMACD Form'!#REF!+"$Cm=!&amp;:|"</f>
        <v>#REF!</v>
      </c>
      <c r="EK100" t="e">
        <f>'Global IMACD Form'!A68+"$Cm=!&amp;:}"</f>
        <v>#VALUE!</v>
      </c>
      <c r="EL100" t="e">
        <f>'Global IMACD Form'!B68+"$Cm=!&amp;:~"</f>
        <v>#VALUE!</v>
      </c>
      <c r="EM100" s="2" t="e">
        <f>'Global IMACD Form'!C68+"$Cm=!&amp;;#"</f>
        <v>#VALUE!</v>
      </c>
      <c r="EN100" t="e">
        <f>'Global IMACD Form'!D68+"$Cm=!&amp;;$"</f>
        <v>#VALUE!</v>
      </c>
      <c r="EO100" t="e">
        <f>'Global IMACD Form'!E68+"$Cm=!&amp;;%"</f>
        <v>#VALUE!</v>
      </c>
      <c r="EP100" t="e">
        <f>'Global IMACD Form'!F68+"$Cm=!&amp;;&amp;"</f>
        <v>#VALUE!</v>
      </c>
      <c r="EQ100" s="2" t="e">
        <f>'Global IMACD Form'!G68+"$Cm=!&amp;;'"</f>
        <v>#VALUE!</v>
      </c>
      <c r="ER100" t="e">
        <f>'Global IMACD Form'!#REF!+"$Cm=!&amp;;("</f>
        <v>#REF!</v>
      </c>
      <c r="ES100" t="e">
        <f>'Global IMACD Form'!#REF!+"$Cm=!&amp;;)"</f>
        <v>#REF!</v>
      </c>
      <c r="ET100" t="e">
        <f>'Global IMACD Form'!#REF!+"$Cm=!&amp;;."</f>
        <v>#REF!</v>
      </c>
      <c r="EU100" t="e">
        <f>'Global IMACD Form'!#REF!+"$Cm=!&amp;;/"</f>
        <v>#REF!</v>
      </c>
      <c r="EV100" t="e">
        <f>'Global IMACD Form'!A69+"$Cm=!&amp;;0"</f>
        <v>#VALUE!</v>
      </c>
      <c r="EW100" t="e">
        <f>'Global IMACD Form'!B69+"$Cm=!&amp;;1"</f>
        <v>#VALUE!</v>
      </c>
      <c r="EX100" s="2" t="e">
        <f>'Global IMACD Form'!C69+"$Cm=!&amp;;2"</f>
        <v>#VALUE!</v>
      </c>
      <c r="EY100" t="e">
        <f>'Global IMACD Form'!D69+"$Cm=!&amp;;3"</f>
        <v>#VALUE!</v>
      </c>
      <c r="EZ100" t="e">
        <f>'Global IMACD Form'!E69+"$Cm=!&amp;;4"</f>
        <v>#VALUE!</v>
      </c>
      <c r="FA100" t="e">
        <f>'Global IMACD Form'!F69+"$Cm=!&amp;;5"</f>
        <v>#VALUE!</v>
      </c>
      <c r="FB100" s="2" t="e">
        <f>'Global IMACD Form'!G69+"$Cm=!&amp;;6"</f>
        <v>#VALUE!</v>
      </c>
      <c r="FC100" t="e">
        <f>'Global IMACD Form'!#REF!+"$Cm=!&amp;;7"</f>
        <v>#REF!</v>
      </c>
      <c r="FD100" t="e">
        <f>'Global IMACD Form'!#REF!+"$Cm=!&amp;;8"</f>
        <v>#REF!</v>
      </c>
      <c r="FE100" t="e">
        <f>'Global IMACD Form'!#REF!+"$Cm=!&amp;;9"</f>
        <v>#REF!</v>
      </c>
      <c r="FF100" t="e">
        <f>'Global IMACD Form'!#REF!+"$Cm=!&amp;;:"</f>
        <v>#REF!</v>
      </c>
      <c r="FG100" t="e">
        <f>'Global IMACD Form'!#REF!+"$Cm=!&amp;;;"</f>
        <v>#REF!</v>
      </c>
      <c r="FH100" t="e">
        <f>'Global IMACD Form'!#REF!+"$Cm=!&amp;;&lt;"</f>
        <v>#REF!</v>
      </c>
      <c r="FI100" t="e">
        <f>'Global IMACD Form'!#REF!+"$Cm=!&amp;;="</f>
        <v>#REF!</v>
      </c>
      <c r="FJ100" t="e">
        <f>'Global IMACD Form'!#REF!+"$Cm=!&amp;;&gt;"</f>
        <v>#REF!</v>
      </c>
      <c r="FK100" t="e">
        <f>'Global IMACD Form'!#REF!+"$Cm=!&amp;;?"</f>
        <v>#REF!</v>
      </c>
      <c r="FL100" t="e">
        <f>'Global IMACD Form'!#REF!+"$Cm=!&amp;;@"</f>
        <v>#REF!</v>
      </c>
      <c r="FM100" t="e">
        <f>'Global IMACD Form'!#REF!+"$Cm=!&amp;;A"</f>
        <v>#REF!</v>
      </c>
      <c r="FN100" t="e">
        <f>'Global IMACD Form'!#REF!+"$Cm=!&amp;;B"</f>
        <v>#REF!</v>
      </c>
      <c r="FO100" t="e">
        <f>'Global IMACD Form'!#REF!+"$Cm=!&amp;;C"</f>
        <v>#REF!</v>
      </c>
      <c r="FP100" t="e">
        <f>'Global IMACD Form'!#REF!+"$Cm=!&amp;;D"</f>
        <v>#REF!</v>
      </c>
      <c r="FQ100" t="e">
        <f>'Global IMACD Form'!#REF!+"$Cm=!&amp;;E"</f>
        <v>#REF!</v>
      </c>
      <c r="FR100" t="e">
        <f>'Global IMACD Form'!#REF!+"$Cm=!&amp;;F"</f>
        <v>#REF!</v>
      </c>
      <c r="FS100" t="e">
        <f>'Global IMACD Form'!#REF!+"$Cm=!&amp;;G"</f>
        <v>#REF!</v>
      </c>
      <c r="FT100" t="e">
        <f>'Global IMACD Form'!#REF!+"$Cm=!&amp;;H"</f>
        <v>#REF!</v>
      </c>
      <c r="FU100" t="e">
        <f>'Global IMACD Form'!#REF!+"$Cm=!&amp;;I"</f>
        <v>#REF!</v>
      </c>
      <c r="FV100" t="e">
        <f>'Global IMACD Form'!#REF!+"$Cm=!&amp;;J"</f>
        <v>#REF!</v>
      </c>
      <c r="FW100" t="e">
        <f>'Global IMACD Form'!#REF!+"$Cm=!&amp;;K"</f>
        <v>#REF!</v>
      </c>
      <c r="FX100" t="e">
        <f>'Global IMACD Form'!#REF!+"$Cm=!&amp;;L"</f>
        <v>#REF!</v>
      </c>
      <c r="FY100" t="e">
        <f>'Global IMACD Form'!#REF!+"$Cm=!&amp;;M"</f>
        <v>#REF!</v>
      </c>
      <c r="FZ100" t="e">
        <f>'Global IMACD Form'!A77+"$Cm=!&amp;;N"</f>
        <v>#VALUE!</v>
      </c>
      <c r="GA100" t="e">
        <f>'Global IMACD Form'!B77+"$Cm=!&amp;;O"</f>
        <v>#VALUE!</v>
      </c>
      <c r="GB100" t="e">
        <f>'Global IMACD Form'!C77+"$Cm=!&amp;;P"</f>
        <v>#VALUE!</v>
      </c>
      <c r="GC100" t="e">
        <f>'Global IMACD Form'!D77+"$Cm=!&amp;;Q"</f>
        <v>#VALUE!</v>
      </c>
      <c r="GD100" t="e">
        <f>'Global IMACD Form'!E77+"$Cm=!&amp;;R"</f>
        <v>#VALUE!</v>
      </c>
      <c r="GE100" t="e">
        <f>'Global IMACD Form'!F77+"$Cm=!&amp;;S"</f>
        <v>#VALUE!</v>
      </c>
      <c r="GF100" t="e">
        <f>'Global IMACD Form'!G77+"$Cm=!&amp;;T"</f>
        <v>#VALUE!</v>
      </c>
      <c r="GG100" t="e">
        <f>'Global IMACD Form'!#REF!+"$Cm=!&amp;;U"</f>
        <v>#REF!</v>
      </c>
      <c r="GH100" t="e">
        <f>'Global IMACD Form'!#REF!+"$Cm=!&amp;;V"</f>
        <v>#REF!</v>
      </c>
      <c r="GI100" t="e">
        <f>'Global IMACD Form'!#REF!+"$Cm=!&amp;;W"</f>
        <v>#REF!</v>
      </c>
      <c r="GJ100" t="e">
        <f>'Global IMACD Form'!#REF!+"$Cm=!&amp;;X"</f>
        <v>#REF!</v>
      </c>
      <c r="GK100" t="e">
        <f>'Global IMACD Form'!#REF!+"$Cm=!&amp;;Y"</f>
        <v>#REF!</v>
      </c>
      <c r="GL100" t="e">
        <f>'Global IMACD Form'!#REF!+"$Cm=!&amp;;Z"</f>
        <v>#REF!</v>
      </c>
      <c r="GM100" t="e">
        <f>'Global IMACD Form'!#REF!+"$Cm=!&amp;;["</f>
        <v>#REF!</v>
      </c>
      <c r="GN100" t="e">
        <f>'Global IMACD Form'!#REF!+"$Cm=!&amp;;\"</f>
        <v>#REF!</v>
      </c>
      <c r="GO100" t="e">
        <f>'Global IMACD Form'!#REF!+"$Cm=!&amp;;]"</f>
        <v>#REF!</v>
      </c>
      <c r="GP100" t="e">
        <f>'Global IMACD Form'!#REF!+"$Cm=!&amp;;^"</f>
        <v>#REF!</v>
      </c>
      <c r="GQ100" t="e">
        <f>'Global IMACD Form'!#REF!+"$Cm=!&amp;;_"</f>
        <v>#REF!</v>
      </c>
      <c r="GR100" t="e">
        <f>'Global IMACD Form'!#REF!+"$Cm=!&amp;;`"</f>
        <v>#REF!</v>
      </c>
      <c r="GS100" t="e">
        <f>'Global IMACD Form'!#REF!+"$Cm=!&amp;;a"</f>
        <v>#REF!</v>
      </c>
      <c r="GT100" t="e">
        <f>'Global IMACD Form'!#REF!+"$Cm=!&amp;;b"</f>
        <v>#REF!</v>
      </c>
      <c r="GU100" t="e">
        <f>'Global IMACD Form'!A89+"$Cm=!&amp;;c"</f>
        <v>#VALUE!</v>
      </c>
      <c r="GV100" t="e">
        <f>'Global IMACD Form'!B89+"$Cm=!&amp;;d"</f>
        <v>#VALUE!</v>
      </c>
      <c r="GW100" t="e">
        <f>'Global IMACD Form'!C89+"$Cm=!&amp;;e"</f>
        <v>#VALUE!</v>
      </c>
      <c r="GX100" t="e">
        <f>'Global IMACD Form'!E89+"$Cm=!&amp;;f"</f>
        <v>#VALUE!</v>
      </c>
      <c r="GY100" t="e">
        <f>'Global IMACD Form'!F89+"$Cm=!&amp;;g"</f>
        <v>#VALUE!</v>
      </c>
      <c r="GZ100" t="e">
        <f>'Global IMACD Form'!G89+"$Cm=!&amp;;h"</f>
        <v>#VALUE!</v>
      </c>
      <c r="HA100" t="e">
        <f>'Global IMACD Form'!#REF!+"$Cm=!&amp;;i"</f>
        <v>#REF!</v>
      </c>
      <c r="HB100" t="e">
        <f>'Global IMACD Form'!#REF!+"$Cm=!&amp;;j"</f>
        <v>#REF!</v>
      </c>
      <c r="HC100" t="e">
        <f>'Global IMACD Form'!#REF!+"$Cm=!&amp;;k"</f>
        <v>#REF!</v>
      </c>
      <c r="HD100" t="e">
        <f>'Global IMACD Form'!#REF!+"$Cm=!&amp;;l"</f>
        <v>#REF!</v>
      </c>
      <c r="HE100" t="e">
        <f>'Global IMACD Form'!#REF!+"$Cm=!&amp;;m"</f>
        <v>#REF!</v>
      </c>
      <c r="HF100" t="e">
        <f>'Global IMACD Form'!#REF!+"$Cm=!&amp;;n"</f>
        <v>#REF!</v>
      </c>
      <c r="HG100" t="e">
        <f>'Global IMACD Form'!#REF!+"$Cm=!&amp;;o"</f>
        <v>#REF!</v>
      </c>
      <c r="HH100" t="e">
        <f>'Global IMACD Form'!#REF!+"$Cm=!&amp;;p"</f>
        <v>#REF!</v>
      </c>
      <c r="HI100" t="e">
        <f>'Global IMACD Form'!#REF!+"$Cm=!&amp;;q"</f>
        <v>#REF!</v>
      </c>
      <c r="HJ100" t="e">
        <f>'Global IMACD Form'!#REF!+"$Cm=!&amp;;r"</f>
        <v>#REF!</v>
      </c>
      <c r="HK100" t="e">
        <f>'Global IMACD Form'!#REF!+"$Cm=!&amp;;s"</f>
        <v>#REF!</v>
      </c>
      <c r="HL100" t="e">
        <f>'Global IMACD Form'!#REF!+"$Cm=!&amp;;t"</f>
        <v>#REF!</v>
      </c>
      <c r="HM100" t="e">
        <f>'Global IMACD Form'!#REF!+"$Cm=!&amp;;u"</f>
        <v>#REF!</v>
      </c>
      <c r="HN100" t="e">
        <f>'Global IMACD Form'!#REF!+"$Cm=!&amp;;v"</f>
        <v>#REF!</v>
      </c>
      <c r="HO100" t="e">
        <f>'Global IMACD Form'!#REF!+"$Cm=!&amp;;w"</f>
        <v>#REF!</v>
      </c>
      <c r="HP100" t="e">
        <f>'Global IMACD Form'!#REF!+"$Cm=!&amp;;x"</f>
        <v>#REF!</v>
      </c>
      <c r="HQ100" t="e">
        <f>'Global IMACD Form'!#REF!+"$Cm=!&amp;;y"</f>
        <v>#REF!</v>
      </c>
      <c r="HR100" t="e">
        <f>'Global IMACD Form'!#REF!+"$Cm=!&amp;;z"</f>
        <v>#REF!</v>
      </c>
      <c r="HS100" t="e">
        <f>'Global IMACD Form'!#REF!+"$Cm=!&amp;;{"</f>
        <v>#REF!</v>
      </c>
      <c r="HT100" t="e">
        <f>'Global IMACD Form'!#REF!+"$Cm=!&amp;;|"</f>
        <v>#REF!</v>
      </c>
      <c r="HU100" t="e">
        <f>'Global IMACD Form'!#REF!+"$Cm=!&amp;;}"</f>
        <v>#REF!</v>
      </c>
      <c r="HV100" t="e">
        <f>'Global IMACD Form'!#REF!+"$Cm=!&amp;;~"</f>
        <v>#REF!</v>
      </c>
      <c r="HW100" t="e">
        <f>'Global IMACD Form'!#REF!+"$Cm=!&amp;&lt;#"</f>
        <v>#REF!</v>
      </c>
      <c r="HX100" t="e">
        <f>'Global IMACD Form'!#REF!+"$Cm=!&amp;&lt;$"</f>
        <v>#REF!</v>
      </c>
      <c r="HY100" t="e">
        <f>'Global IMACD Form'!#REF!+"$Cm=!&amp;&lt;%"</f>
        <v>#REF!</v>
      </c>
      <c r="HZ100" t="e">
        <f>'Global IMACD Form'!#REF!+"$Cm=!&amp;&lt;&amp;"</f>
        <v>#REF!</v>
      </c>
      <c r="IA100" t="e">
        <f>'Global IMACD Form'!#REF!+"$Cm=!&amp;&lt;'"</f>
        <v>#REF!</v>
      </c>
      <c r="IB100" t="e">
        <f>'Global IMACD Form'!#REF!+"$Cm=!&amp;&lt;("</f>
        <v>#REF!</v>
      </c>
      <c r="IC100" t="e">
        <f>'Global IMACD Form'!#REF!+"$Cm=!&amp;&lt;)"</f>
        <v>#REF!</v>
      </c>
      <c r="ID100" t="e">
        <f>'Global IMACD Form'!#REF!+"$Cm=!&amp;&lt;."</f>
        <v>#REF!</v>
      </c>
      <c r="IE100" t="e">
        <f>'Global IMACD Form'!#REF!+"$Cm=!&amp;&lt;/"</f>
        <v>#REF!</v>
      </c>
      <c r="IF100" t="e">
        <f>'Global IMACD Form'!#REF!+"$Cm=!&amp;&lt;0"</f>
        <v>#REF!</v>
      </c>
      <c r="IG100" t="e">
        <f>'Global IMACD Form'!#REF!+"$Cm=!&amp;&lt;1"</f>
        <v>#REF!</v>
      </c>
      <c r="IH100" t="e">
        <f>'Global IMACD Form'!#REF!+"$Cm=!&amp;&lt;2"</f>
        <v>#REF!</v>
      </c>
      <c r="II100" t="e">
        <f>'Global IMACD Form'!#REF!+"$Cm=!&amp;&lt;3"</f>
        <v>#REF!</v>
      </c>
      <c r="IJ100" t="e">
        <f>'Global IMACD Form'!#REF!+"$Cm=!&amp;&lt;4"</f>
        <v>#REF!</v>
      </c>
      <c r="IK100" t="e">
        <f>'Global IMACD Form'!#REF!+"$Cm=!&amp;&lt;5"</f>
        <v>#REF!</v>
      </c>
      <c r="IL100" t="e">
        <f>'Global IMACD Form'!#REF!+"$Cm=!&amp;&lt;6"</f>
        <v>#REF!</v>
      </c>
      <c r="IM100" t="e">
        <f>'Global IMACD Form'!#REF!+"$Cm=!&amp;&lt;7"</f>
        <v>#REF!</v>
      </c>
      <c r="IN100" t="e">
        <f>'Global IMACD Form'!#REF!+"$Cm=!&amp;&lt;8"</f>
        <v>#REF!</v>
      </c>
      <c r="IO100" t="e">
        <f>'Global IMACD Form'!#REF!+"$Cm=!&amp;&lt;9"</f>
        <v>#REF!</v>
      </c>
      <c r="IP100" t="e">
        <f>'Global IMACD Form'!#REF!+"$Cm=!&amp;&lt;:"</f>
        <v>#REF!</v>
      </c>
      <c r="IQ100" t="e">
        <f>'Global IMACD Form'!#REF!+"$Cm=!&amp;&lt;;"</f>
        <v>#REF!</v>
      </c>
      <c r="IR100" t="e">
        <f>'Global IMACD Form'!#REF!+"$Cm=!&amp;&lt;&lt;"</f>
        <v>#REF!</v>
      </c>
      <c r="IS100" t="e">
        <f>'Global IMACD Form'!#REF!+"$Cm=!&amp;&lt;="</f>
        <v>#REF!</v>
      </c>
      <c r="IT100" t="e">
        <f>'Global IMACD Form'!#REF!+"$Cm=!&amp;&lt;&gt;"</f>
        <v>#REF!</v>
      </c>
      <c r="IU100" t="e">
        <f>'Global IMACD Form'!#REF!+"$Cm=!&amp;&lt;?"</f>
        <v>#REF!</v>
      </c>
      <c r="IV100" t="e">
        <f>'Global IMACD Form'!#REF!+"$Cm=!&amp;&lt;@"</f>
        <v>#REF!</v>
      </c>
    </row>
    <row r="101" spans="6:256">
      <c r="F101" t="e">
        <f>'Global IMACD Form'!#REF!+"$Cm=!&amp;&lt;A"</f>
        <v>#REF!</v>
      </c>
      <c r="G101" t="e">
        <f>'Global IMACD Form'!#REF!+"$Cm=!&amp;&lt;B"</f>
        <v>#REF!</v>
      </c>
      <c r="H101" t="e">
        <f>'Global IMACD Form'!#REF!+"$Cm=!&amp;&lt;C"</f>
        <v>#REF!</v>
      </c>
      <c r="I101" t="e">
        <f>'Global IMACD Form'!#REF!+"$Cm=!&amp;&lt;D"</f>
        <v>#REF!</v>
      </c>
      <c r="J101" t="e">
        <f>'Global IMACD Form'!#REF!+"$Cm=!&amp;&lt;E"</f>
        <v>#REF!</v>
      </c>
      <c r="K101" t="e">
        <f>'Global IMACD Form'!#REF!+"$Cm=!&amp;&lt;F"</f>
        <v>#REF!</v>
      </c>
      <c r="L101" t="e">
        <f>'Global IMACD Form'!#REF!+"$Cm=!&amp;&lt;G"</f>
        <v>#REF!</v>
      </c>
      <c r="M101" t="e">
        <f>'Global IMACD Form'!#REF!+"$Cm=!&amp;&lt;H"</f>
        <v>#REF!</v>
      </c>
      <c r="N101" t="e">
        <f>'Global IMACD Form'!#REF!+"$Cm=!&amp;&lt;I"</f>
        <v>#REF!</v>
      </c>
      <c r="O101" t="e">
        <f>'Global IMACD Form'!#REF!+"$Cm=!&amp;&lt;J"</f>
        <v>#REF!</v>
      </c>
      <c r="P101" t="e">
        <f>'Global IMACD Form'!#REF!+"$Cm=!&amp;&lt;K"</f>
        <v>#REF!</v>
      </c>
      <c r="Q101" t="e">
        <f>'Global IMACD Form'!#REF!+"$Cm=!&amp;&lt;L"</f>
        <v>#REF!</v>
      </c>
      <c r="R101" t="e">
        <f>'Global IMACD Form'!#REF!+"$Cm=!&amp;&lt;M"</f>
        <v>#REF!</v>
      </c>
      <c r="S101" t="e">
        <f>'Global IMACD Form'!#REF!+"$Cm=!&amp;&lt;N"</f>
        <v>#REF!</v>
      </c>
      <c r="T101" t="e">
        <f>'Global IMACD Form'!#REF!+"$Cm=!&amp;&lt;O"</f>
        <v>#REF!</v>
      </c>
      <c r="U101" t="e">
        <f>'Global IMACD Form'!#REF!+"$Cm=!&amp;&lt;P"</f>
        <v>#REF!</v>
      </c>
      <c r="V101" t="e">
        <f>'Global IMACD Form'!#REF!+"$Cm=!&amp;&lt;Q"</f>
        <v>#REF!</v>
      </c>
      <c r="W101" t="e">
        <f>'Global IMACD Form'!#REF!+"$Cm=!&amp;&lt;R"</f>
        <v>#REF!</v>
      </c>
      <c r="X101" t="e">
        <f>'Global IMACD Form'!#REF!+"$Cm=!&amp;&lt;S"</f>
        <v>#REF!</v>
      </c>
      <c r="Y101" t="e">
        <f>'Global IMACD Form'!#REF!+"$Cm=!&amp;&lt;T"</f>
        <v>#REF!</v>
      </c>
      <c r="Z101" t="e">
        <f>'Global IMACD Form'!#REF!+"$Cm=!&amp;&lt;U"</f>
        <v>#REF!</v>
      </c>
      <c r="AA101" t="e">
        <f>'Global IMACD Form'!#REF!+"$Cm=!&amp;&lt;V"</f>
        <v>#REF!</v>
      </c>
      <c r="AB101" t="e">
        <f>'Global IMACD Form'!#REF!+"$Cm=!&amp;&lt;W"</f>
        <v>#REF!</v>
      </c>
      <c r="AC101" t="e">
        <f>'Global IMACD Form'!#REF!+"$Cm=!&amp;&lt;X"</f>
        <v>#REF!</v>
      </c>
      <c r="AD101" t="e">
        <f>'Global IMACD Form'!#REF!+"$Cm=!&amp;&lt;Y"</f>
        <v>#REF!</v>
      </c>
      <c r="AE101" t="e">
        <f>'Global IMACD Form'!A94+"$Cm=!&amp;&lt;Z"</f>
        <v>#VALUE!</v>
      </c>
      <c r="AF101" t="e">
        <f>'Global IMACD Form'!B94+"$Cm=!&amp;&lt;["</f>
        <v>#VALUE!</v>
      </c>
      <c r="AG101" t="e">
        <f>'Global IMACD Form'!C94+"$Cm=!&amp;&lt;\"</f>
        <v>#VALUE!</v>
      </c>
      <c r="AH101" t="e">
        <f>'Global IMACD Form'!D94+"$Cm=!&amp;&lt;]"</f>
        <v>#VALUE!</v>
      </c>
      <c r="AI101" t="e">
        <f>'Global IMACD Form'!E94+"$Cm=!&amp;&lt;^"</f>
        <v>#VALUE!</v>
      </c>
      <c r="AJ101" t="e">
        <f>'Global IMACD Form'!F94+"$Cm=!&amp;&lt;_"</f>
        <v>#VALUE!</v>
      </c>
      <c r="AK101" t="e">
        <f>'Global IMACD Form'!G94+"$Cm=!&amp;&lt;`"</f>
        <v>#VALUE!</v>
      </c>
      <c r="AL101" t="e">
        <f>'Global IMACD Form'!#REF!+"$Cm=!&amp;&lt;a"</f>
        <v>#REF!</v>
      </c>
      <c r="AM101" t="e">
        <f>'Global IMACD Form'!#REF!+"$Cm=!&amp;&lt;b"</f>
        <v>#REF!</v>
      </c>
      <c r="AN101" t="e">
        <f>'Global IMACD Form'!#REF!+"$Cm=!&amp;&lt;c"</f>
        <v>#REF!</v>
      </c>
      <c r="AO101" t="e">
        <f>'Global IMACD Form'!#REF!+"$Cm=!&amp;&lt;d"</f>
        <v>#REF!</v>
      </c>
      <c r="AP101" t="e">
        <f>'Global IMACD Form'!#REF!+"$Cm=!&amp;&lt;e"</f>
        <v>#REF!</v>
      </c>
      <c r="AQ101" t="e">
        <f>'Global IMACD Form'!#REF!+"$Cm=!&amp;&lt;f"</f>
        <v>#REF!</v>
      </c>
      <c r="AR101" t="e">
        <f>'Global IMACD Form'!#REF!+"$Cm=!&amp;&lt;g"</f>
        <v>#REF!</v>
      </c>
      <c r="AS101" t="e">
        <f>'Global IMACD Form'!#REF!+"$Cm=!&amp;&lt;h"</f>
        <v>#REF!</v>
      </c>
      <c r="AT101" t="e">
        <f>'Global IMACD Form'!#REF!+"$Cm=!&amp;&lt;i"</f>
        <v>#REF!</v>
      </c>
      <c r="AU101" t="e">
        <f>'Global IMACD Form'!#REF!+"$Cm=!&amp;&lt;j"</f>
        <v>#REF!</v>
      </c>
      <c r="AV101" t="e">
        <f>'Global IMACD Form'!#REF!+"$Cm=!&amp;&lt;k"</f>
        <v>#REF!</v>
      </c>
      <c r="AW101" t="e">
        <f>'Global IMACD Form'!#REF!+"$Cm=!&amp;&lt;l"</f>
        <v>#REF!</v>
      </c>
      <c r="AX101" t="e">
        <f>'Global IMACD Form'!A96+"$Cm=!&amp;&lt;m"</f>
        <v>#VALUE!</v>
      </c>
      <c r="AY101" t="e">
        <f>'Global IMACD Form'!B96+"$Cm=!&amp;&lt;n"</f>
        <v>#VALUE!</v>
      </c>
      <c r="AZ101" t="e">
        <f>'Global IMACD Form'!C96+"$Cm=!&amp;&lt;o"</f>
        <v>#VALUE!</v>
      </c>
      <c r="BA101" t="e">
        <f>'Global IMACD Form'!D96+"$Cm=!&amp;&lt;p"</f>
        <v>#VALUE!</v>
      </c>
      <c r="BB101" t="e">
        <f>'Global IMACD Form'!E96+"$Cm=!&amp;&lt;q"</f>
        <v>#VALUE!</v>
      </c>
      <c r="BC101" t="e">
        <f>'Global IMACD Form'!F96+"$Cm=!&amp;&lt;r"</f>
        <v>#VALUE!</v>
      </c>
      <c r="BD101" t="e">
        <f>'Global IMACD Form'!G96+"$Cm=!&amp;&lt;s"</f>
        <v>#VALUE!</v>
      </c>
      <c r="BE101" t="e">
        <f>'Global IMACD Form'!#REF!+"$Cm=!&amp;&lt;t"</f>
        <v>#REF!</v>
      </c>
      <c r="BF101" t="e">
        <f>'Global IMACD Form'!#REF!+"$Cm=!&amp;&lt;u"</f>
        <v>#REF!</v>
      </c>
      <c r="BG101" t="e">
        <f>'Global IMACD Form'!#REF!+"$Cm=!&amp;&lt;v"</f>
        <v>#REF!</v>
      </c>
      <c r="BH101" t="e">
        <f>'Global IMACD Form'!A97+"$Cm=!&amp;&lt;w"</f>
        <v>#VALUE!</v>
      </c>
      <c r="BI101" t="e">
        <f>'Global IMACD Form'!B97+"$Cm=!&amp;&lt;x"</f>
        <v>#VALUE!</v>
      </c>
      <c r="BJ101" t="e">
        <f>'Global IMACD Form'!C97+"$Cm=!&amp;&lt;y"</f>
        <v>#VALUE!</v>
      </c>
      <c r="BK101" t="e">
        <f>'Global IMACD Form'!D97+"$Cm=!&amp;&lt;z"</f>
        <v>#VALUE!</v>
      </c>
      <c r="BL101" t="e">
        <f>'Global IMACD Form'!E97+"$Cm=!&amp;&lt;{"</f>
        <v>#VALUE!</v>
      </c>
      <c r="BM101" t="e">
        <f>'Global IMACD Form'!F97+"$Cm=!&amp;&lt;|"</f>
        <v>#VALUE!</v>
      </c>
      <c r="BN101" t="e">
        <f>'Global IMACD Form'!G97+"$Cm=!&amp;&lt;}"</f>
        <v>#VALUE!</v>
      </c>
      <c r="BO101" t="e">
        <f>'Global IMACD Form'!A98+"$Cm=!&amp;&lt;~"</f>
        <v>#VALUE!</v>
      </c>
      <c r="BP101" t="e">
        <f>'Global IMACD Form'!B98+"$Cm=!&amp;=#"</f>
        <v>#VALUE!</v>
      </c>
      <c r="BQ101" t="e">
        <f>'Global IMACD Form'!C98+"$Cm=!&amp;=$"</f>
        <v>#VALUE!</v>
      </c>
      <c r="BR101" t="e">
        <f>'Global IMACD Form'!D98+"$Cm=!&amp;=%"</f>
        <v>#VALUE!</v>
      </c>
      <c r="BS101" t="e">
        <f>'Global IMACD Form'!E98+"$Cm=!&amp;=&amp;"</f>
        <v>#VALUE!</v>
      </c>
      <c r="BT101" t="e">
        <f>'Global IMACD Form'!F98+"$Cm=!&amp;='"</f>
        <v>#VALUE!</v>
      </c>
      <c r="BU101" t="e">
        <f>'Global IMACD Form'!G98+"$Cm=!&amp;=("</f>
        <v>#VALUE!</v>
      </c>
      <c r="BV101" t="e">
        <f>'Global IMACD Form'!#REF!+"$Cm=!&amp;=)"</f>
        <v>#REF!</v>
      </c>
      <c r="BW101" t="e">
        <f>'Global IMACD Form'!#REF!+"$Cm=!&amp;=."</f>
        <v>#REF!</v>
      </c>
      <c r="BX101" t="e">
        <f>'Global IMACD Form'!#REF!+"$Cm=!&amp;=/"</f>
        <v>#REF!</v>
      </c>
      <c r="BY101" t="e">
        <f>'Global IMACD Form'!#REF!+"$Cm=!&amp;=0"</f>
        <v>#REF!</v>
      </c>
      <c r="BZ101" t="e">
        <f>'Global IMACD Form'!A99+"$Cm=!&amp;=1"</f>
        <v>#VALUE!</v>
      </c>
      <c r="CA101" t="e">
        <f>'Global IMACD Form'!B99+"$Cm=!&amp;=2"</f>
        <v>#VALUE!</v>
      </c>
      <c r="CB101" t="e">
        <f>'Global IMACD Form'!C99+"$Cm=!&amp;=3"</f>
        <v>#VALUE!</v>
      </c>
      <c r="CC101" t="e">
        <f>'Global IMACD Form'!D99+"$Cm=!&amp;=4"</f>
        <v>#VALUE!</v>
      </c>
      <c r="CD101" t="e">
        <f>'Global IMACD Form'!E99+"$Cm=!&amp;=5"</f>
        <v>#VALUE!</v>
      </c>
      <c r="CE101" t="e">
        <f>'Global IMACD Form'!F99+"$Cm=!&amp;=6"</f>
        <v>#VALUE!</v>
      </c>
      <c r="CF101" t="e">
        <f>'Global IMACD Form'!G99+"$Cm=!&amp;=7"</f>
        <v>#VALUE!</v>
      </c>
      <c r="CG101" t="e">
        <f>'Global IMACD Form'!#REF!+"$Cm=!&amp;=8"</f>
        <v>#REF!</v>
      </c>
      <c r="CH101" t="e">
        <f>'Global IMACD Form'!#REF!+"$Cm=!&amp;=9"</f>
        <v>#REF!</v>
      </c>
      <c r="CI101" t="e">
        <f>'Global IMACD Form'!#REF!+"$Cm=!&amp;=:"</f>
        <v>#REF!</v>
      </c>
      <c r="CJ101" t="e">
        <f>'Global IMACD Form'!#REF!+"$Cm=!&amp;=;"</f>
        <v>#REF!</v>
      </c>
      <c r="CK101" t="e">
        <f>'Global IMACD Form'!#REF!+"$Cm=!&amp;=&lt;"</f>
        <v>#REF!</v>
      </c>
      <c r="CL101" t="e">
        <f>'Global IMACD Form'!#REF!+"$Cm=!&amp;=="</f>
        <v>#REF!</v>
      </c>
      <c r="CM101" t="e">
        <f>'Global IMACD Form'!#REF!+"$Cm=!&amp;=&gt;"</f>
        <v>#REF!</v>
      </c>
      <c r="CN101" t="e">
        <f>'Global IMACD Form'!#REF!+"$Cm=!&amp;=?"</f>
        <v>#REF!</v>
      </c>
      <c r="CO101" t="e">
        <f>'Global IMACD Form'!#REF!+"$Cm=!&amp;=@"</f>
        <v>#REF!</v>
      </c>
      <c r="CP101" t="e">
        <f>'Global IMACD Form'!#REF!+"$Cm=!&amp;=A"</f>
        <v>#REF!</v>
      </c>
      <c r="CQ101" t="e">
        <f>'Global IMACD Form'!#REF!+"$Cm=!&amp;=B"</f>
        <v>#REF!</v>
      </c>
      <c r="CR101" t="e">
        <f>'Global IMACD Form'!#REF!+"$Cm=!&amp;=C"</f>
        <v>#REF!</v>
      </c>
      <c r="CS101" t="e">
        <f>'Global IMACD Form'!#REF!+"$Cm=!&amp;=D"</f>
        <v>#REF!</v>
      </c>
      <c r="CT101" t="e">
        <f>'Global IMACD Form'!#REF!+"$Cm=!&amp;=E"</f>
        <v>#REF!</v>
      </c>
      <c r="CU101" t="e">
        <f>'Global IMACD Form'!#REF!+"$Cm=!&amp;=F"</f>
        <v>#REF!</v>
      </c>
      <c r="CV101" t="e">
        <f>'Global IMACD Form'!#REF!+"$Cm=!&amp;=G"</f>
        <v>#REF!</v>
      </c>
      <c r="CW101" t="e">
        <f>'Global IMACD Form'!#REF!+"$Cm=!&amp;=H"</f>
        <v>#REF!</v>
      </c>
      <c r="CX101" t="e">
        <f>'Global IMACD Form'!#REF!+"$Cm=!&amp;=I"</f>
        <v>#REF!</v>
      </c>
      <c r="CY101" t="e">
        <f>'Global IMACD Form'!#REF!+"$Cm=!&amp;=J"</f>
        <v>#REF!</v>
      </c>
      <c r="CZ101" t="e">
        <f>'Global IMACD Form'!#REF!+"$Cm=!&amp;=K"</f>
        <v>#REF!</v>
      </c>
      <c r="DA101" t="e">
        <f>'Global IMACD Form'!#REF!+"$Cm=!&amp;=L"</f>
        <v>#REF!</v>
      </c>
      <c r="DB101" t="e">
        <f>'Global IMACD Form'!#REF!+"$Cm=!&amp;=M"</f>
        <v>#REF!</v>
      </c>
      <c r="DC101" t="e">
        <f>'Global IMACD Form'!#REF!+"$Cm=!&amp;=N"</f>
        <v>#REF!</v>
      </c>
      <c r="DD101" t="e">
        <f>'Global IMACD Form'!#REF!+"$Cm=!&amp;=O"</f>
        <v>#REF!</v>
      </c>
      <c r="DE101" t="e">
        <f>'Global IMACD Form'!#REF!+"$Cm=!&amp;=P"</f>
        <v>#REF!</v>
      </c>
      <c r="DF101" t="e">
        <f>'Global IMACD Form'!#REF!+"$Cm=!&amp;=Q"</f>
        <v>#REF!</v>
      </c>
      <c r="DG101" t="e">
        <f>'Global IMACD Form'!#REF!+"$Cm=!&amp;=R"</f>
        <v>#REF!</v>
      </c>
      <c r="DH101" t="e">
        <f>'Global IMACD Form'!#REF!+"$Cm=!&amp;=S"</f>
        <v>#REF!</v>
      </c>
      <c r="DI101" t="e">
        <f>'Global IMACD Form'!#REF!+"$Cm=!&amp;=T"</f>
        <v>#REF!</v>
      </c>
      <c r="DJ101" t="e">
        <f>'Global IMACD Form'!#REF!+"$Cm=!&amp;=U"</f>
        <v>#REF!</v>
      </c>
      <c r="DK101" t="e">
        <f>'Global IMACD Form'!#REF!+"$Cm=!&amp;=V"</f>
        <v>#REF!</v>
      </c>
      <c r="DL101" t="e">
        <f>'Global IMACD Form'!#REF!+"$Cm=!&amp;=W"</f>
        <v>#REF!</v>
      </c>
      <c r="DM101" t="e">
        <f>'Global IMACD Form'!#REF!+"$Cm=!&amp;=X"</f>
        <v>#REF!</v>
      </c>
      <c r="DN101" t="e">
        <f>'Global IMACD Form'!#REF!+"$Cm=!&amp;=Y"</f>
        <v>#REF!</v>
      </c>
      <c r="DO101" t="e">
        <f>'Global IMACD Form'!#REF!+"$Cm=!&amp;=Z"</f>
        <v>#REF!</v>
      </c>
      <c r="DP101" t="e">
        <f>'Global IMACD Form'!#REF!+"$Cm=!&amp;=["</f>
        <v>#REF!</v>
      </c>
      <c r="DQ101" t="e">
        <f>'Global IMACD Form'!#REF!+"$Cm=!&amp;=\"</f>
        <v>#REF!</v>
      </c>
      <c r="DR101" s="2" t="e">
        <f>'Global IMACD Form'!#REF!+"$Cm=!&amp;=]"</f>
        <v>#REF!</v>
      </c>
      <c r="DS101" t="e">
        <f>'Global IMACD Form'!#REF!+"$Cm=!&amp;=^"</f>
        <v>#REF!</v>
      </c>
      <c r="DT101" t="e">
        <f>'Global IMACD Form'!#REF!+"$Cm=!&amp;=_"</f>
        <v>#REF!</v>
      </c>
      <c r="DU101" s="2" t="e">
        <f>'Global IMACD Form'!#REF!+"$Cm=!&amp;=`"</f>
        <v>#REF!</v>
      </c>
      <c r="DV101" s="2" t="e">
        <f>'Global IMACD Form'!#REF!+"$Cm=!&amp;=a"</f>
        <v>#REF!</v>
      </c>
      <c r="DW101" s="2" t="e">
        <f>'Global IMACD Form'!#REF!+"$Cm=!&amp;=b"</f>
        <v>#REF!</v>
      </c>
      <c r="DX101" s="2" t="e">
        <f>'Global IMACD Form'!#REF!+"$Cm=!&amp;=c"</f>
        <v>#REF!</v>
      </c>
      <c r="DY101" t="e">
        <f>'Global IMACD Form'!#REF!+"$Cm=!&amp;=d"</f>
        <v>#REF!</v>
      </c>
      <c r="DZ101" t="e">
        <f>'Global IMACD Form'!#REF!+"$Cm=!&amp;=e"</f>
        <v>#REF!</v>
      </c>
      <c r="EA101" t="e">
        <f>'Global IMACD Form'!#REF!+"$Cm=!&amp;=f"</f>
        <v>#REF!</v>
      </c>
      <c r="EB101" s="2" t="e">
        <f>'Global IMACD Form'!#REF!+"$Cm=!&amp;=g"</f>
        <v>#REF!</v>
      </c>
      <c r="EC101" t="e">
        <f>'Global IMACD Form'!#REF!+"$Cm=!&amp;=h"</f>
        <v>#REF!</v>
      </c>
      <c r="ED101" t="e">
        <f>'Global IMACD Form'!#REF!+"$Cm=!&amp;=i"</f>
        <v>#REF!</v>
      </c>
      <c r="EE101" s="2" t="e">
        <f>'Global IMACD Form'!#REF!+"$Cm=!&amp;=j"</f>
        <v>#REF!</v>
      </c>
      <c r="EF101" s="2" t="e">
        <f>'Global IMACD Form'!#REF!+"$Cm=!&amp;=k"</f>
        <v>#REF!</v>
      </c>
      <c r="EG101" s="2" t="e">
        <f>'Global IMACD Form'!#REF!+"$Cm=!&amp;=l"</f>
        <v>#REF!</v>
      </c>
      <c r="EH101" s="2" t="e">
        <f>'Global IMACD Form'!#REF!+"$Cm=!&amp;=m"</f>
        <v>#REF!</v>
      </c>
      <c r="EI101" t="e">
        <f>'Global IMACD Form'!#REF!+"$Cm=!&amp;=n"</f>
        <v>#REF!</v>
      </c>
      <c r="EJ101" t="e">
        <f>'Global IMACD Form'!#REF!+"$Cm=!&amp;=o"</f>
        <v>#REF!</v>
      </c>
      <c r="EK101" t="e">
        <f>'Global IMACD Form'!#REF!+"$Cm=!&amp;=p"</f>
        <v>#REF!</v>
      </c>
      <c r="EL101" s="2" t="e">
        <f>'Global IMACD Form'!#REF!+"$Cm=!&amp;=q"</f>
        <v>#REF!</v>
      </c>
      <c r="EM101" t="e">
        <f>'Global IMACD Form'!#REF!+"$Cm=!&amp;=r"</f>
        <v>#REF!</v>
      </c>
      <c r="EN101" t="e">
        <f>'Global IMACD Form'!#REF!+"$Cm=!&amp;=s"</f>
        <v>#REF!</v>
      </c>
      <c r="EO101" s="2" t="e">
        <f>'Global IMACD Form'!#REF!+"$Cm=!&amp;=t"</f>
        <v>#REF!</v>
      </c>
      <c r="EP101" s="2" t="e">
        <f>'Global IMACD Form'!#REF!+"$Cm=!&amp;=u"</f>
        <v>#REF!</v>
      </c>
      <c r="EQ101" s="2" t="e">
        <f>'Global IMACD Form'!#REF!+"$Cm=!&amp;=v"</f>
        <v>#REF!</v>
      </c>
      <c r="ER101" s="2" t="e">
        <f>'Global IMACD Form'!#REF!+"$Cm=!&amp;=w"</f>
        <v>#REF!</v>
      </c>
      <c r="ES101" t="e">
        <f>'Global IMACD Form'!#REF!+"$Cm=!&amp;=x"</f>
        <v>#REF!</v>
      </c>
      <c r="ET101" t="e">
        <f>'Global IMACD Form'!#REF!+"$Cm=!&amp;=y"</f>
        <v>#REF!</v>
      </c>
      <c r="EU101" t="e">
        <f>'Global IMACD Form'!#REF!+"$Cm=!&amp;=z"</f>
        <v>#REF!</v>
      </c>
      <c r="EV101" s="2" t="e">
        <f>'Global IMACD Form'!#REF!+"$Cm=!&amp;={"</f>
        <v>#REF!</v>
      </c>
      <c r="EW101" t="e">
        <f>'Global IMACD Form'!#REF!+"$Cm=!&amp;=|"</f>
        <v>#REF!</v>
      </c>
      <c r="EX101" t="e">
        <f>'Global IMACD Form'!#REF!+"$Cm=!&amp;=}"</f>
        <v>#REF!</v>
      </c>
      <c r="EY101" s="2" t="e">
        <f>'Global IMACD Form'!#REF!+"$Cm=!&amp;=~"</f>
        <v>#REF!</v>
      </c>
      <c r="EZ101" s="2" t="e">
        <f>'Global IMACD Form'!#REF!+"$Cm=!&amp;&gt;#"</f>
        <v>#REF!</v>
      </c>
      <c r="FA101" s="2" t="e">
        <f>'Global IMACD Form'!#REF!+"$Cm=!&amp;&gt;$"</f>
        <v>#REF!</v>
      </c>
      <c r="FB101" s="2" t="e">
        <f>'Global IMACD Form'!#REF!+"$Cm=!&amp;&gt;%"</f>
        <v>#REF!</v>
      </c>
      <c r="FC101" t="e">
        <f>'Global IMACD Form'!#REF!+"$Cm=!&amp;&gt;&amp;"</f>
        <v>#REF!</v>
      </c>
      <c r="FD101" t="e">
        <f>'Global IMACD Form'!#REF!+"$Cm=!&amp;&gt;'"</f>
        <v>#REF!</v>
      </c>
      <c r="FE101" t="e">
        <f>'Global IMACD Form'!#REF!+"$Cm=!&amp;&gt;("</f>
        <v>#REF!</v>
      </c>
      <c r="FF101" s="2" t="e">
        <f>'Global IMACD Form'!#REF!+"$Cm=!&amp;&gt;)"</f>
        <v>#REF!</v>
      </c>
      <c r="FG101" t="e">
        <f>'Global IMACD Form'!#REF!+"$Cm=!&amp;&gt;."</f>
        <v>#REF!</v>
      </c>
      <c r="FH101" t="e">
        <f>'Global IMACD Form'!#REF!+"$Cm=!&amp;&gt;/"</f>
        <v>#REF!</v>
      </c>
      <c r="FI101" s="2" t="e">
        <f>'Global IMACD Form'!#REF!+"$Cm=!&amp;&gt;0"</f>
        <v>#REF!</v>
      </c>
      <c r="FJ101" s="2" t="e">
        <f>'Global IMACD Form'!#REF!+"$Cm=!&amp;&gt;1"</f>
        <v>#REF!</v>
      </c>
      <c r="FK101" s="2" t="e">
        <f>'Global IMACD Form'!#REF!+"$Cm=!&amp;&gt;2"</f>
        <v>#REF!</v>
      </c>
      <c r="FL101" s="2" t="e">
        <f>'Global IMACD Form'!#REF!+"$Cm=!&amp;&gt;3"</f>
        <v>#REF!</v>
      </c>
      <c r="FM101" t="e">
        <f>'Global IMACD Form'!#REF!+"$Cm=!&amp;&gt;4"</f>
        <v>#REF!</v>
      </c>
      <c r="FN101" t="e">
        <f>'Global IMACD Form'!#REF!+"$Cm=!&amp;&gt;5"</f>
        <v>#REF!</v>
      </c>
      <c r="FO101" t="e">
        <f>'Global IMACD Form'!#REF!+"$Cm=!&amp;&gt;6"</f>
        <v>#REF!</v>
      </c>
      <c r="FP101" s="2" t="e">
        <f>'Global IMACD Form'!#REF!+"$Cm=!&amp;&gt;7"</f>
        <v>#REF!</v>
      </c>
      <c r="FQ101" t="e">
        <f>'Global IMACD Form'!#REF!+"$Cm=!&amp;&gt;8"</f>
        <v>#REF!</v>
      </c>
      <c r="FR101" t="e">
        <f>'Global IMACD Form'!#REF!+"$Cm=!&amp;&gt;9"</f>
        <v>#REF!</v>
      </c>
      <c r="FS101" s="2" t="e">
        <f>'Global IMACD Form'!#REF!+"$Cm=!&amp;&gt;:"</f>
        <v>#REF!</v>
      </c>
      <c r="FT101" s="2" t="e">
        <f>'Global IMACD Form'!#REF!+"$Cm=!&amp;&gt;;"</f>
        <v>#REF!</v>
      </c>
      <c r="FU101" s="2" t="e">
        <f>'Global IMACD Form'!#REF!+"$Cm=!&amp;&gt;&lt;"</f>
        <v>#REF!</v>
      </c>
      <c r="FV101" s="2" t="e">
        <f>'Global IMACD Form'!#REF!+"$Cm=!&amp;&gt;="</f>
        <v>#REF!</v>
      </c>
      <c r="FW101" t="e">
        <f>'Global IMACD Form'!#REF!+"$Cm=!&amp;&gt;&gt;"</f>
        <v>#REF!</v>
      </c>
      <c r="FX101" t="e">
        <f>'Global IMACD Form'!#REF!+"$Cm=!&amp;&gt;?"</f>
        <v>#REF!</v>
      </c>
      <c r="FY101" t="e">
        <f>'Global IMACD Form'!#REF!+"$Cm=!&amp;&gt;@"</f>
        <v>#REF!</v>
      </c>
      <c r="FZ101" t="e">
        <f>'Global IMACD Form'!#REF!+"$Cm=!&amp;&gt;A"</f>
        <v>#REF!</v>
      </c>
      <c r="GA101" t="e">
        <f>'Global IMACD Form'!#REF!+"$Cm=!&amp;&gt;B"</f>
        <v>#REF!</v>
      </c>
      <c r="GB101" t="e">
        <f>'Global IMACD Form'!#REF!+"$Cm=!&amp;&gt;C"</f>
        <v>#REF!</v>
      </c>
      <c r="GC101" t="e">
        <f>'Global IMACD Form'!#REF!+"$Cm=!&amp;&gt;D"</f>
        <v>#REF!</v>
      </c>
      <c r="GD101" t="e">
        <f>'Global IMACD Form'!#REF!+"$Cm=!&amp;&gt;E"</f>
        <v>#REF!</v>
      </c>
      <c r="GE101" t="e">
        <f>'Global IMACD Form'!#REF!+"$Cm=!&amp;&gt;F"</f>
        <v>#REF!</v>
      </c>
      <c r="GF101" t="e">
        <f>'Global IMACD Form'!#REF!+"$Cm=!&amp;&gt;G"</f>
        <v>#REF!</v>
      </c>
      <c r="GG101" t="e">
        <f>'Global IMACD Form'!#REF!+"$Cm=!&amp;&gt;H"</f>
        <v>#REF!</v>
      </c>
      <c r="GH101" t="e">
        <f>'Global IMACD Form'!#REF!+"$Cm=!&amp;&gt;I"</f>
        <v>#REF!</v>
      </c>
      <c r="GI101" t="e">
        <f>'Global IMACD Form'!#REF!+"$Cm=!&amp;&gt;J"</f>
        <v>#REF!</v>
      </c>
      <c r="GJ101" t="e">
        <f>'Global IMACD Form'!#REF!+"$Cm=!&amp;&gt;K"</f>
        <v>#REF!</v>
      </c>
      <c r="GK101" t="e">
        <f>'Global IMACD Form'!#REF!+"$Cm=!&amp;&gt;L"</f>
        <v>#REF!</v>
      </c>
      <c r="GL101" t="e">
        <f>'Global IMACD Form'!#REF!+"$Cm=!&amp;&gt;M"</f>
        <v>#REF!</v>
      </c>
      <c r="GM101" t="e">
        <f>'Global IMACD Form'!#REF!+"$Cm=!&amp;&gt;N"</f>
        <v>#REF!</v>
      </c>
      <c r="GN101" t="e">
        <f>'Global IMACD Form'!#REF!+"$Cm=!&amp;&gt;O"</f>
        <v>#REF!</v>
      </c>
      <c r="GO101" t="e">
        <f>'Global IMACD Form'!#REF!+"$Cm=!&amp;&gt;P"</f>
        <v>#REF!</v>
      </c>
      <c r="GP101" t="e">
        <f>'Global IMACD Form'!#REF!+"$Cm=!&amp;&gt;Q"</f>
        <v>#REF!</v>
      </c>
      <c r="GQ101" t="e">
        <f>'Global IMACD Form'!#REF!+"$Cm=!&amp;&gt;R"</f>
        <v>#REF!</v>
      </c>
      <c r="GR101" t="e">
        <f>'Global IMACD Form'!#REF!+"$Cm=!&amp;&gt;S"</f>
        <v>#REF!</v>
      </c>
      <c r="GS101" t="e">
        <f>'Global IMACD Form'!#REF!+"$Cm=!&amp;&gt;T"</f>
        <v>#REF!</v>
      </c>
      <c r="GT101" t="e">
        <f>'Global IMACD Form'!#REF!+"$Cm=!&amp;&gt;U"</f>
        <v>#REF!</v>
      </c>
      <c r="GU101" t="e">
        <f>'Global IMACD Form'!#REF!+"$Cm=!&amp;&gt;V"</f>
        <v>#REF!</v>
      </c>
      <c r="GV101" t="e">
        <f>'Global IMACD Form'!#REF!+"$Cm=!&amp;&gt;W"</f>
        <v>#REF!</v>
      </c>
      <c r="GW101" t="e">
        <f>'Global IMACD Form'!#REF!+"$Cm=!&amp;&gt;X"</f>
        <v>#REF!</v>
      </c>
      <c r="GX101" t="e">
        <f>'Global IMACD Form'!#REF!+"$Cm=!&amp;&gt;Y"</f>
        <v>#REF!</v>
      </c>
      <c r="GY101" t="e">
        <f>'Global IMACD Form'!#REF!+"$Cm=!&amp;&gt;Z"</f>
        <v>#REF!</v>
      </c>
      <c r="GZ101" t="e">
        <f>'Global IMACD Form'!#REF!+"$Cm=!&amp;&gt;["</f>
        <v>#REF!</v>
      </c>
      <c r="HA101" t="e">
        <f>'Global IMACD Form'!#REF!+"$Cm=!&amp;&gt;\"</f>
        <v>#REF!</v>
      </c>
      <c r="HB101" t="e">
        <f>'Global IMACD Form'!#REF!+"$Cm=!&amp;&gt;]"</f>
        <v>#REF!</v>
      </c>
      <c r="HC101" t="e">
        <f>'Global IMACD Form'!#REF!+"$Cm=!&amp;&gt;^"</f>
        <v>#REF!</v>
      </c>
      <c r="HD101" t="e">
        <f>'Global IMACD Form'!#REF!+"$Cm=!&amp;&gt;_"</f>
        <v>#REF!</v>
      </c>
      <c r="HE101" t="e">
        <f>'Global IMACD Form'!#REF!+"$Cm=!&amp;&gt;`"</f>
        <v>#REF!</v>
      </c>
      <c r="HF101" t="e">
        <f>'Global IMACD Form'!#REF!+"$Cm=!&amp;&gt;a"</f>
        <v>#REF!</v>
      </c>
      <c r="HG101" t="e">
        <f>'Global IMACD Form'!#REF!+"$Cm=!&amp;&gt;b"</f>
        <v>#REF!</v>
      </c>
      <c r="HH101" t="e">
        <f>'Global IMACD Form'!#REF!+"$Cm=!&amp;&gt;c"</f>
        <v>#REF!</v>
      </c>
      <c r="HI101" t="e">
        <f>'Global IMACD Form'!#REF!+"$Cm=!&amp;&gt;d"</f>
        <v>#REF!</v>
      </c>
      <c r="HJ101" t="e">
        <f>'Global IMACD Form'!#REF!+"$Cm=!&amp;&gt;e"</f>
        <v>#REF!</v>
      </c>
      <c r="HK101" t="e">
        <f>'Global IMACD Form'!#REF!+"$Cm=!&amp;&gt;f"</f>
        <v>#REF!</v>
      </c>
      <c r="HL101" t="e">
        <f>'Global IMACD Form'!#REF!+"$Cm=!&amp;&gt;g"</f>
        <v>#REF!</v>
      </c>
      <c r="HM101" t="e">
        <f>'Global IMACD Form'!#REF!+"$Cm=!&amp;&gt;h"</f>
        <v>#REF!</v>
      </c>
      <c r="HN101" t="e">
        <f>'Global IMACD Form'!#REF!+"$Cm=!&amp;&gt;i"</f>
        <v>#REF!</v>
      </c>
      <c r="HO101" t="e">
        <f>'Global IMACD Form'!#REF!+"$Cm=!&amp;&gt;j"</f>
        <v>#REF!</v>
      </c>
      <c r="HP101" t="e">
        <f>'Global IMACD Form'!#REF!+"$Cm=!&amp;&gt;k"</f>
        <v>#REF!</v>
      </c>
      <c r="HQ101" t="e">
        <f>'Global IMACD Form'!#REF!+"$Cm=!&amp;&gt;l"</f>
        <v>#REF!</v>
      </c>
      <c r="HR101" t="e">
        <f>'Global IMACD Form'!#REF!+"$Cm=!&amp;&gt;m"</f>
        <v>#REF!</v>
      </c>
      <c r="HS101" t="e">
        <f>'Global IMACD Form'!#REF!+"$Cm=!&amp;&gt;n"</f>
        <v>#REF!</v>
      </c>
      <c r="HT101" t="e">
        <f>'Global IMACD Form'!#REF!+"$Cm=!&amp;&gt;o"</f>
        <v>#REF!</v>
      </c>
      <c r="HU101" t="e">
        <f>'Global IMACD Form'!#REF!+"$Cm=!&amp;&gt;p"</f>
        <v>#REF!</v>
      </c>
      <c r="HV101" t="e">
        <f>'Global IMACD Form'!#REF!+"$Cm=!&amp;&gt;q"</f>
        <v>#REF!</v>
      </c>
      <c r="HW101" t="e">
        <f>'Global IMACD Form'!#REF!+"$Cm=!&amp;&gt;r"</f>
        <v>#REF!</v>
      </c>
      <c r="HX101" t="e">
        <f>'Global IMACD Form'!#REF!+"$Cm=!&amp;&gt;s"</f>
        <v>#REF!</v>
      </c>
      <c r="HY101" t="e">
        <f>'Global IMACD Form'!#REF!+"$Cm=!&amp;&gt;t"</f>
        <v>#REF!</v>
      </c>
      <c r="HZ101" t="e">
        <f>'Global IMACD Form'!#REF!+"$Cm=!&amp;&gt;u"</f>
        <v>#REF!</v>
      </c>
      <c r="IA101" t="e">
        <f>'Global IMACD Form'!#REF!+"$Cm=!&amp;&gt;v"</f>
        <v>#REF!</v>
      </c>
      <c r="IB101" t="e">
        <f>'Global IMACD Form'!#REF!+"$Cm=!&amp;&gt;w"</f>
        <v>#REF!</v>
      </c>
      <c r="IC101" t="e">
        <f>'Global IMACD Form'!#REF!+"$Cm=!&amp;&gt;x"</f>
        <v>#REF!</v>
      </c>
      <c r="ID101" t="e">
        <f>'Global IMACD Form'!#REF!+"$Cm=!&amp;&gt;y"</f>
        <v>#REF!</v>
      </c>
      <c r="IE101" t="e">
        <f>'Global IMACD Form'!#REF!+"$Cm=!&amp;&gt;z"</f>
        <v>#REF!</v>
      </c>
      <c r="IF101" t="e">
        <f>'Global IMACD Form'!#REF!+"$Cm=!&amp;&gt;{"</f>
        <v>#REF!</v>
      </c>
      <c r="IG101" t="e">
        <f>'Global IMACD Form'!#REF!+"$Cm=!&amp;&gt;|"</f>
        <v>#REF!</v>
      </c>
      <c r="IH101" t="e">
        <f>'Global IMACD Form'!#REF!+"$Cm=!&amp;&gt;}"</f>
        <v>#REF!</v>
      </c>
      <c r="II101" t="e">
        <f>'Global IMACD Form'!#REF!+"$Cm=!&amp;&gt;~"</f>
        <v>#REF!</v>
      </c>
      <c r="IJ101" t="e">
        <f>'Global IMACD Form'!#REF!+"$Cm=!&amp;?#"</f>
        <v>#REF!</v>
      </c>
      <c r="IK101" t="e">
        <f>'Global IMACD Form'!#REF!+"$Cm=!&amp;?$"</f>
        <v>#REF!</v>
      </c>
      <c r="IL101" t="e">
        <f>'Global IMACD Form'!#REF!+"$Cm=!&amp;?%"</f>
        <v>#REF!</v>
      </c>
      <c r="IM101" t="e">
        <f>'Global IMACD Form'!#REF!+"$Cm=!&amp;?&amp;"</f>
        <v>#REF!</v>
      </c>
      <c r="IN101" t="e">
        <f>'Global IMACD Form'!#REF!+"$Cm=!&amp;?'"</f>
        <v>#REF!</v>
      </c>
      <c r="IO101" t="e">
        <f>'Global IMACD Form'!#REF!+"$Cm=!&amp;?("</f>
        <v>#REF!</v>
      </c>
      <c r="IP101" t="e">
        <f>'Global IMACD Form'!#REF!+"$Cm=!&amp;?)"</f>
        <v>#REF!</v>
      </c>
      <c r="IQ101" t="e">
        <f>'Global IMACD Form'!#REF!+"$Cm=!&amp;?."</f>
        <v>#REF!</v>
      </c>
      <c r="IR101" t="e">
        <f>'Global IMACD Form'!A101+"$Cm=!&amp;?/"</f>
        <v>#VALUE!</v>
      </c>
      <c r="IS101" t="e">
        <f>'Global IMACD Form'!B101+"$Cm=!&amp;?0"</f>
        <v>#VALUE!</v>
      </c>
      <c r="IT101" t="e">
        <f>'Global IMACD Form'!C101+"$Cm=!&amp;?1"</f>
        <v>#VALUE!</v>
      </c>
      <c r="IU101" t="e">
        <f>'Global IMACD Form'!D101+"$Cm=!&amp;?2"</f>
        <v>#VALUE!</v>
      </c>
      <c r="IV101" t="e">
        <f>'Global IMACD Form'!E101+"$Cm=!&amp;?3"</f>
        <v>#VALUE!</v>
      </c>
    </row>
    <row r="102" spans="6:256">
      <c r="F102" t="e">
        <f>'Global IMACD Form'!F101+"$Cm=!&amp;?4"</f>
        <v>#VALUE!</v>
      </c>
      <c r="G102" t="e">
        <f>'Global IMACD Form'!G101+"$Cm=!&amp;?5"</f>
        <v>#VALUE!</v>
      </c>
      <c r="H102" t="e">
        <f>'Global IMACD Form'!#REF!+"$Cm=!&amp;?6"</f>
        <v>#REF!</v>
      </c>
      <c r="I102" t="e">
        <f>'Global IMACD Form'!#REF!+"$Cm=!&amp;?7"</f>
        <v>#REF!</v>
      </c>
      <c r="J102" t="e">
        <f>'Global IMACD Form'!#REF!+"$Cm=!&amp;?8"</f>
        <v>#REF!</v>
      </c>
      <c r="K102" t="e">
        <f>'Global IMACD Form'!#REF!+"$Cm=!&amp;?9"</f>
        <v>#REF!</v>
      </c>
      <c r="L102" t="e">
        <f>'Global IMACD Form'!#REF!+"$Cm=!&amp;?:"</f>
        <v>#REF!</v>
      </c>
      <c r="M102" t="e">
        <f>'Global IMACD Form'!#REF!+"$Cm=!&amp;?;"</f>
        <v>#REF!</v>
      </c>
      <c r="N102" t="e">
        <f>'Global IMACD Form'!#REF!+"$Cm=!&amp;?&lt;"</f>
        <v>#REF!</v>
      </c>
      <c r="O102" t="e">
        <f>'Global IMACD Form'!#REF!+"$Cm=!&amp;?="</f>
        <v>#REF!</v>
      </c>
      <c r="P102" t="e">
        <f>'Global IMACD Form'!#REF!+"$Cm=!&amp;?&gt;"</f>
        <v>#REF!</v>
      </c>
      <c r="Q102" t="e">
        <f>'Global IMACD Form'!#REF!+"$Cm=!&amp;??"</f>
        <v>#REF!</v>
      </c>
      <c r="R102" t="e">
        <f>'Global IMACD Form'!#REF!+"$Cm=!&amp;?@"</f>
        <v>#REF!</v>
      </c>
      <c r="S102" t="e">
        <f>'Global IMACD Form'!#REF!+"$Cm=!&amp;?A"</f>
        <v>#REF!</v>
      </c>
      <c r="T102" t="e">
        <f>'Global IMACD Form'!#REF!+"$Cm=!&amp;?B"</f>
        <v>#REF!</v>
      </c>
      <c r="U102" t="e">
        <f>'Global IMACD Form'!#REF!+"$Cm=!&amp;?C"</f>
        <v>#REF!</v>
      </c>
      <c r="V102" t="e">
        <f>'Global IMACD Form'!#REF!+"$Cm=!&amp;?D"</f>
        <v>#REF!</v>
      </c>
      <c r="W102" t="e">
        <f>'Global IMACD Form'!#REF!+"$Cm=!&amp;?E"</f>
        <v>#REF!</v>
      </c>
      <c r="X102" t="e">
        <f>'Global IMACD Form'!#REF!+"$Cm=!&amp;?F"</f>
        <v>#REF!</v>
      </c>
      <c r="Y102" t="e">
        <f>'Global IMACD Form'!#REF!+"$Cm=!&amp;?G"</f>
        <v>#REF!</v>
      </c>
      <c r="Z102" t="e">
        <f>'Global IMACD Form'!#REF!+"$Cm=!&amp;?H"</f>
        <v>#REF!</v>
      </c>
      <c r="AA102" t="e">
        <f>'Global IMACD Form'!#REF!+"$Cm=!&amp;?I"</f>
        <v>#REF!</v>
      </c>
      <c r="AB102" t="e">
        <f>'Global IMACD Form'!#REF!+"$Cm=!&amp;?J"</f>
        <v>#REF!</v>
      </c>
      <c r="AC102" t="e">
        <f>'Global IMACD Form'!#REF!+"$Cm=!&amp;?K"</f>
        <v>#REF!</v>
      </c>
      <c r="AD102" t="e">
        <f>'Global IMACD Form'!#REF!+"$Cm=!&amp;?L"</f>
        <v>#REF!</v>
      </c>
      <c r="AE102" t="e">
        <f>'Global IMACD Form'!#REF!+"$Cm=!&amp;?M"</f>
        <v>#REF!</v>
      </c>
      <c r="AF102" t="e">
        <f>'Global IMACD Form'!#REF!+"$Cm=!&amp;?N"</f>
        <v>#REF!</v>
      </c>
      <c r="AG102" t="e">
        <f>'Global IMACD Form'!#REF!+"$Cm=!&amp;?O"</f>
        <v>#REF!</v>
      </c>
      <c r="AH102" t="e">
        <f>'Global IMACD Form'!#REF!+"$Cm=!&amp;?P"</f>
        <v>#REF!</v>
      </c>
      <c r="AI102" t="e">
        <f>'Global IMACD Form'!#REF!+"$Cm=!&amp;?Q"</f>
        <v>#REF!</v>
      </c>
      <c r="AJ102" t="e">
        <f>'Global IMACD Form'!#REF!+"$Cm=!&amp;?R"</f>
        <v>#REF!</v>
      </c>
      <c r="AK102" t="e">
        <f>'Global IMACD Form'!#REF!+"$Cm=!&amp;?S"</f>
        <v>#REF!</v>
      </c>
      <c r="AL102" t="e">
        <f>'Global IMACD Form'!#REF!+"$Cm=!&amp;?T"</f>
        <v>#REF!</v>
      </c>
      <c r="AM102" t="e">
        <f>'Global IMACD Form'!#REF!+"$Cm=!&amp;?U"</f>
        <v>#REF!</v>
      </c>
      <c r="AN102" t="e">
        <f>'Global IMACD Form'!#REF!+"$Cm=!&amp;?V"</f>
        <v>#REF!</v>
      </c>
      <c r="AO102" t="e">
        <f>'Global IMACD Form'!#REF!+"$Cm=!&amp;?W"</f>
        <v>#REF!</v>
      </c>
      <c r="AP102" t="e">
        <f>'Global IMACD Form'!#REF!+"$Cm=!&amp;?X"</f>
        <v>#REF!</v>
      </c>
      <c r="AQ102" t="e">
        <f>'Global IMACD Form'!#REF!+"$Cm=!&amp;?Y"</f>
        <v>#REF!</v>
      </c>
      <c r="AR102" t="e">
        <f>'Global IMACD Form'!#REF!+"$Cm=!&amp;?Z"</f>
        <v>#REF!</v>
      </c>
      <c r="AS102" t="e">
        <f>'Global IMACD Form'!#REF!+"$Cm=!&amp;?["</f>
        <v>#REF!</v>
      </c>
      <c r="AT102" t="e">
        <f>'Global IMACD Form'!#REF!+"$Cm=!&amp;?\"</f>
        <v>#REF!</v>
      </c>
      <c r="AU102" t="e">
        <f>'Global IMACD Form'!#REF!+"$Cm=!&amp;?]"</f>
        <v>#REF!</v>
      </c>
      <c r="AV102" t="e">
        <f>'Global IMACD Form'!#REF!+"$Cm=!&amp;?^"</f>
        <v>#REF!</v>
      </c>
      <c r="AW102" t="e">
        <f>'Global IMACD Form'!#REF!+"$Cm=!&amp;?_"</f>
        <v>#REF!</v>
      </c>
      <c r="AX102" t="e">
        <f>'Global IMACD Form'!#REF!+"$Cm=!&amp;?`"</f>
        <v>#REF!</v>
      </c>
      <c r="AY102" t="e">
        <f>'Global IMACD Form'!#REF!+"$Cm=!&amp;?a"</f>
        <v>#REF!</v>
      </c>
      <c r="AZ102" t="e">
        <f>'Global IMACD Form'!#REF!+"$Cm=!&amp;?b"</f>
        <v>#REF!</v>
      </c>
      <c r="BA102" t="e">
        <f>'Global IMACD Form'!#REF!+"$Cm=!&amp;?c"</f>
        <v>#REF!</v>
      </c>
      <c r="BB102" t="e">
        <f>'Global IMACD Form'!#REF!+"$Cm=!&amp;?d"</f>
        <v>#REF!</v>
      </c>
      <c r="BC102" t="e">
        <f>'Global IMACD Form'!#REF!+"$Cm=!&amp;?e"</f>
        <v>#REF!</v>
      </c>
      <c r="BD102" t="e">
        <f>'Global IMACD Form'!#REF!+"$Cm=!&amp;?f"</f>
        <v>#REF!</v>
      </c>
      <c r="BE102" t="e">
        <f>'Global IMACD Form'!#REF!+"$Cm=!&amp;?g"</f>
        <v>#REF!</v>
      </c>
      <c r="BF102" t="e">
        <f>'Global IMACD Form'!#REF!+"$Cm=!&amp;?h"</f>
        <v>#REF!</v>
      </c>
      <c r="BG102" t="e">
        <f>'Global IMACD Form'!#REF!+"$Cm=!&amp;?i"</f>
        <v>#REF!</v>
      </c>
      <c r="BH102" t="e">
        <f>'Global IMACD Form'!#REF!+"$Cm=!&amp;?j"</f>
        <v>#REF!</v>
      </c>
      <c r="BI102" t="e">
        <f>'Global IMACD Form'!#REF!+"$Cm=!&amp;?k"</f>
        <v>#REF!</v>
      </c>
      <c r="BJ102" t="e">
        <f>'Global IMACD Form'!#REF!+"$Cm=!&amp;?l"</f>
        <v>#REF!</v>
      </c>
      <c r="BK102" t="e">
        <f>'Global IMACD Form'!#REF!+"$Cm=!&amp;?m"</f>
        <v>#REF!</v>
      </c>
      <c r="BL102" t="e">
        <f>'Global IMACD Form'!#REF!+"$Cm=!&amp;?n"</f>
        <v>#REF!</v>
      </c>
      <c r="BM102" t="e">
        <f>'Global IMACD Form'!#REF!+"$Cm=!&amp;?o"</f>
        <v>#REF!</v>
      </c>
      <c r="BN102" t="e">
        <f>'Global IMACD Form'!#REF!+"$Cm=!&amp;?p"</f>
        <v>#REF!</v>
      </c>
      <c r="BO102" t="e">
        <f>'Global IMACD Form'!#REF!+"$Cm=!&amp;?q"</f>
        <v>#REF!</v>
      </c>
      <c r="BP102" t="e">
        <f>'Global IMACD Form'!#REF!+"$Cm=!&amp;?r"</f>
        <v>#REF!</v>
      </c>
      <c r="BQ102" t="e">
        <f>'Global IMACD Form'!#REF!+"$Cm=!&amp;?s"</f>
        <v>#REF!</v>
      </c>
      <c r="BR102" t="e">
        <f>'Global IMACD Form'!#REF!+"$Cm=!&amp;?t"</f>
        <v>#REF!</v>
      </c>
      <c r="BS102" t="e">
        <f>'Global IMACD Form'!#REF!+"$Cm=!&amp;?u"</f>
        <v>#REF!</v>
      </c>
      <c r="BT102" t="e">
        <f>'Global IMACD Form'!#REF!+"$Cm=!&amp;?v"</f>
        <v>#REF!</v>
      </c>
      <c r="BU102" t="e">
        <f>'Global IMACD Form'!#REF!+"$Cm=!&amp;?w"</f>
        <v>#REF!</v>
      </c>
      <c r="BV102" t="e">
        <f>'Global IMACD Form'!#REF!+"$Cm=!&amp;?x"</f>
        <v>#REF!</v>
      </c>
      <c r="BW102" t="e">
        <f>'Global IMACD Form'!#REF!+"$Cm=!&amp;?y"</f>
        <v>#REF!</v>
      </c>
      <c r="BX102" t="e">
        <f>'Global IMACD Form'!#REF!+"$Cm=!&amp;?z"</f>
        <v>#REF!</v>
      </c>
      <c r="BY102" t="e">
        <f>'Global IMACD Form'!#REF!+"$Cm=!&amp;?{"</f>
        <v>#REF!</v>
      </c>
      <c r="BZ102" t="e">
        <f>'Global IMACD Form'!#REF!+"$Cm=!&amp;?|"</f>
        <v>#REF!</v>
      </c>
      <c r="CA102" t="e">
        <f>'Global IMACD Form'!#REF!+"$Cm=!&amp;?}"</f>
        <v>#REF!</v>
      </c>
      <c r="CB102" t="e">
        <f>'Global IMACD Form'!#REF!+"$Cm=!&amp;?~"</f>
        <v>#REF!</v>
      </c>
      <c r="CC102" t="e">
        <f>'Global IMACD Form'!#REF!+"$Cm=!&amp;@#"</f>
        <v>#REF!</v>
      </c>
      <c r="CD102" t="e">
        <f>'Global IMACD Form'!#REF!+"$Cm=!&amp;@$"</f>
        <v>#REF!</v>
      </c>
      <c r="CE102" t="e">
        <f>'Global IMACD Form'!#REF!+"$Cm=!&amp;@%"</f>
        <v>#REF!</v>
      </c>
      <c r="CF102" t="e">
        <f>'Global IMACD Form'!#REF!+"$Cm=!&amp;@&amp;"</f>
        <v>#REF!</v>
      </c>
      <c r="CG102" t="e">
        <f>'Global IMACD Form'!#REF!+"$Cm=!&amp;@'"</f>
        <v>#REF!</v>
      </c>
      <c r="CH102" t="e">
        <f>'Global IMACD Form'!#REF!+"$Cm=!&amp;@("</f>
        <v>#REF!</v>
      </c>
      <c r="CI102" t="e">
        <f>'Global IMACD Form'!#REF!+"$Cm=!&amp;@)"</f>
        <v>#REF!</v>
      </c>
      <c r="CJ102" t="e">
        <f>'Global IMACD Form'!#REF!+"$Cm=!&amp;@."</f>
        <v>#REF!</v>
      </c>
      <c r="CK102" t="e">
        <f>'Global IMACD Form'!#REF!+"$Cm=!&amp;@/"</f>
        <v>#REF!</v>
      </c>
      <c r="CL102" t="e">
        <f>'Global IMACD Form'!#REF!+"$Cm=!&amp;@0"</f>
        <v>#REF!</v>
      </c>
      <c r="CM102" t="e">
        <f>'Global IMACD Form'!#REF!+"$Cm=!&amp;@1"</f>
        <v>#REF!</v>
      </c>
      <c r="CN102" t="e">
        <f>'Global IMACD Form'!#REF!+"$Cm=!&amp;@2"</f>
        <v>#REF!</v>
      </c>
      <c r="CO102" t="e">
        <f>'Global IMACD Form'!#REF!+"$Cm=!&amp;@3"</f>
        <v>#REF!</v>
      </c>
      <c r="CP102" t="e">
        <f>'Global IMACD Form'!#REF!+"$Cm=!&amp;@4"</f>
        <v>#REF!</v>
      </c>
      <c r="CQ102" t="e">
        <f>'Global IMACD Form'!#REF!+"$Cm=!&amp;@5"</f>
        <v>#REF!</v>
      </c>
      <c r="CR102" t="e">
        <f>'Global IMACD Form'!#REF!+"$Cm=!&amp;@6"</f>
        <v>#REF!</v>
      </c>
      <c r="CS102" t="e">
        <f>'Global IMACD Form'!#REF!+"$Cm=!&amp;@7"</f>
        <v>#REF!</v>
      </c>
      <c r="CT102" t="e">
        <f>'Global IMACD Form'!#REF!+"$Cm=!&amp;@8"</f>
        <v>#REF!</v>
      </c>
      <c r="CU102" t="e">
        <f>'Global IMACD Form'!#REF!+"$Cm=!&amp;@9"</f>
        <v>#REF!</v>
      </c>
      <c r="CV102" t="e">
        <f>'Global IMACD Form'!#REF!+"$Cm=!&amp;@:"</f>
        <v>#REF!</v>
      </c>
      <c r="CW102" t="e">
        <f>'Global IMACD Form'!#REF!+"$Cm=!&amp;@;"</f>
        <v>#REF!</v>
      </c>
      <c r="CX102" t="e">
        <f>'Global IMACD Form'!#REF!+"$Cm=!&amp;@&lt;"</f>
        <v>#REF!</v>
      </c>
      <c r="CY102" t="e">
        <f>'Global IMACD Form'!#REF!+"$Cm=!&amp;@="</f>
        <v>#REF!</v>
      </c>
      <c r="CZ102" t="e">
        <f>'Global IMACD Form'!#REF!+"$Cm=!&amp;@&gt;"</f>
        <v>#REF!</v>
      </c>
      <c r="DA102" t="e">
        <f>'Global IMACD Form'!#REF!+"$Cm=!&amp;@?"</f>
        <v>#REF!</v>
      </c>
      <c r="DB102" t="e">
        <f>'Global IMACD Form'!#REF!+"$Cm=!&amp;@@"</f>
        <v>#REF!</v>
      </c>
      <c r="DC102" t="e">
        <f>'Global IMACD Form'!#REF!+"$Cm=!&amp;@A"</f>
        <v>#REF!</v>
      </c>
      <c r="DD102" t="e">
        <f>'Global IMACD Form'!#REF!+"$Cm=!&amp;@B"</f>
        <v>#REF!</v>
      </c>
      <c r="DE102" t="e">
        <f>'Global IMACD Form'!#REF!+"$Cm=!&amp;@C"</f>
        <v>#REF!</v>
      </c>
      <c r="DF102" t="e">
        <f>'Global IMACD Form'!#REF!+"$Cm=!&amp;@D"</f>
        <v>#REF!</v>
      </c>
      <c r="DG102" t="e">
        <f>'Global IMACD Form'!#REF!+"$Cm=!&amp;@E"</f>
        <v>#REF!</v>
      </c>
      <c r="DH102" t="e">
        <f>'Global IMACD Form'!#REF!+"$Cm=!&amp;@F"</f>
        <v>#REF!</v>
      </c>
      <c r="DI102" t="e">
        <f>'Global IMACD Form'!#REF!+"$Cm=!&amp;@G"</f>
        <v>#REF!</v>
      </c>
      <c r="DJ102" t="e">
        <f>'Global IMACD Form'!#REF!+"$Cm=!&amp;@H"</f>
        <v>#REF!</v>
      </c>
      <c r="DK102" t="e">
        <f>'Global IMACD Form'!#REF!+"$Cm=!&amp;@I"</f>
        <v>#REF!</v>
      </c>
      <c r="DL102" t="e">
        <f>'Global IMACD Form'!#REF!+"$Cm=!&amp;@J"</f>
        <v>#REF!</v>
      </c>
      <c r="DM102" t="e">
        <f>'Global IMACD Form'!#REF!+"$Cm=!&amp;@K"</f>
        <v>#REF!</v>
      </c>
      <c r="DN102" t="e">
        <f>'Global IMACD Form'!#REF!+"$Cm=!&amp;@L"</f>
        <v>#REF!</v>
      </c>
      <c r="DO102" t="e">
        <f>'Global IMACD Form'!#REF!+"$Cm=!&amp;@M"</f>
        <v>#REF!</v>
      </c>
      <c r="DP102" t="e">
        <f>'Global IMACD Form'!#REF!+"$Cm=!&amp;@N"</f>
        <v>#REF!</v>
      </c>
      <c r="DQ102" t="e">
        <f>'Global IMACD Form'!#REF!+"$Cm=!&amp;@O"</f>
        <v>#REF!</v>
      </c>
      <c r="DR102" t="e">
        <f>'Global IMACD Form'!#REF!+"$Cm=!&amp;@P"</f>
        <v>#REF!</v>
      </c>
      <c r="DS102" t="e">
        <f>'Global IMACD Form'!#REF!+"$Cm=!&amp;@Q"</f>
        <v>#REF!</v>
      </c>
      <c r="DT102" t="e">
        <f>'Global IMACD Form'!#REF!+"$Cm=!&amp;@R"</f>
        <v>#REF!</v>
      </c>
      <c r="DU102" t="e">
        <f>'Global IMACD Form'!#REF!+"$Cm=!&amp;@S"</f>
        <v>#REF!</v>
      </c>
      <c r="DV102" t="e">
        <f>'Global IMACD Form'!#REF!+"$Cm=!&amp;@T"</f>
        <v>#REF!</v>
      </c>
      <c r="DW102" t="e">
        <f>'Global IMACD Form'!#REF!+"$Cm=!&amp;@U"</f>
        <v>#REF!</v>
      </c>
      <c r="DX102" t="e">
        <f>'Global IMACD Form'!#REF!+"$Cm=!&amp;@V"</f>
        <v>#REF!</v>
      </c>
      <c r="DY102" t="e">
        <f>'Global IMACD Form'!#REF!+"$Cm=!&amp;@W"</f>
        <v>#REF!</v>
      </c>
      <c r="DZ102" t="e">
        <f>'Global IMACD Form'!#REF!+"$Cm=!&amp;@X"</f>
        <v>#REF!</v>
      </c>
      <c r="EA102" t="e">
        <f>'Global IMACD Form'!#REF!+"$Cm=!&amp;@Y"</f>
        <v>#REF!</v>
      </c>
      <c r="EB102" t="e">
        <f>'Global IMACD Form'!#REF!+"$Cm=!&amp;@Z"</f>
        <v>#REF!</v>
      </c>
      <c r="EC102" t="e">
        <f>'Global IMACD Form'!#REF!+"$Cm=!&amp;@["</f>
        <v>#REF!</v>
      </c>
      <c r="ED102" t="e">
        <f>'Global IMACD Form'!#REF!+"$Cm=!&amp;@\"</f>
        <v>#REF!</v>
      </c>
      <c r="EE102" t="e">
        <f>'Global IMACD Form'!#REF!+"$Cm=!&amp;@]"</f>
        <v>#REF!</v>
      </c>
      <c r="EF102" t="e">
        <f>'Global IMACD Form'!#REF!+"$Cm=!&amp;@^"</f>
        <v>#REF!</v>
      </c>
      <c r="EG102" t="e">
        <f>'Global IMACD Form'!#REF!+"$Cm=!&amp;@_"</f>
        <v>#REF!</v>
      </c>
      <c r="EH102" t="e">
        <f>'Global IMACD Form'!#REF!+"$Cm=!&amp;@`"</f>
        <v>#REF!</v>
      </c>
      <c r="EI102" t="e">
        <f>'Global IMACD Form'!#REF!+"$Cm=!&amp;@a"</f>
        <v>#REF!</v>
      </c>
      <c r="EJ102" t="e">
        <f>'Global IMACD Form'!#REF!+"$Cm=!&amp;@b"</f>
        <v>#REF!</v>
      </c>
      <c r="EK102" t="e">
        <f>'Global IMACD Form'!#REF!+"$Cm=!&amp;@c"</f>
        <v>#REF!</v>
      </c>
      <c r="EL102" t="e">
        <f>'Global IMACD Form'!#REF!+"$Cm=!&amp;@d"</f>
        <v>#REF!</v>
      </c>
      <c r="EM102" t="e">
        <f>'Global IMACD Form'!#REF!+"$Cm=!&amp;@e"</f>
        <v>#REF!</v>
      </c>
      <c r="EN102" t="e">
        <f>'Global IMACD Form'!#REF!+"$Cm=!&amp;@f"</f>
        <v>#REF!</v>
      </c>
      <c r="EO102" t="e">
        <f>'Global IMACD Form'!#REF!+"$Cm=!&amp;@g"</f>
        <v>#REF!</v>
      </c>
      <c r="EP102" t="e">
        <f>'Global IMACD Form'!#REF!+"$Cm=!&amp;@h"</f>
        <v>#REF!</v>
      </c>
      <c r="EQ102" t="e">
        <f>'Global IMACD Form'!#REF!+"$Cm=!&amp;@i"</f>
        <v>#REF!</v>
      </c>
      <c r="ER102" t="e">
        <f>'Global IMACD Form'!#REF!+"$Cm=!&amp;@j"</f>
        <v>#REF!</v>
      </c>
      <c r="ES102" t="e">
        <f>'Global IMACD Form'!#REF!+"$Cm=!&amp;@k"</f>
        <v>#REF!</v>
      </c>
      <c r="ET102" t="e">
        <f>'Global IMACD Form'!#REF!+"$Cm=!&amp;@l"</f>
        <v>#REF!</v>
      </c>
      <c r="EU102" t="e">
        <f>'Global IMACD Form'!#REF!+"$Cm=!&amp;@m"</f>
        <v>#REF!</v>
      </c>
      <c r="EV102" t="e">
        <f>'Global IMACD Form'!#REF!+"$Cm=!&amp;@n"</f>
        <v>#REF!</v>
      </c>
      <c r="EW102" t="e">
        <f>'Global IMACD Form'!#REF!+"$Cm=!&amp;@o"</f>
        <v>#REF!</v>
      </c>
      <c r="EX102" t="e">
        <f>'Global IMACD Form'!#REF!+"$Cm=!&amp;@p"</f>
        <v>#REF!</v>
      </c>
      <c r="EY102" t="e">
        <f>'Global IMACD Form'!#REF!+"$Cm=!&amp;@q"</f>
        <v>#REF!</v>
      </c>
      <c r="EZ102" t="e">
        <f>'Global IMACD Form'!#REF!+"$Cm=!&amp;@r"</f>
        <v>#REF!</v>
      </c>
      <c r="FA102" t="e">
        <f>'Global IMACD Form'!#REF!+"$Cm=!&amp;@s"</f>
        <v>#REF!</v>
      </c>
      <c r="FB102" t="e">
        <f>'Global IMACD Form'!#REF!+"$Cm=!&amp;@t"</f>
        <v>#REF!</v>
      </c>
      <c r="FC102" t="e">
        <f>'Global IMACD Form'!#REF!+"$Cm=!&amp;@u"</f>
        <v>#REF!</v>
      </c>
      <c r="FD102" t="e">
        <f>'Global IMACD Form'!#REF!+"$Cm=!&amp;@v"</f>
        <v>#REF!</v>
      </c>
      <c r="FE102" t="e">
        <f>'Global IMACD Form'!#REF!+"$Cm=!&amp;@w"</f>
        <v>#REF!</v>
      </c>
      <c r="FF102" t="e">
        <f>'Global IMACD Form'!#REF!+"$Cm=!&amp;@x"</f>
        <v>#REF!</v>
      </c>
      <c r="FG102" t="e">
        <f>'Global IMACD Form'!#REF!+"$Cm=!&amp;@y"</f>
        <v>#REF!</v>
      </c>
      <c r="FH102" t="e">
        <f>'Global IMACD Form'!#REF!+"$Cm=!&amp;@z"</f>
        <v>#REF!</v>
      </c>
      <c r="FI102" t="e">
        <f>'Global IMACD Form'!#REF!+"$Cm=!&amp;@{"</f>
        <v>#REF!</v>
      </c>
      <c r="FJ102" t="e">
        <f>'Global IMACD Form'!#REF!+"$Cm=!&amp;@|"</f>
        <v>#REF!</v>
      </c>
      <c r="FK102" t="e">
        <f>'Global IMACD Form'!#REF!+"$Cm=!&amp;@}"</f>
        <v>#REF!</v>
      </c>
      <c r="FL102" t="e">
        <f>'Global IMACD Form'!#REF!+"$Cm=!&amp;@~"</f>
        <v>#REF!</v>
      </c>
      <c r="FM102" t="e">
        <f>'Global IMACD Form'!#REF!+"$Cm=!&amp;A#"</f>
        <v>#REF!</v>
      </c>
      <c r="FN102" t="e">
        <f>'Global IMACD Form'!#REF!+"$Cm=!&amp;A$"</f>
        <v>#REF!</v>
      </c>
      <c r="FO102" t="e">
        <f>'Global IMACD Form'!#REF!+"$Cm=!&amp;A%"</f>
        <v>#REF!</v>
      </c>
      <c r="FP102" t="e">
        <f>'Global IMACD Form'!#REF!+"$Cm=!&amp;A&amp;"</f>
        <v>#REF!</v>
      </c>
      <c r="FQ102" t="e">
        <f>'Global IMACD Form'!#REF!+"$Cm=!&amp;A'"</f>
        <v>#REF!</v>
      </c>
      <c r="FR102" t="e">
        <f>'Global IMACD Form'!#REF!+"$Cm=!&amp;A("</f>
        <v>#REF!</v>
      </c>
      <c r="FS102" t="e">
        <f>'Global IMACD Form'!#REF!+"$Cm=!&amp;A)"</f>
        <v>#REF!</v>
      </c>
      <c r="FT102" t="e">
        <f>'Global IMACD Form'!#REF!+"$Cm=!&amp;A."</f>
        <v>#REF!</v>
      </c>
      <c r="FU102" t="e">
        <f>'Global IMACD Form'!#REF!+"$Cm=!&amp;A/"</f>
        <v>#REF!</v>
      </c>
      <c r="FV102" t="e">
        <f>'Global IMACD Form'!#REF!+"$Cm=!&amp;A0"</f>
        <v>#REF!</v>
      </c>
      <c r="FW102" t="e">
        <f>'Global IMACD Form'!#REF!+"$Cm=!&amp;A1"</f>
        <v>#REF!</v>
      </c>
      <c r="FX102" t="e">
        <f>'Global IMACD Form'!#REF!+"$Cm=!&amp;A2"</f>
        <v>#REF!</v>
      </c>
      <c r="FY102" t="e">
        <f>'Global IMACD Form'!#REF!+"$Cm=!&amp;A3"</f>
        <v>#REF!</v>
      </c>
      <c r="FZ102" t="e">
        <f>'Global IMACD Form'!#REF!+"$Cm=!&amp;A4"</f>
        <v>#REF!</v>
      </c>
      <c r="GA102" t="e">
        <f>'Global IMACD Form'!#REF!+"$Cm=!&amp;A5"</f>
        <v>#REF!</v>
      </c>
      <c r="GB102" t="e">
        <f>'Global IMACD Form'!#REF!+"$Cm=!&amp;A6"</f>
        <v>#REF!</v>
      </c>
      <c r="GC102" t="e">
        <f>'Global IMACD Form'!#REF!+"$Cm=!&amp;A7"</f>
        <v>#REF!</v>
      </c>
      <c r="GD102" t="e">
        <f>'Global IMACD Form'!#REF!+"$Cm=!&amp;A8"</f>
        <v>#REF!</v>
      </c>
      <c r="GE102" t="e">
        <f>'Global IMACD Form'!#REF!+"$Cm=!&amp;A9"</f>
        <v>#REF!</v>
      </c>
      <c r="GF102" t="e">
        <f>'Global IMACD Form'!#REF!+"$Cm=!&amp;A:"</f>
        <v>#REF!</v>
      </c>
      <c r="GG102" t="e">
        <f>'Global IMACD Form'!#REF!+"$Cm=!&amp;A;"</f>
        <v>#REF!</v>
      </c>
      <c r="GH102" t="e">
        <f>'Global IMACD Form'!#REF!+"$Cm=!&amp;A&lt;"</f>
        <v>#REF!</v>
      </c>
      <c r="GI102" t="e">
        <f>'Global IMACD Form'!#REF!+"$Cm=!&amp;A="</f>
        <v>#REF!</v>
      </c>
      <c r="GJ102" t="e">
        <f>'Global IMACD Form'!#REF!+"$Cm=!&amp;A&gt;"</f>
        <v>#REF!</v>
      </c>
      <c r="GK102" t="e">
        <f>'Global IMACD Form'!#REF!+"$Cm=!&amp;A?"</f>
        <v>#REF!</v>
      </c>
      <c r="GL102" t="e">
        <f>'Global IMACD Form'!#REF!+"$Cm=!&amp;A@"</f>
        <v>#REF!</v>
      </c>
      <c r="GM102" t="e">
        <f>'Global IMACD Form'!#REF!+"$Cm=!&amp;AA"</f>
        <v>#REF!</v>
      </c>
      <c r="GN102" t="e">
        <f>'Global IMACD Form'!#REF!+"$Cm=!&amp;AB"</f>
        <v>#REF!</v>
      </c>
      <c r="GO102" t="e">
        <f>'Global IMACD Form'!#REF!+"$Cm=!&amp;AC"</f>
        <v>#REF!</v>
      </c>
      <c r="GP102" t="e">
        <f>'Global IMACD Form'!#REF!+"$Cm=!&amp;AD"</f>
        <v>#REF!</v>
      </c>
      <c r="GQ102" t="e">
        <f>'Global IMACD Form'!#REF!+"$Cm=!&amp;AE"</f>
        <v>#REF!</v>
      </c>
      <c r="GR102" t="e">
        <f>'Global IMACD Form'!#REF!+"$Cm=!&amp;AF"</f>
        <v>#REF!</v>
      </c>
      <c r="GS102" t="e">
        <f>'Global IMACD Form'!#REF!+"$Cm=!&amp;AG"</f>
        <v>#REF!</v>
      </c>
      <c r="GT102" t="e">
        <f>'Global IMACD Form'!#REF!+"$Cm=!&amp;AH"</f>
        <v>#REF!</v>
      </c>
      <c r="GU102" t="e">
        <f>'Global IMACD Form'!#REF!+"$Cm=!&amp;AI"</f>
        <v>#REF!</v>
      </c>
      <c r="GV102" t="e">
        <f>'Global IMACD Form'!#REF!+"$Cm=!&amp;AJ"</f>
        <v>#REF!</v>
      </c>
      <c r="GW102" t="e">
        <f>'Global IMACD Form'!#REF!+"$Cm=!&amp;AK"</f>
        <v>#REF!</v>
      </c>
      <c r="GX102" t="e">
        <f>'Global IMACD Form'!#REF!+"$Cm=!&amp;AL"</f>
        <v>#REF!</v>
      </c>
      <c r="GY102" t="e">
        <f>'Global IMACD Form'!#REF!+"$Cm=!&amp;AM"</f>
        <v>#REF!</v>
      </c>
      <c r="GZ102" t="e">
        <f>'Global IMACD Form'!#REF!+"$Cm=!&amp;AN"</f>
        <v>#REF!</v>
      </c>
      <c r="HA102" t="e">
        <f>'Global IMACD Form'!#REF!+"$Cm=!&amp;AO"</f>
        <v>#REF!</v>
      </c>
      <c r="HB102" t="e">
        <f>'Global IMACD Form'!#REF!+"$Cm=!&amp;AP"</f>
        <v>#REF!</v>
      </c>
      <c r="HC102" t="e">
        <f>'Global IMACD Form'!#REF!+"$Cm=!&amp;AQ"</f>
        <v>#REF!</v>
      </c>
      <c r="HD102" t="e">
        <f>'Global IMACD Form'!#REF!+"$Cm=!&amp;AR"</f>
        <v>#REF!</v>
      </c>
      <c r="HE102" t="e">
        <f>'Global IMACD Form'!#REF!+"$Cm=!&amp;AS"</f>
        <v>#REF!</v>
      </c>
      <c r="HF102" t="e">
        <f>'Global IMACD Form'!#REF!+"$Cm=!&amp;AT"</f>
        <v>#REF!</v>
      </c>
      <c r="HG102" t="e">
        <f>'Global IMACD Form'!#REF!+"$Cm=!&amp;AU"</f>
        <v>#REF!</v>
      </c>
      <c r="HH102" t="e">
        <f>'Global IMACD Form'!#REF!+"$Cm=!&amp;AV"</f>
        <v>#REF!</v>
      </c>
      <c r="HI102" t="e">
        <f>'Global IMACD Form'!#REF!+"$Cm=!&amp;AW"</f>
        <v>#REF!</v>
      </c>
      <c r="HJ102" t="e">
        <f>'Global IMACD Form'!#REF!+"$Cm=!&amp;AX"</f>
        <v>#REF!</v>
      </c>
      <c r="HK102" t="e">
        <f>'Global IMACD Form'!#REF!+"$Cm=!&amp;AY"</f>
        <v>#REF!</v>
      </c>
      <c r="HL102" t="e">
        <f>'Global IMACD Form'!#REF!+"$Cm=!&amp;AZ"</f>
        <v>#REF!</v>
      </c>
      <c r="HM102" t="e">
        <f>'Global IMACD Form'!#REF!+"$Cm=!&amp;A["</f>
        <v>#REF!</v>
      </c>
      <c r="HN102" t="e">
        <f>'Global IMACD Form'!#REF!+"$Cm=!&amp;A\"</f>
        <v>#REF!</v>
      </c>
      <c r="HO102" t="e">
        <f>'Global IMACD Form'!#REF!+"$Cm=!&amp;A]"</f>
        <v>#REF!</v>
      </c>
      <c r="HP102" t="e">
        <f>'Global IMACD Form'!#REF!+"$Cm=!&amp;A^"</f>
        <v>#REF!</v>
      </c>
      <c r="HQ102" t="e">
        <f>'Global IMACD Form'!#REF!+"$Cm=!&amp;A_"</f>
        <v>#REF!</v>
      </c>
      <c r="HR102" t="e">
        <f>'Global IMACD Form'!#REF!+"$Cm=!&amp;A`"</f>
        <v>#REF!</v>
      </c>
      <c r="HS102" t="e">
        <f>'Global IMACD Form'!#REF!+"$Cm=!&amp;Aa"</f>
        <v>#REF!</v>
      </c>
      <c r="HT102" t="e">
        <f>'Global IMACD Form'!#REF!+"$Cm=!&amp;Ab"</f>
        <v>#REF!</v>
      </c>
      <c r="HU102" t="e">
        <f>'Global IMACD Form'!#REF!+"$Cm=!&amp;Ac"</f>
        <v>#REF!</v>
      </c>
      <c r="HV102" t="e">
        <f>'Global IMACD Form'!#REF!+"$Cm=!&amp;Ad"</f>
        <v>#REF!</v>
      </c>
      <c r="HW102" t="e">
        <f>'Global IMACD Form'!#REF!+"$Cm=!&amp;Ae"</f>
        <v>#REF!</v>
      </c>
      <c r="HX102" t="e">
        <f>'Global IMACD Form'!#REF!+"$Cm=!&amp;Af"</f>
        <v>#REF!</v>
      </c>
      <c r="HY102" t="e">
        <f>'Global IMACD Form'!#REF!+"$Cm=!&amp;Ag"</f>
        <v>#REF!</v>
      </c>
      <c r="HZ102" t="e">
        <f>'Global IMACD Form'!#REF!+"$Cm=!&amp;Ah"</f>
        <v>#REF!</v>
      </c>
      <c r="IA102" t="e">
        <f>'Global IMACD Form'!#REF!+"$Cm=!&amp;Ai"</f>
        <v>#REF!</v>
      </c>
      <c r="IB102" t="e">
        <f>'Global IMACD Form'!#REF!+"$Cm=!&amp;Aj"</f>
        <v>#REF!</v>
      </c>
      <c r="IC102" t="e">
        <f>'Global IMACD Form'!#REF!+"$Cm=!&amp;Ak"</f>
        <v>#REF!</v>
      </c>
      <c r="ID102" t="e">
        <f>'Global IMACD Form'!#REF!+"$Cm=!&amp;Al"</f>
        <v>#REF!</v>
      </c>
      <c r="IE102" t="e">
        <f>'Global IMACD Form'!#REF!+"$Cm=!&amp;Am"</f>
        <v>#REF!</v>
      </c>
      <c r="IF102" t="e">
        <f>'Global IMACD Form'!#REF!+"$Cm=!&amp;An"</f>
        <v>#REF!</v>
      </c>
      <c r="IG102" t="e">
        <f>'Global IMACD Form'!#REF!+"$Cm=!&amp;Ao"</f>
        <v>#REF!</v>
      </c>
      <c r="IH102" t="e">
        <f>'Global IMACD Form'!#REF!+"$Cm=!&amp;Ap"</f>
        <v>#REF!</v>
      </c>
      <c r="II102" t="e">
        <f>'Global IMACD Form'!#REF!+"$Cm=!&amp;Aq"</f>
        <v>#REF!</v>
      </c>
      <c r="IJ102" t="e">
        <f>'Global IMACD Form'!#REF!+"$Cm=!&amp;Ar"</f>
        <v>#REF!</v>
      </c>
      <c r="IK102" t="e">
        <f>'Global IMACD Form'!#REF!+"$Cm=!&amp;As"</f>
        <v>#REF!</v>
      </c>
      <c r="IL102" t="e">
        <f>'Global IMACD Form'!#REF!+"$Cm=!&amp;At"</f>
        <v>#REF!</v>
      </c>
      <c r="IM102" t="e">
        <f>'Global IMACD Form'!#REF!+"$Cm=!&amp;Au"</f>
        <v>#REF!</v>
      </c>
      <c r="IN102" t="e">
        <f>'Global IMACD Form'!#REF!+"$Cm=!&amp;Av"</f>
        <v>#REF!</v>
      </c>
      <c r="IO102" t="e">
        <f>'Global IMACD Form'!#REF!+"$Cm=!&amp;Aw"</f>
        <v>#REF!</v>
      </c>
      <c r="IP102" t="e">
        <f>'Global IMACD Form'!#REF!+"$Cm=!&amp;Ax"</f>
        <v>#REF!</v>
      </c>
      <c r="IQ102" t="e">
        <f>'Global IMACD Form'!#REF!+"$Cm=!&amp;Ay"</f>
        <v>#REF!</v>
      </c>
      <c r="IR102" t="e">
        <f>'Global IMACD Form'!#REF!+"$Cm=!&amp;Az"</f>
        <v>#REF!</v>
      </c>
      <c r="IS102" t="e">
        <f>'Global IMACD Form'!#REF!+"$Cm=!&amp;A{"</f>
        <v>#REF!</v>
      </c>
      <c r="IT102" t="e">
        <f>'Global IMACD Form'!#REF!+"$Cm=!&amp;A|"</f>
        <v>#REF!</v>
      </c>
      <c r="IU102" t="e">
        <f>'Global IMACD Form'!#REF!+"$Cm=!&amp;A}"</f>
        <v>#REF!</v>
      </c>
      <c r="IV102" t="e">
        <f>'Global IMACD Form'!#REF!+"$Cm=!&amp;A~"</f>
        <v>#REF!</v>
      </c>
    </row>
    <row r="103" spans="6:256">
      <c r="F103" t="e">
        <f>'Global IMACD Form'!#REF!+"$Cm=!&amp;B#"</f>
        <v>#REF!</v>
      </c>
      <c r="G103" t="e">
        <f>'Global IMACD Form'!#REF!+"$Cm=!&amp;B$"</f>
        <v>#REF!</v>
      </c>
      <c r="H103" t="e">
        <f>'Global IMACD Form'!#REF!+"$Cm=!&amp;B%"</f>
        <v>#REF!</v>
      </c>
      <c r="I103" t="e">
        <f>'Global IMACD Form'!#REF!+"$Cm=!&amp;B&amp;"</f>
        <v>#REF!</v>
      </c>
      <c r="J103" t="e">
        <f>'Global IMACD Form'!#REF!+"$Cm=!&amp;B'"</f>
        <v>#REF!</v>
      </c>
      <c r="K103" t="e">
        <f>'Global IMACD Form'!#REF!+"$Cm=!&amp;B("</f>
        <v>#REF!</v>
      </c>
      <c r="L103" t="e">
        <f>'Global IMACD Form'!#REF!+"$Cm=!&amp;B)"</f>
        <v>#REF!</v>
      </c>
      <c r="M103" t="e">
        <f>'Global IMACD Form'!#REF!+"$Cm=!&amp;B."</f>
        <v>#REF!</v>
      </c>
      <c r="N103" t="e">
        <f>'Global IMACD Form'!#REF!+"$Cm=!&amp;B/"</f>
        <v>#REF!</v>
      </c>
      <c r="O103" t="e">
        <f>'Global IMACD Form'!#REF!+"$Cm=!&amp;B0"</f>
        <v>#REF!</v>
      </c>
      <c r="P103" t="e">
        <f>'Global IMACD Form'!#REF!+"$Cm=!&amp;B1"</f>
        <v>#REF!</v>
      </c>
      <c r="Q103" t="e">
        <f>'Global IMACD Form'!#REF!+"$Cm=!&amp;B2"</f>
        <v>#REF!</v>
      </c>
      <c r="R103" t="e">
        <f>'Global IMACD Form'!#REF!+"$Cm=!&amp;B3"</f>
        <v>#REF!</v>
      </c>
      <c r="S103" t="e">
        <f>'Global IMACD Form'!#REF!+"$Cm=!&amp;B4"</f>
        <v>#REF!</v>
      </c>
      <c r="T103" t="e">
        <f>'Global IMACD Form'!#REF!+"$Cm=!&amp;B5"</f>
        <v>#REF!</v>
      </c>
      <c r="U103" t="e">
        <f>'Global IMACD Form'!#REF!+"$Cm=!&amp;B6"</f>
        <v>#REF!</v>
      </c>
      <c r="V103" t="e">
        <f>'Global IMACD Form'!#REF!+"$Cm=!&amp;B7"</f>
        <v>#REF!</v>
      </c>
      <c r="W103" t="e">
        <f>'Global IMACD Form'!#REF!+"$Cm=!&amp;B8"</f>
        <v>#REF!</v>
      </c>
      <c r="X103" t="e">
        <f>'Global IMACD Form'!#REF!+"$Cm=!&amp;B9"</f>
        <v>#REF!</v>
      </c>
      <c r="Y103" t="e">
        <f>'Global IMACD Form'!#REF!+"$Cm=!&amp;B:"</f>
        <v>#REF!</v>
      </c>
      <c r="Z103" t="e">
        <f>'Global IMACD Form'!#REF!+"$Cm=!&amp;B;"</f>
        <v>#REF!</v>
      </c>
      <c r="AA103" t="e">
        <f>'Global IMACD Form'!#REF!+"$Cm=!&amp;B&lt;"</f>
        <v>#REF!</v>
      </c>
      <c r="AB103" t="e">
        <f>'Global IMACD Form'!#REF!+"$Cm=!&amp;B="</f>
        <v>#REF!</v>
      </c>
      <c r="AC103" t="e">
        <f>'Global IMACD Form'!#REF!+"$Cm=!&amp;B&gt;"</f>
        <v>#REF!</v>
      </c>
      <c r="AD103" t="e">
        <f>'Global IMACD Form'!#REF!+"$Cm=!&amp;B?"</f>
        <v>#REF!</v>
      </c>
      <c r="AE103" t="e">
        <f>'Global IMACD Form'!#REF!+"$Cm=!&amp;B@"</f>
        <v>#REF!</v>
      </c>
      <c r="AF103" t="e">
        <f>'Global IMACD Form'!#REF!+"$Cm=!&amp;BA"</f>
        <v>#REF!</v>
      </c>
      <c r="AG103" t="e">
        <f>'Global IMACD Form'!#REF!+"$Cm=!&amp;BB"</f>
        <v>#REF!</v>
      </c>
      <c r="AH103" t="e">
        <f>'Global IMACD Form'!#REF!+"$Cm=!&amp;BC"</f>
        <v>#REF!</v>
      </c>
      <c r="AI103" t="e">
        <f>'Global IMACD Form'!#REF!+"$Cm=!&amp;BD"</f>
        <v>#REF!</v>
      </c>
      <c r="AJ103" t="e">
        <f>'Global IMACD Form'!#REF!+"$Cm=!&amp;BE"</f>
        <v>#REF!</v>
      </c>
      <c r="AK103" t="e">
        <f>'Global IMACD Form'!#REF!+"$Cm=!&amp;BF"</f>
        <v>#REF!</v>
      </c>
      <c r="AL103" t="e">
        <f>'Global IMACD Form'!#REF!+"$Cm=!&amp;BG"</f>
        <v>#REF!</v>
      </c>
      <c r="AM103" t="e">
        <f>'Global IMACD Form'!#REF!+"$Cm=!&amp;BH"</f>
        <v>#REF!</v>
      </c>
      <c r="AN103" t="e">
        <f>'Global IMACD Form'!#REF!+"$Cm=!&amp;BI"</f>
        <v>#REF!</v>
      </c>
      <c r="AO103" t="e">
        <f>'Global IMACD Form'!#REF!+"$Cm=!&amp;BJ"</f>
        <v>#REF!</v>
      </c>
      <c r="AP103" t="e">
        <f>'Global IMACD Form'!#REF!+"$Cm=!&amp;BK"</f>
        <v>#REF!</v>
      </c>
      <c r="AQ103" t="e">
        <f>'Global IMACD Form'!#REF!+"$Cm=!&amp;BL"</f>
        <v>#REF!</v>
      </c>
      <c r="AR103" t="e">
        <f>'Global IMACD Form'!#REF!+"$Cm=!&amp;BM"</f>
        <v>#REF!</v>
      </c>
      <c r="AS103" t="e">
        <f>'Global IMACD Form'!#REF!+"$Cm=!&amp;BN"</f>
        <v>#REF!</v>
      </c>
      <c r="AT103" t="e">
        <f>'Global IMACD Form'!#REF!+"$Cm=!&amp;BO"</f>
        <v>#REF!</v>
      </c>
      <c r="AU103" t="e">
        <f>'Global IMACD Form'!#REF!+"$Cm=!&amp;BP"</f>
        <v>#REF!</v>
      </c>
      <c r="AV103" t="e">
        <f>'Global IMACD Form'!#REF!+"$Cm=!&amp;BQ"</f>
        <v>#REF!</v>
      </c>
      <c r="AW103" t="e">
        <f>'Global IMACD Form'!#REF!+"$Cm=!&amp;BR"</f>
        <v>#REF!</v>
      </c>
      <c r="AX103" t="e">
        <f>'Global IMACD Form'!#REF!+"$Cm=!&amp;BS"</f>
        <v>#REF!</v>
      </c>
      <c r="AY103" t="e">
        <f>'Global IMACD Form'!#REF!+"$Cm=!&amp;BT"</f>
        <v>#REF!</v>
      </c>
      <c r="AZ103" t="e">
        <f>'Global IMACD Form'!#REF!+"$Cm=!&amp;BU"</f>
        <v>#REF!</v>
      </c>
      <c r="BA103" t="e">
        <f>'Global IMACD Form'!#REF!+"$Cm=!&amp;BV"</f>
        <v>#REF!</v>
      </c>
      <c r="BB103" t="e">
        <f>'Global IMACD Form'!#REF!+"$Cm=!&amp;BW"</f>
        <v>#REF!</v>
      </c>
      <c r="BC103" t="e">
        <f>'Global IMACD Form'!#REF!+"$Cm=!&amp;BX"</f>
        <v>#REF!</v>
      </c>
      <c r="BD103" t="e">
        <f>'Global IMACD Form'!#REF!+"$Cm=!&amp;BY"</f>
        <v>#REF!</v>
      </c>
      <c r="BE103" t="e">
        <f>'Global IMACD Form'!#REF!+"$Cm=!&amp;BZ"</f>
        <v>#REF!</v>
      </c>
      <c r="BF103" t="e">
        <f>'Global IMACD Form'!#REF!+"$Cm=!&amp;B["</f>
        <v>#REF!</v>
      </c>
      <c r="BG103" t="e">
        <f>'Global IMACD Form'!#REF!+"$Cm=!&amp;B\"</f>
        <v>#REF!</v>
      </c>
      <c r="BH103" t="e">
        <f>'Global IMACD Form'!#REF!+"$Cm=!&amp;B]"</f>
        <v>#REF!</v>
      </c>
      <c r="BI103" t="e">
        <f>'Global IMACD Form'!#REF!+"$Cm=!&amp;B^"</f>
        <v>#REF!</v>
      </c>
      <c r="BJ103" t="e">
        <f>'Global IMACD Form'!#REF!+"$Cm=!&amp;B_"</f>
        <v>#REF!</v>
      </c>
      <c r="BK103" t="e">
        <f>'Global IMACD Form'!#REF!+"$Cm=!&amp;B`"</f>
        <v>#REF!</v>
      </c>
      <c r="BL103" t="e">
        <f>'Global IMACD Form'!#REF!+"$Cm=!&amp;Ba"</f>
        <v>#REF!</v>
      </c>
      <c r="BM103" t="e">
        <f>'Global IMACD Form'!#REF!+"$Cm=!&amp;Bb"</f>
        <v>#REF!</v>
      </c>
      <c r="BN103" t="e">
        <f>'Global IMACD Form'!#REF!+"$Cm=!&amp;Bc"</f>
        <v>#REF!</v>
      </c>
      <c r="BO103" t="e">
        <f>'Global IMACD Form'!#REF!+"$Cm=!&amp;Bd"</f>
        <v>#REF!</v>
      </c>
      <c r="BP103" t="e">
        <f>'Global IMACD Form'!#REF!+"$Cm=!&amp;Be"</f>
        <v>#REF!</v>
      </c>
      <c r="BQ103" t="e">
        <f>'Global IMACD Form'!#REF!+"$Cm=!&amp;Bf"</f>
        <v>#REF!</v>
      </c>
      <c r="BR103" t="e">
        <f>'Global IMACD Form'!#REF!+"$Cm=!&amp;Bg"</f>
        <v>#REF!</v>
      </c>
      <c r="BS103" t="e">
        <f>'Global IMACD Form'!#REF!+"$Cm=!&amp;Bh"</f>
        <v>#REF!</v>
      </c>
      <c r="BT103" t="e">
        <f>'Global IMACD Form'!#REF!+"$Cm=!&amp;Bi"</f>
        <v>#REF!</v>
      </c>
      <c r="BU103" t="e">
        <f>'Global IMACD Form'!#REF!+"$Cm=!&amp;Bj"</f>
        <v>#REF!</v>
      </c>
      <c r="BV103" t="e">
        <f>'Global IMACD Form'!#REF!+"$Cm=!&amp;Bk"</f>
        <v>#REF!</v>
      </c>
      <c r="BW103" t="e">
        <f>'Global IMACD Form'!#REF!+"$Cm=!&amp;Bl"</f>
        <v>#REF!</v>
      </c>
      <c r="BX103" t="e">
        <f>'Global IMACD Form'!#REF!+"$Cm=!&amp;Bm"</f>
        <v>#REF!</v>
      </c>
      <c r="BY103" t="e">
        <f>'Global IMACD Form'!#REF!+"$Cm=!&amp;Bn"</f>
        <v>#REF!</v>
      </c>
      <c r="BZ103" t="e">
        <f>'Global IMACD Form'!#REF!+"$Cm=!&amp;Bo"</f>
        <v>#REF!</v>
      </c>
      <c r="CA103" t="e">
        <f>'Global IMACD Form'!#REF!+"$Cm=!&amp;Bp"</f>
        <v>#REF!</v>
      </c>
      <c r="CB103" t="e">
        <f>'Global IMACD Form'!#REF!+"$Cm=!&amp;Bq"</f>
        <v>#REF!</v>
      </c>
      <c r="CC103" t="e">
        <f>'Global IMACD Form'!#REF!+"$Cm=!&amp;Br"</f>
        <v>#REF!</v>
      </c>
      <c r="CD103" t="e">
        <f>'Global IMACD Form'!#REF!+"$Cm=!&amp;Bs"</f>
        <v>#REF!</v>
      </c>
      <c r="CE103" t="e">
        <f>'Global IMACD Form'!#REF!+"$Cm=!&amp;Bt"</f>
        <v>#REF!</v>
      </c>
      <c r="CF103" t="e">
        <f>'Global IMACD Form'!#REF!+"$Cm=!&amp;Bu"</f>
        <v>#REF!</v>
      </c>
      <c r="CG103" t="e">
        <f>'Global IMACD Form'!#REF!+"$Cm=!&amp;Bv"</f>
        <v>#REF!</v>
      </c>
      <c r="CH103" t="e">
        <f>'Global IMACD Form'!#REF!+"$Cm=!&amp;Bw"</f>
        <v>#REF!</v>
      </c>
      <c r="CI103" t="e">
        <f>'Global IMACD Form'!#REF!+"$Cm=!&amp;Bx"</f>
        <v>#REF!</v>
      </c>
      <c r="CJ103" t="e">
        <f>'Global IMACD Form'!#REF!+"$Cm=!&amp;By"</f>
        <v>#REF!</v>
      </c>
      <c r="CK103" t="e">
        <f>'Global IMACD Form'!#REF!+"$Cm=!&amp;Bz"</f>
        <v>#REF!</v>
      </c>
      <c r="CL103" t="e">
        <f>'Global IMACD Form'!#REF!+"$Cm=!&amp;B{"</f>
        <v>#REF!</v>
      </c>
      <c r="CM103" t="e">
        <f>'Global IMACD Form'!#REF!+"$Cm=!&amp;B|"</f>
        <v>#REF!</v>
      </c>
      <c r="CN103" t="e">
        <f>'Global IMACD Form'!#REF!+"$Cm=!&amp;B}"</f>
        <v>#REF!</v>
      </c>
      <c r="CO103" t="e">
        <f>'Global IMACD Form'!#REF!+"$Cm=!&amp;B~"</f>
        <v>#REF!</v>
      </c>
      <c r="CP103" t="e">
        <f>'Global IMACD Form'!#REF!+"$Cm=!&amp;C#"</f>
        <v>#REF!</v>
      </c>
      <c r="CQ103" t="e">
        <f>'Global IMACD Form'!#REF!+"$Cm=!&amp;C$"</f>
        <v>#REF!</v>
      </c>
      <c r="CR103" t="e">
        <f>'Global IMACD Form'!#REF!+"$Cm=!&amp;C%"</f>
        <v>#REF!</v>
      </c>
      <c r="CS103" t="e">
        <f>'Global IMACD Form'!#REF!+"$Cm=!&amp;C&amp;"</f>
        <v>#REF!</v>
      </c>
      <c r="CT103" t="e">
        <f>'Global IMACD Form'!#REF!+"$Cm=!&amp;C'"</f>
        <v>#REF!</v>
      </c>
      <c r="CU103" t="e">
        <f>'Global IMACD Form'!#REF!+"$Cm=!&amp;C("</f>
        <v>#REF!</v>
      </c>
      <c r="CV103" t="e">
        <f>'Global IMACD Form'!#REF!+"$Cm=!&amp;C)"</f>
        <v>#REF!</v>
      </c>
      <c r="CW103" t="e">
        <f>'Global IMACD Form'!#REF!+"$Cm=!&amp;C."</f>
        <v>#REF!</v>
      </c>
      <c r="CX103" t="e">
        <f>'Global IMACD Form'!#REF!+"$Cm=!&amp;C/"</f>
        <v>#REF!</v>
      </c>
      <c r="CY103" t="e">
        <f>'Global IMACD Form'!#REF!+"$Cm=!&amp;C0"</f>
        <v>#REF!</v>
      </c>
      <c r="CZ103" t="e">
        <f>'Global IMACD Form'!#REF!+"$Cm=!&amp;C1"</f>
        <v>#REF!</v>
      </c>
      <c r="DA103" t="e">
        <f>'Global IMACD Form'!#REF!+"$Cm=!&amp;C2"</f>
        <v>#REF!</v>
      </c>
      <c r="DB103" t="e">
        <f>'Global IMACD Form'!#REF!+"$Cm=!&amp;C3"</f>
        <v>#REF!</v>
      </c>
      <c r="DC103" t="e">
        <f>'Global IMACD Form'!#REF!+"$Cm=!&amp;C4"</f>
        <v>#REF!</v>
      </c>
      <c r="DD103" t="e">
        <f>'Global IMACD Form'!#REF!+"$Cm=!&amp;C5"</f>
        <v>#REF!</v>
      </c>
      <c r="DE103" t="e">
        <f>'Global IMACD Form'!#REF!+"$Cm=!&amp;C6"</f>
        <v>#REF!</v>
      </c>
      <c r="DF103" t="e">
        <f>'Global IMACD Form'!#REF!+"$Cm=!&amp;C7"</f>
        <v>#REF!</v>
      </c>
      <c r="DG103" t="e">
        <f>'Global IMACD Form'!#REF!+"$Cm=!&amp;C8"</f>
        <v>#REF!</v>
      </c>
      <c r="DH103" t="e">
        <f>'Global IMACD Form'!#REF!+"$Cm=!&amp;C9"</f>
        <v>#REF!</v>
      </c>
      <c r="DI103" t="e">
        <f>'Global IMACD Form'!#REF!+"$Cm=!&amp;C:"</f>
        <v>#REF!</v>
      </c>
      <c r="DJ103" t="e">
        <f>'Global IMACD Form'!#REF!+"$Cm=!&amp;C;"</f>
        <v>#REF!</v>
      </c>
      <c r="DK103" t="e">
        <f>'Global IMACD Form'!#REF!+"$Cm=!&amp;C&lt;"</f>
        <v>#REF!</v>
      </c>
      <c r="DL103" t="e">
        <f>'Global IMACD Form'!#REF!+"$Cm=!&amp;C="</f>
        <v>#REF!</v>
      </c>
      <c r="DM103" t="e">
        <f>'Global IMACD Form'!#REF!+"$Cm=!&amp;C&gt;"</f>
        <v>#REF!</v>
      </c>
      <c r="DN103" t="e">
        <f>'Global IMACD Form'!#REF!+"$Cm=!&amp;C?"</f>
        <v>#REF!</v>
      </c>
      <c r="DO103" t="e">
        <f>'Global IMACD Form'!#REF!+"$Cm=!&amp;C@"</f>
        <v>#REF!</v>
      </c>
      <c r="DP103" t="e">
        <f>'Global IMACD Form'!#REF!+"$Cm=!&amp;CA"</f>
        <v>#REF!</v>
      </c>
      <c r="DQ103" t="e">
        <f>'Global IMACD Form'!#REF!+"$Cm=!&amp;CB"</f>
        <v>#REF!</v>
      </c>
      <c r="DR103" t="e">
        <f>'Global IMACD Form'!#REF!+"$Cm=!&amp;CC"</f>
        <v>#REF!</v>
      </c>
      <c r="DS103" t="e">
        <f>'Global IMACD Form'!#REF!+"$Cm=!&amp;CD"</f>
        <v>#REF!</v>
      </c>
      <c r="DT103" t="e">
        <f>'Global IMACD Form'!#REF!+"$Cm=!&amp;CE"</f>
        <v>#REF!</v>
      </c>
      <c r="DU103" t="e">
        <f>'Global IMACD Form'!#REF!+"$Cm=!&amp;CF"</f>
        <v>#REF!</v>
      </c>
      <c r="DV103" t="e">
        <f>'Global IMACD Form'!#REF!+"$Cm=!&amp;CG"</f>
        <v>#REF!</v>
      </c>
      <c r="DW103" t="e">
        <f>'Global IMACD Form'!#REF!+"$Cm=!&amp;CH"</f>
        <v>#REF!</v>
      </c>
      <c r="DX103" t="e">
        <f>'Global IMACD Form'!#REF!+"$Cm=!&amp;CI"</f>
        <v>#REF!</v>
      </c>
      <c r="DY103" t="e">
        <f>'Global IMACD Form'!#REF!+"$Cm=!&amp;CJ"</f>
        <v>#REF!</v>
      </c>
      <c r="DZ103" t="e">
        <f>'Global IMACD Form'!#REF!+"$Cm=!&amp;CK"</f>
        <v>#REF!</v>
      </c>
      <c r="EA103" t="e">
        <f>'Global IMACD Form'!#REF!+"$Cm=!&amp;CL"</f>
        <v>#REF!</v>
      </c>
      <c r="EB103" t="e">
        <f>'Global IMACD Form'!#REF!+"$Cm=!&amp;CM"</f>
        <v>#REF!</v>
      </c>
      <c r="EC103" t="e">
        <f>'Global IMACD Form'!#REF!+"$Cm=!&amp;CN"</f>
        <v>#REF!</v>
      </c>
      <c r="ED103" t="e">
        <f>'Global IMACD Form'!#REF!+"$Cm=!&amp;CO"</f>
        <v>#REF!</v>
      </c>
      <c r="EE103" t="e">
        <f>'Global IMACD Form'!#REF!+"$Cm=!&amp;CP"</f>
        <v>#REF!</v>
      </c>
      <c r="EF103" t="e">
        <f>'Global IMACD Form'!#REF!+"$Cm=!&amp;CQ"</f>
        <v>#REF!</v>
      </c>
      <c r="EG103" t="e">
        <f>'Global IMACD Form'!#REF!+"$Cm=!&amp;CR"</f>
        <v>#REF!</v>
      </c>
      <c r="EH103" t="e">
        <f>'Global IMACD Form'!#REF!+"$Cm=!&amp;CS"</f>
        <v>#REF!</v>
      </c>
      <c r="EI103" t="e">
        <f>'Global IMACD Form'!#REF!+"$Cm=!&amp;CT"</f>
        <v>#REF!</v>
      </c>
      <c r="EJ103" t="e">
        <f>'Global IMACD Form'!#REF!+"$Cm=!&amp;CU"</f>
        <v>#REF!</v>
      </c>
      <c r="EK103" t="e">
        <f>'Global IMACD Form'!#REF!+"$Cm=!&amp;CV"</f>
        <v>#REF!</v>
      </c>
      <c r="EL103" t="e">
        <f>'Global IMACD Form'!#REF!+"$Cm=!&amp;CW"</f>
        <v>#REF!</v>
      </c>
      <c r="EM103" t="e">
        <f>'Global IMACD Form'!#REF!+"$Cm=!&amp;CX"</f>
        <v>#REF!</v>
      </c>
      <c r="EN103" t="e">
        <f>'Global IMACD Form'!#REF!+"$Cm=!&amp;CY"</f>
        <v>#REF!</v>
      </c>
      <c r="EO103" t="e">
        <f>'Global IMACD Form'!#REF!+"$Cm=!&amp;CZ"</f>
        <v>#REF!</v>
      </c>
      <c r="EP103" t="e">
        <f>'Global IMACD Form'!#REF!+"$Cm=!&amp;C["</f>
        <v>#REF!</v>
      </c>
      <c r="EQ103" t="e">
        <f>'Global IMACD Form'!#REF!+"$Cm=!&amp;C\"</f>
        <v>#REF!</v>
      </c>
      <c r="ER103" t="e">
        <f>'Global IMACD Form'!#REF!+"$Cm=!&amp;C]"</f>
        <v>#REF!</v>
      </c>
      <c r="ES103" t="e">
        <f>'Global IMACD Form'!#REF!+"$Cm=!&amp;C^"</f>
        <v>#REF!</v>
      </c>
      <c r="ET103" t="e">
        <f>'Global IMACD Form'!#REF!+"$Cm=!&amp;C_"</f>
        <v>#REF!</v>
      </c>
      <c r="EU103" t="e">
        <f>'Global IMACD Form'!#REF!+"$Cm=!&amp;C`"</f>
        <v>#REF!</v>
      </c>
      <c r="EV103" t="e">
        <f>'Global IMACD Form'!#REF!+"$Cm=!&amp;Ca"</f>
        <v>#REF!</v>
      </c>
      <c r="EW103" t="e">
        <f>'Global IMACD Form'!#REF!+"$Cm=!&amp;Cb"</f>
        <v>#REF!</v>
      </c>
      <c r="EX103" t="e">
        <f>'Global IMACD Form'!#REF!+"$Cm=!&amp;Cc"</f>
        <v>#REF!</v>
      </c>
      <c r="EY103" t="e">
        <f>'Global IMACD Form'!#REF!+"$Cm=!&amp;Cd"</f>
        <v>#REF!</v>
      </c>
      <c r="EZ103" t="e">
        <f>'Global IMACD Form'!#REF!+"$Cm=!&amp;Ce"</f>
        <v>#REF!</v>
      </c>
      <c r="FA103" t="e">
        <f>'Global IMACD Form'!#REF!+"$Cm=!&amp;Cf"</f>
        <v>#REF!</v>
      </c>
      <c r="FB103" t="e">
        <f>'Global IMACD Form'!#REF!+"$Cm=!&amp;Cg"</f>
        <v>#REF!</v>
      </c>
      <c r="FC103" t="e">
        <f>'Global IMACD Form'!#REF!+"$Cm=!&amp;Ch"</f>
        <v>#REF!</v>
      </c>
      <c r="FD103" t="e">
        <f>'Global IMACD Form'!#REF!+"$Cm=!&amp;Ci"</f>
        <v>#REF!</v>
      </c>
      <c r="FE103" t="e">
        <f>'Global IMACD Form'!#REF!+"$Cm=!&amp;Cj"</f>
        <v>#REF!</v>
      </c>
      <c r="FF103" t="e">
        <f>'Global IMACD Form'!#REF!+"$Cm=!&amp;Ck"</f>
        <v>#REF!</v>
      </c>
      <c r="FG103" t="e">
        <f>'Global IMACD Form'!#REF!+"$Cm=!&amp;Cl"</f>
        <v>#REF!</v>
      </c>
      <c r="FH103" t="e">
        <f>'Global IMACD Form'!#REF!+"$Cm=!&amp;Cm"</f>
        <v>#REF!</v>
      </c>
      <c r="FI103" t="e">
        <f>'Global IMACD Form'!#REF!+"$Cm=!&amp;Cn"</f>
        <v>#REF!</v>
      </c>
      <c r="FJ103" t="e">
        <f>'Global IMACD Form'!#REF!+"$Cm=!&amp;Co"</f>
        <v>#REF!</v>
      </c>
      <c r="FK103" t="e">
        <f>'Global IMACD Form'!#REF!+"$Cm=!&amp;Cp"</f>
        <v>#REF!</v>
      </c>
      <c r="FL103" t="e">
        <f>'Global IMACD Form'!#REF!+"$Cm=!&amp;Cq"</f>
        <v>#REF!</v>
      </c>
      <c r="FM103" t="e">
        <f>'Global IMACD Form'!#REF!+"$Cm=!&amp;Cr"</f>
        <v>#REF!</v>
      </c>
      <c r="FN103" t="e">
        <f>'Global IMACD Form'!#REF!+"$Cm=!&amp;Cs"</f>
        <v>#REF!</v>
      </c>
      <c r="FO103" t="e">
        <f>'Global IMACD Form'!#REF!+"$Cm=!&amp;Ct"</f>
        <v>#REF!</v>
      </c>
      <c r="FP103" t="e">
        <f>'Global IMACD Form'!#REF!+"$Cm=!&amp;Cu"</f>
        <v>#REF!</v>
      </c>
      <c r="FQ103" t="e">
        <f>'Global IMACD Form'!#REF!+"$Cm=!&amp;Cv"</f>
        <v>#REF!</v>
      </c>
      <c r="FR103" t="e">
        <f>'Global IMACD Form'!#REF!+"$Cm=!&amp;Cw"</f>
        <v>#REF!</v>
      </c>
      <c r="FS103" t="e">
        <f>'Global IMACD Form'!#REF!+"$Cm=!&amp;Cx"</f>
        <v>#REF!</v>
      </c>
      <c r="FT103" t="e">
        <f>'Global IMACD Form'!#REF!+"$Cm=!&amp;Cy"</f>
        <v>#REF!</v>
      </c>
      <c r="FU103" t="e">
        <f>'Global IMACD Form'!#REF!+"$Cm=!&amp;Cz"</f>
        <v>#REF!</v>
      </c>
      <c r="FV103" t="e">
        <f>'Global IMACD Form'!#REF!+"$Cm=!&amp;C{"</f>
        <v>#REF!</v>
      </c>
      <c r="FW103" t="e">
        <f>'Global IMACD Form'!#REF!+"$Cm=!&amp;C|"</f>
        <v>#REF!</v>
      </c>
      <c r="FX103" t="e">
        <f>'Global IMACD Form'!#REF!+"$Cm=!&amp;C}"</f>
        <v>#REF!</v>
      </c>
      <c r="FY103" t="e">
        <f>'Global IMACD Form'!#REF!+"$Cm=!&amp;C~"</f>
        <v>#REF!</v>
      </c>
      <c r="FZ103" t="e">
        <f>'Global IMACD Form'!#REF!+"$Cm=!&amp;D#"</f>
        <v>#REF!</v>
      </c>
      <c r="GA103" t="e">
        <f>'Global IMACD Form'!#REF!+"$Cm=!&amp;D$"</f>
        <v>#REF!</v>
      </c>
      <c r="GB103" t="e">
        <f>'Global IMACD Form'!#REF!+"$Cm=!&amp;D%"</f>
        <v>#REF!</v>
      </c>
      <c r="GC103" t="e">
        <f>'Global IMACD Form'!#REF!+"$Cm=!&amp;D&amp;"</f>
        <v>#REF!</v>
      </c>
      <c r="GD103" t="e">
        <f>'Global IMACD Form'!#REF!+"$Cm=!&amp;D'"</f>
        <v>#REF!</v>
      </c>
      <c r="GE103" t="e">
        <f>'Global IMACD Form'!#REF!+"$Cm=!&amp;D("</f>
        <v>#REF!</v>
      </c>
      <c r="GF103" t="e">
        <f>'Global IMACD Form'!#REF!+"$Cm=!&amp;D)"</f>
        <v>#REF!</v>
      </c>
      <c r="GG103" t="e">
        <f>'Global IMACD Form'!#REF!+"$Cm=!&amp;D."</f>
        <v>#REF!</v>
      </c>
      <c r="GH103" t="e">
        <f>'Global IMACD Form'!#REF!+"$Cm=!&amp;D/"</f>
        <v>#REF!</v>
      </c>
      <c r="GI103" t="e">
        <f>'Global IMACD Form'!#REF!+"$Cm=!&amp;D0"</f>
        <v>#REF!</v>
      </c>
      <c r="GJ103" t="e">
        <f>'Global IMACD Form'!#REF!+"$Cm=!&amp;D1"</f>
        <v>#REF!</v>
      </c>
      <c r="GK103" t="e">
        <f>'Global IMACD Form'!#REF!+"$Cm=!&amp;D2"</f>
        <v>#REF!</v>
      </c>
      <c r="GL103" t="e">
        <f>'Global IMACD Form'!#REF!+"$Cm=!&amp;D3"</f>
        <v>#REF!</v>
      </c>
      <c r="GM103" t="e">
        <f>'Global IMACD Form'!#REF!+"$Cm=!&amp;D4"</f>
        <v>#REF!</v>
      </c>
      <c r="GN103" t="e">
        <f>'Global IMACD Form'!#REF!+"$Cm=!&amp;D5"</f>
        <v>#REF!</v>
      </c>
      <c r="GO103" t="e">
        <f>'Global IMACD Form'!#REF!+"$Cm=!&amp;D6"</f>
        <v>#REF!</v>
      </c>
      <c r="GP103" t="e">
        <f>'Global IMACD Form'!#REF!+"$Cm=!&amp;D7"</f>
        <v>#REF!</v>
      </c>
      <c r="GQ103" t="e">
        <f>'Global IMACD Form'!#REF!+"$Cm=!&amp;D8"</f>
        <v>#REF!</v>
      </c>
      <c r="GR103" t="e">
        <f>'Global IMACD Form'!#REF!+"$Cm=!&amp;D9"</f>
        <v>#REF!</v>
      </c>
      <c r="GS103" t="e">
        <f>'Global IMACD Form'!#REF!+"$Cm=!&amp;D:"</f>
        <v>#REF!</v>
      </c>
      <c r="GT103" t="e">
        <f>'Global IMACD Form'!#REF!+"$Cm=!&amp;D;"</f>
        <v>#REF!</v>
      </c>
      <c r="GU103" t="e">
        <f>'Global IMACD Form'!#REF!+"$Cm=!&amp;D&lt;"</f>
        <v>#REF!</v>
      </c>
      <c r="GV103" t="e">
        <f>'Global IMACD Form'!#REF!+"$Cm=!&amp;D="</f>
        <v>#REF!</v>
      </c>
      <c r="GW103" t="e">
        <f>'Global IMACD Form'!#REF!+"$Cm=!&amp;D&gt;"</f>
        <v>#REF!</v>
      </c>
      <c r="GX103" t="e">
        <f>'Global IMACD Form'!#REF!+"$Cm=!&amp;D?"</f>
        <v>#REF!</v>
      </c>
      <c r="GY103" t="e">
        <f>'Global IMACD Form'!#REF!+"$Cm=!&amp;D@"</f>
        <v>#REF!</v>
      </c>
      <c r="GZ103" t="e">
        <f>'Global IMACD Form'!#REF!+"$Cm=!&amp;DA"</f>
        <v>#REF!</v>
      </c>
      <c r="HA103" t="e">
        <f>'Global IMACD Form'!#REF!+"$Cm=!&amp;DB"</f>
        <v>#REF!</v>
      </c>
      <c r="HB103" t="e">
        <f>'Global IMACD Form'!#REF!+"$Cm=!&amp;DC"</f>
        <v>#REF!</v>
      </c>
      <c r="HC103" t="e">
        <f>'Global IMACD Form'!#REF!+"$Cm=!&amp;DD"</f>
        <v>#REF!</v>
      </c>
      <c r="HD103" t="e">
        <f>'Global IMACD Form'!#REF!+"$Cm=!&amp;DE"</f>
        <v>#REF!</v>
      </c>
      <c r="HE103" t="e">
        <f>'Global IMACD Form'!#REF!+"$Cm=!&amp;DF"</f>
        <v>#REF!</v>
      </c>
      <c r="HF103" t="e">
        <f>'Global IMACD Form'!#REF!+"$Cm=!&amp;DG"</f>
        <v>#REF!</v>
      </c>
      <c r="HG103" t="e">
        <f>'Global IMACD Form'!#REF!+"$Cm=!&amp;DH"</f>
        <v>#REF!</v>
      </c>
      <c r="HH103" t="e">
        <f>'Global IMACD Form'!#REF!+"$Cm=!&amp;DI"</f>
        <v>#REF!</v>
      </c>
      <c r="HI103" t="e">
        <f>'Global IMACD Form'!#REF!+"$Cm=!&amp;DJ"</f>
        <v>#REF!</v>
      </c>
      <c r="HJ103" t="e">
        <f>'Global IMACD Form'!#REF!+"$Cm=!&amp;DK"</f>
        <v>#REF!</v>
      </c>
      <c r="HK103" t="e">
        <f>'Global IMACD Form'!#REF!+"$Cm=!&amp;DL"</f>
        <v>#REF!</v>
      </c>
      <c r="HL103" t="e">
        <f>'Global IMACD Form'!#REF!+"$Cm=!&amp;DM"</f>
        <v>#REF!</v>
      </c>
      <c r="HM103" t="e">
        <f>'Global IMACD Form'!#REF!+"$Cm=!&amp;DN"</f>
        <v>#REF!</v>
      </c>
      <c r="HN103" t="e">
        <f>'Global IMACD Form'!#REF!+"$Cm=!&amp;DO"</f>
        <v>#REF!</v>
      </c>
      <c r="HO103" t="e">
        <f>'Global IMACD Form'!#REF!+"$Cm=!&amp;DP"</f>
        <v>#REF!</v>
      </c>
      <c r="HP103" t="e">
        <f>'Global IMACD Form'!#REF!+"$Cm=!&amp;DQ"</f>
        <v>#REF!</v>
      </c>
      <c r="HQ103" t="e">
        <f>'Global IMACD Form'!#REF!+"$Cm=!&amp;DR"</f>
        <v>#REF!</v>
      </c>
      <c r="HR103" t="e">
        <f>'Global IMACD Form'!#REF!+"$Cm=!&amp;DS"</f>
        <v>#REF!</v>
      </c>
      <c r="HS103" t="e">
        <f>'Global IMACD Form'!#REF!+"$Cm=!&amp;DT"</f>
        <v>#REF!</v>
      </c>
      <c r="HT103" t="e">
        <f>'Global IMACD Form'!#REF!+"$Cm=!&amp;DU"</f>
        <v>#REF!</v>
      </c>
      <c r="HU103" t="e">
        <f>'Global IMACD Form'!#REF!+"$Cm=!&amp;DV"</f>
        <v>#REF!</v>
      </c>
      <c r="HV103" t="e">
        <f>'Global IMACD Form'!#REF!+"$Cm=!&amp;DW"</f>
        <v>#REF!</v>
      </c>
      <c r="HW103" t="e">
        <f>'Global IMACD Form'!#REF!+"$Cm=!&amp;DX"</f>
        <v>#REF!</v>
      </c>
      <c r="HX103" t="e">
        <f>'Global IMACD Form'!#REF!+"$Cm=!&amp;DY"</f>
        <v>#REF!</v>
      </c>
      <c r="HY103" t="e">
        <f>'Global IMACD Form'!#REF!+"$Cm=!&amp;DZ"</f>
        <v>#REF!</v>
      </c>
      <c r="HZ103" t="e">
        <f>'Global IMACD Form'!#REF!+"$Cm=!&amp;D["</f>
        <v>#REF!</v>
      </c>
      <c r="IA103" t="e">
        <f>'Global IMACD Form'!#REF!+"$Cm=!&amp;D\"</f>
        <v>#REF!</v>
      </c>
      <c r="IB103" t="e">
        <f>'Global IMACD Form'!#REF!+"$Cm=!&amp;D]"</f>
        <v>#REF!</v>
      </c>
      <c r="IC103" t="e">
        <f>'Global IMACD Form'!#REF!+"$Cm=!&amp;D^"</f>
        <v>#REF!</v>
      </c>
      <c r="ID103" t="e">
        <f>'Global IMACD Form'!#REF!+"$Cm=!&amp;D_"</f>
        <v>#REF!</v>
      </c>
      <c r="IE103" t="e">
        <f>'Global IMACD Form'!#REF!+"$Cm=!&amp;D`"</f>
        <v>#REF!</v>
      </c>
      <c r="IF103" t="e">
        <f>'Global IMACD Form'!#REF!+"$Cm=!&amp;Da"</f>
        <v>#REF!</v>
      </c>
      <c r="IG103" t="e">
        <f>'Global IMACD Form'!#REF!+"$Cm=!&amp;Db"</f>
        <v>#REF!</v>
      </c>
      <c r="IH103" t="e">
        <f>'Global IMACD Form'!#REF!+"$Cm=!&amp;Dc"</f>
        <v>#REF!</v>
      </c>
      <c r="II103" t="e">
        <f>'Global IMACD Form'!#REF!+"$Cm=!&amp;Dd"</f>
        <v>#REF!</v>
      </c>
      <c r="IJ103" t="e">
        <f>'Global IMACD Form'!#REF!+"$Cm=!&amp;De"</f>
        <v>#REF!</v>
      </c>
      <c r="IK103" t="e">
        <f>'Global IMACD Form'!#REF!+"$Cm=!&amp;Df"</f>
        <v>#REF!</v>
      </c>
      <c r="IL103" t="e">
        <f>'Global IMACD Form'!#REF!+"$Cm=!&amp;Dg"</f>
        <v>#REF!</v>
      </c>
      <c r="IM103" t="e">
        <f>'Global IMACD Form'!#REF!+"$Cm=!&amp;Dh"</f>
        <v>#REF!</v>
      </c>
      <c r="IN103" t="e">
        <f>'Global IMACD Form'!#REF!+"$Cm=!&amp;Di"</f>
        <v>#REF!</v>
      </c>
      <c r="IO103" t="e">
        <f>'Global IMACD Form'!#REF!+"$Cm=!&amp;Dj"</f>
        <v>#REF!</v>
      </c>
      <c r="IP103" t="e">
        <f>'Global IMACD Form'!#REF!+"$Cm=!&amp;Dk"</f>
        <v>#REF!</v>
      </c>
      <c r="IQ103" t="e">
        <f>'Global IMACD Form'!#REF!+"$Cm=!&amp;Dl"</f>
        <v>#REF!</v>
      </c>
      <c r="IR103" t="e">
        <f>'Global IMACD Form'!#REF!+"$Cm=!&amp;Dm"</f>
        <v>#REF!</v>
      </c>
      <c r="IS103" t="e">
        <f>'Global IMACD Form'!#REF!+"$Cm=!&amp;Dn"</f>
        <v>#REF!</v>
      </c>
      <c r="IT103" t="e">
        <f>'Global IMACD Form'!#REF!+"$Cm=!&amp;Do"</f>
        <v>#REF!</v>
      </c>
      <c r="IU103" t="e">
        <f>'Global IMACD Form'!#REF!+"$Cm=!&amp;Dp"</f>
        <v>#REF!</v>
      </c>
      <c r="IV103" t="e">
        <f>'Global IMACD Form'!#REF!+"$Cm=!&amp;Dq"</f>
        <v>#REF!</v>
      </c>
    </row>
    <row r="104" spans="6:256">
      <c r="F104" t="e">
        <f>'Global IMACD Form'!#REF!+"$Cm=!&amp;Dr"</f>
        <v>#REF!</v>
      </c>
      <c r="G104" t="e">
        <f>'Global IMACD Form'!#REF!+"$Cm=!&amp;Ds"</f>
        <v>#REF!</v>
      </c>
      <c r="H104" t="e">
        <f>'Global IMACD Form'!#REF!+"$Cm=!&amp;Dt"</f>
        <v>#REF!</v>
      </c>
      <c r="I104" t="e">
        <f>'Global IMACD Form'!#REF!+"$Cm=!&amp;Du"</f>
        <v>#REF!</v>
      </c>
      <c r="J104" t="e">
        <f>'Global IMACD Form'!#REF!+"$Cm=!&amp;Dv"</f>
        <v>#REF!</v>
      </c>
      <c r="K104" t="e">
        <f>'Global IMACD Form'!#REF!+"$Cm=!&amp;Dw"</f>
        <v>#REF!</v>
      </c>
      <c r="L104" t="e">
        <f>'Global IMACD Form'!#REF!+"$Cm=!&amp;Dx"</f>
        <v>#REF!</v>
      </c>
      <c r="M104" t="e">
        <f>'Global IMACD Form'!#REF!+"$Cm=!&amp;Dy"</f>
        <v>#REF!</v>
      </c>
      <c r="N104" t="e">
        <f>'Global IMACD Form'!#REF!+"$Cm=!&amp;Dz"</f>
        <v>#REF!</v>
      </c>
      <c r="O104" t="e">
        <f>'Global IMACD Form'!#REF!+"$Cm=!&amp;D{"</f>
        <v>#REF!</v>
      </c>
      <c r="P104" t="e">
        <f>'Global IMACD Form'!#REF!+"$Cm=!&amp;D|"</f>
        <v>#REF!</v>
      </c>
      <c r="Q104" t="e">
        <f>'Global IMACD Form'!#REF!+"$Cm=!&amp;D}"</f>
        <v>#REF!</v>
      </c>
      <c r="R104" t="e">
        <f>'Global IMACD Form'!#REF!+"$Cm=!&amp;D~"</f>
        <v>#REF!</v>
      </c>
      <c r="S104" t="e">
        <f>'Global IMACD Form'!#REF!+"$Cm=!&amp;E#"</f>
        <v>#REF!</v>
      </c>
      <c r="T104" t="e">
        <f>'Global IMACD Form'!#REF!+"$Cm=!&amp;E$"</f>
        <v>#REF!</v>
      </c>
      <c r="U104" t="e">
        <f>'Global IMACD Form'!#REF!+"$Cm=!&amp;E%"</f>
        <v>#REF!</v>
      </c>
      <c r="V104" t="e">
        <f>'Global IMACD Form'!#REF!+"$Cm=!&amp;E&amp;"</f>
        <v>#REF!</v>
      </c>
      <c r="W104" t="e">
        <f>'Global IMACD Form'!#REF!+"$Cm=!&amp;E'"</f>
        <v>#REF!</v>
      </c>
      <c r="X104" t="e">
        <f>'Global IMACD Form'!#REF!+"$Cm=!&amp;E("</f>
        <v>#REF!</v>
      </c>
      <c r="Y104" t="e">
        <f>'Global IMACD Form'!#REF!+"$Cm=!&amp;E)"</f>
        <v>#REF!</v>
      </c>
      <c r="Z104" t="e">
        <f>'Global IMACD Form'!#REF!+"$Cm=!&amp;E."</f>
        <v>#REF!</v>
      </c>
      <c r="AA104" t="e">
        <f>'Global IMACD Form'!#REF!+"$Cm=!&amp;E/"</f>
        <v>#REF!</v>
      </c>
      <c r="AB104" t="e">
        <f>'Global IMACD Form'!#REF!+"$Cm=!&amp;E0"</f>
        <v>#REF!</v>
      </c>
      <c r="AC104" t="e">
        <f>'Global IMACD Form'!#REF!+"$Cm=!&amp;E1"</f>
        <v>#REF!</v>
      </c>
      <c r="AD104" t="e">
        <f>'Global IMACD Form'!#REF!+"$Cm=!&amp;E2"</f>
        <v>#REF!</v>
      </c>
      <c r="AE104" t="e">
        <f>'Global IMACD Form'!#REF!+"$Cm=!&amp;E3"</f>
        <v>#REF!</v>
      </c>
      <c r="AF104" t="e">
        <f>'Global IMACD Form'!#REF!+"$Cm=!&amp;E4"</f>
        <v>#REF!</v>
      </c>
      <c r="AG104" t="e">
        <f>'Global IMACD Form'!#REF!+"$Cm=!&amp;E5"</f>
        <v>#REF!</v>
      </c>
      <c r="AH104" t="e">
        <f>'Global IMACD Form'!#REF!+"$Cm=!&amp;E6"</f>
        <v>#REF!</v>
      </c>
      <c r="AI104" t="e">
        <f>'Global IMACD Form'!#REF!+"$Cm=!&amp;E7"</f>
        <v>#REF!</v>
      </c>
      <c r="AJ104" t="e">
        <f>'Global IMACD Form'!#REF!+"$Cm=!&amp;E8"</f>
        <v>#REF!</v>
      </c>
      <c r="AK104" t="e">
        <f>'Global IMACD Form'!#REF!+"$Cm=!&amp;E9"</f>
        <v>#REF!</v>
      </c>
      <c r="AL104" t="e">
        <f>'Global IMACD Form'!#REF!+"$Cm=!&amp;E:"</f>
        <v>#REF!</v>
      </c>
      <c r="AM104" t="e">
        <f>'Global IMACD Form'!#REF!+"$Cm=!&amp;E;"</f>
        <v>#REF!</v>
      </c>
      <c r="AN104" t="e">
        <f>'Global IMACD Form'!#REF!+"$Cm=!&amp;E&lt;"</f>
        <v>#REF!</v>
      </c>
      <c r="AO104" t="e">
        <f>'Global IMACD Form'!#REF!+"$Cm=!&amp;E="</f>
        <v>#REF!</v>
      </c>
      <c r="AP104" t="e">
        <f>'Global IMACD Form'!#REF!+"$Cm=!&amp;E&gt;"</f>
        <v>#REF!</v>
      </c>
      <c r="AQ104" t="e">
        <f>'Global IMACD Form'!#REF!+"$Cm=!&amp;E?"</f>
        <v>#REF!</v>
      </c>
      <c r="AR104" t="e">
        <f>'Global IMACD Form'!#REF!+"$Cm=!&amp;E@"</f>
        <v>#REF!</v>
      </c>
      <c r="AS104" t="e">
        <f>'Global IMACD Form'!#REF!+"$Cm=!&amp;EA"</f>
        <v>#REF!</v>
      </c>
      <c r="AT104" t="e">
        <f>'Global IMACD Form'!#REF!+"$Cm=!&amp;EB"</f>
        <v>#REF!</v>
      </c>
      <c r="AU104" t="e">
        <f>'Global IMACD Form'!#REF!+"$Cm=!&amp;EC"</f>
        <v>#REF!</v>
      </c>
      <c r="AV104" t="e">
        <f>'Global IMACD Form'!#REF!+"$Cm=!&amp;ED"</f>
        <v>#REF!</v>
      </c>
      <c r="AW104" t="e">
        <f>'Global IMACD Form'!#REF!+"$Cm=!&amp;EE"</f>
        <v>#REF!</v>
      </c>
      <c r="AX104" t="e">
        <f>'Global IMACD Form'!#REF!+"$Cm=!&amp;EF"</f>
        <v>#REF!</v>
      </c>
      <c r="AY104" t="e">
        <f>'Global IMACD Form'!#REF!+"$Cm=!&amp;EG"</f>
        <v>#REF!</v>
      </c>
      <c r="AZ104" t="e">
        <f>'Global IMACD Form'!#REF!+"$Cm=!&amp;EH"</f>
        <v>#REF!</v>
      </c>
      <c r="BA104" t="e">
        <f>'Global IMACD Form'!#REF!+"$Cm=!&amp;EI"</f>
        <v>#REF!</v>
      </c>
      <c r="BB104" t="e">
        <f>'Global IMACD Form'!#REF!+"$Cm=!&amp;EJ"</f>
        <v>#REF!</v>
      </c>
      <c r="BC104" t="e">
        <f>'Global IMACD Form'!#REF!+"$Cm=!&amp;EK"</f>
        <v>#REF!</v>
      </c>
      <c r="BD104" t="e">
        <f>'Global IMACD Form'!#REF!+"$Cm=!&amp;EL"</f>
        <v>#REF!</v>
      </c>
      <c r="BE104" t="e">
        <f>'Global IMACD Form'!#REF!+"$Cm=!&amp;EM"</f>
        <v>#REF!</v>
      </c>
      <c r="BF104" t="e">
        <f>'Global IMACD Form'!#REF!+"$Cm=!&amp;EN"</f>
        <v>#REF!</v>
      </c>
      <c r="BG104" t="e">
        <f>'Global IMACD Form'!#REF!+"$Cm=!&amp;EO"</f>
        <v>#REF!</v>
      </c>
      <c r="BH104" t="e">
        <f>'Global IMACD Form'!#REF!+"$Cm=!&amp;EP"</f>
        <v>#REF!</v>
      </c>
      <c r="BI104" t="e">
        <f>'Global IMACD Form'!#REF!+"$Cm=!&amp;EQ"</f>
        <v>#REF!</v>
      </c>
      <c r="BJ104" t="e">
        <f>'Global IMACD Form'!#REF!+"$Cm=!&amp;ER"</f>
        <v>#REF!</v>
      </c>
      <c r="BK104" t="e">
        <f>'Global IMACD Form'!#REF!+"$Cm=!&amp;ES"</f>
        <v>#REF!</v>
      </c>
      <c r="BL104" t="e">
        <f>'Global IMACD Form'!#REF!+"$Cm=!&amp;ET"</f>
        <v>#REF!</v>
      </c>
      <c r="BM104" t="e">
        <f>'Global IMACD Form'!#REF!+"$Cm=!&amp;EU"</f>
        <v>#REF!</v>
      </c>
      <c r="BN104" t="e">
        <f>'Global IMACD Form'!#REF!+"$Cm=!&amp;EV"</f>
        <v>#REF!</v>
      </c>
      <c r="BO104" t="e">
        <f>'Global IMACD Form'!#REF!+"$Cm=!&amp;EW"</f>
        <v>#REF!</v>
      </c>
      <c r="BP104" t="e">
        <f>'Global IMACD Form'!#REF!+"$Cm=!&amp;EX"</f>
        <v>#REF!</v>
      </c>
      <c r="BQ104" t="e">
        <f>'Global IMACD Form'!#REF!+"$Cm=!&amp;EY"</f>
        <v>#REF!</v>
      </c>
      <c r="BR104" t="e">
        <f>'Global IMACD Form'!#REF!+"$Cm=!&amp;EZ"</f>
        <v>#REF!</v>
      </c>
      <c r="BS104" t="e">
        <f>'Global IMACD Form'!#REF!+"$Cm=!&amp;E["</f>
        <v>#REF!</v>
      </c>
      <c r="BT104" t="e">
        <f>'Global IMACD Form'!#REF!+"$Cm=!&amp;E\"</f>
        <v>#REF!</v>
      </c>
      <c r="BU104" t="e">
        <f>'Global IMACD Form'!#REF!+"$Cm=!&amp;E]"</f>
        <v>#REF!</v>
      </c>
      <c r="BV104" t="e">
        <f>'Global IMACD Form'!#REF!+"$Cm=!&amp;E^"</f>
        <v>#REF!</v>
      </c>
      <c r="BW104" t="e">
        <f>'Global IMACD Form'!#REF!+"$Cm=!&amp;E_"</f>
        <v>#REF!</v>
      </c>
      <c r="BX104" t="e">
        <f>'Global IMACD Form'!#REF!+"$Cm=!&amp;E`"</f>
        <v>#REF!</v>
      </c>
      <c r="BY104" t="e">
        <f>'Global IMACD Form'!#REF!+"$Cm=!&amp;Ea"</f>
        <v>#REF!</v>
      </c>
      <c r="BZ104" t="e">
        <f>'Global IMACD Form'!#REF!+"$Cm=!&amp;Eb"</f>
        <v>#REF!</v>
      </c>
      <c r="CA104" t="e">
        <f>'Global IMACD Form'!#REF!+"$Cm=!&amp;Ec"</f>
        <v>#REF!</v>
      </c>
      <c r="CB104" t="e">
        <f>'Global IMACD Form'!#REF!+"$Cm=!&amp;Ed"</f>
        <v>#REF!</v>
      </c>
      <c r="CC104" t="e">
        <f>'Global IMACD Form'!#REF!+"$Cm=!&amp;Ee"</f>
        <v>#REF!</v>
      </c>
      <c r="CD104" t="e">
        <f>'Global IMACD Form'!#REF!+"$Cm=!&amp;Ef"</f>
        <v>#REF!</v>
      </c>
      <c r="CE104" t="e">
        <f>'Global IMACD Form'!#REF!+"$Cm=!&amp;Eg"</f>
        <v>#REF!</v>
      </c>
      <c r="CF104" t="e">
        <f>'Global IMACD Form'!#REF!+"$Cm=!&amp;Eh"</f>
        <v>#REF!</v>
      </c>
      <c r="CG104" t="e">
        <f>'Global IMACD Form'!#REF!+"$Cm=!&amp;Ei"</f>
        <v>#REF!</v>
      </c>
      <c r="CH104" t="e">
        <f>'Global IMACD Form'!#REF!+"$Cm=!&amp;Ej"</f>
        <v>#REF!</v>
      </c>
      <c r="CI104" t="e">
        <f>'Global IMACD Form'!#REF!+"$Cm=!&amp;Ek"</f>
        <v>#REF!</v>
      </c>
      <c r="CJ104" t="e">
        <f>'Global IMACD Form'!#REF!+"$Cm=!&amp;El"</f>
        <v>#REF!</v>
      </c>
      <c r="CK104" t="e">
        <f>'Global IMACD Form'!#REF!+"$Cm=!&amp;Em"</f>
        <v>#REF!</v>
      </c>
      <c r="CL104" t="e">
        <f>'Global IMACD Form'!#REF!+"$Cm=!&amp;En"</f>
        <v>#REF!</v>
      </c>
      <c r="CM104" t="e">
        <f>'Global IMACD Form'!#REF!+"$Cm=!&amp;Eo"</f>
        <v>#REF!</v>
      </c>
      <c r="CN104" t="e">
        <f>'Global IMACD Form'!#REF!+"$Cm=!&amp;Ep"</f>
        <v>#REF!</v>
      </c>
      <c r="CO104" t="e">
        <f>'Global IMACD Form'!#REF!+"$Cm=!&amp;Eq"</f>
        <v>#REF!</v>
      </c>
      <c r="CP104" t="e">
        <f>'Global IMACD Form'!#REF!+"$Cm=!&amp;Er"</f>
        <v>#REF!</v>
      </c>
      <c r="CQ104" t="e">
        <f>'Global IMACD Form'!#REF!+"$Cm=!&amp;Es"</f>
        <v>#REF!</v>
      </c>
      <c r="CR104" t="e">
        <f>'Global IMACD Form'!#REF!+"$Cm=!&amp;Et"</f>
        <v>#REF!</v>
      </c>
      <c r="CS104" t="e">
        <f>'Global IMACD Form'!#REF!+"$Cm=!&amp;Eu"</f>
        <v>#REF!</v>
      </c>
      <c r="CT104" t="e">
        <f>'Global IMACD Form'!#REF!+"$Cm=!&amp;Ev"</f>
        <v>#REF!</v>
      </c>
      <c r="CU104" t="e">
        <f>'Global IMACD Form'!#REF!+"$Cm=!&amp;Ew"</f>
        <v>#REF!</v>
      </c>
      <c r="CV104" t="e">
        <f>'Global IMACD Form'!#REF!+"$Cm=!&amp;Ex"</f>
        <v>#REF!</v>
      </c>
      <c r="CW104" t="e">
        <f>'Global IMACD Form'!#REF!+"$Cm=!&amp;Ey"</f>
        <v>#REF!</v>
      </c>
      <c r="CX104" t="e">
        <f>'Global IMACD Form'!#REF!+"$Cm=!&amp;Ez"</f>
        <v>#REF!</v>
      </c>
      <c r="CY104" t="e">
        <f>'Global IMACD Form'!#REF!+"$Cm=!&amp;E{"</f>
        <v>#REF!</v>
      </c>
      <c r="CZ104" t="e">
        <f>'Global IMACD Form'!#REF!+"$Cm=!&amp;E|"</f>
        <v>#REF!</v>
      </c>
      <c r="DA104" t="e">
        <f>'Global IMACD Form'!#REF!+"$Cm=!&amp;E}"</f>
        <v>#REF!</v>
      </c>
      <c r="DB104" t="e">
        <f>'Global IMACD Form'!#REF!+"$Cm=!&amp;E~"</f>
        <v>#REF!</v>
      </c>
      <c r="DC104" t="e">
        <f>'Global IMACD Form'!#REF!+"$Cm=!&amp;F#"</f>
        <v>#REF!</v>
      </c>
      <c r="DD104" t="e">
        <f>'Global IMACD Form'!#REF!+"$Cm=!&amp;F$"</f>
        <v>#REF!</v>
      </c>
      <c r="DE104" t="e">
        <f>'Global IMACD Form'!#REF!+"$Cm=!&amp;F%"</f>
        <v>#REF!</v>
      </c>
      <c r="DF104" t="e">
        <f>'Global IMACD Form'!#REF!+"$Cm=!&amp;F&amp;"</f>
        <v>#REF!</v>
      </c>
      <c r="DG104" t="e">
        <f>'Global IMACD Form'!#REF!+"$Cm=!&amp;F'"</f>
        <v>#REF!</v>
      </c>
      <c r="DH104" t="e">
        <f>'Global IMACD Form'!#REF!+"$Cm=!&amp;F("</f>
        <v>#REF!</v>
      </c>
      <c r="DI104" t="e">
        <f>'Global IMACD Form'!#REF!+"$Cm=!&amp;F)"</f>
        <v>#REF!</v>
      </c>
      <c r="DJ104" t="e">
        <f>'Global IMACD Form'!#REF!+"$Cm=!&amp;F."</f>
        <v>#REF!</v>
      </c>
      <c r="DK104" t="e">
        <f>'Global IMACD Form'!#REF!+"$Cm=!&amp;F/"</f>
        <v>#REF!</v>
      </c>
      <c r="DL104" t="e">
        <f>'Global IMACD Form'!#REF!+"$Cm=!&amp;F0"</f>
        <v>#REF!</v>
      </c>
      <c r="DM104" t="e">
        <f>'Global IMACD Form'!#REF!+"$Cm=!&amp;F1"</f>
        <v>#REF!</v>
      </c>
      <c r="DN104" t="e">
        <f>'Global IMACD Form'!#REF!+"$Cm=!&amp;F2"</f>
        <v>#REF!</v>
      </c>
      <c r="DO104" t="e">
        <f>'Global IMACD Form'!#REF!+"$Cm=!&amp;F3"</f>
        <v>#REF!</v>
      </c>
      <c r="DP104" t="e">
        <f>'Global IMACD Form'!#REF!+"$Cm=!&amp;F4"</f>
        <v>#REF!</v>
      </c>
      <c r="DQ104" t="e">
        <f>'Global IMACD Form'!#REF!+"$Cm=!&amp;F5"</f>
        <v>#REF!</v>
      </c>
      <c r="DR104" t="e">
        <f>'Global IMACD Form'!#REF!+"$Cm=!&amp;F6"</f>
        <v>#REF!</v>
      </c>
      <c r="DS104" t="e">
        <f>'Global IMACD Form'!#REF!+"$Cm=!&amp;F7"</f>
        <v>#REF!</v>
      </c>
      <c r="DT104" t="e">
        <f>'Global IMACD Form'!#REF!+"$Cm=!&amp;F8"</f>
        <v>#REF!</v>
      </c>
      <c r="DU104" t="e">
        <f>'Global IMACD Form'!#REF!+"$Cm=!&amp;F9"</f>
        <v>#REF!</v>
      </c>
      <c r="DV104" t="e">
        <f>'Global IMACD Form'!#REF!+"$Cm=!&amp;F:"</f>
        <v>#REF!</v>
      </c>
      <c r="DW104" t="e">
        <f>'Global IMACD Form'!#REF!+"$Cm=!&amp;F;"</f>
        <v>#REF!</v>
      </c>
      <c r="DX104" t="e">
        <f>'Global IMACD Form'!#REF!+"$Cm=!&amp;F&lt;"</f>
        <v>#REF!</v>
      </c>
      <c r="DY104" t="e">
        <f>'Global IMACD Form'!#REF!+"$Cm=!&amp;F="</f>
        <v>#REF!</v>
      </c>
      <c r="DZ104" t="e">
        <f>'Global IMACD Form'!#REF!+"$Cm=!&amp;F&gt;"</f>
        <v>#REF!</v>
      </c>
      <c r="EA104" t="e">
        <f>'Global IMACD Form'!#REF!+"$Cm=!&amp;F?"</f>
        <v>#REF!</v>
      </c>
      <c r="EB104" t="e">
        <f>'Global IMACD Form'!#REF!+"$Cm=!&amp;F@"</f>
        <v>#REF!</v>
      </c>
      <c r="EC104" t="e">
        <f>'Global IMACD Form'!#REF!+"$Cm=!&amp;FA"</f>
        <v>#REF!</v>
      </c>
      <c r="ED104" t="e">
        <f>'Global IMACD Form'!#REF!+"$Cm=!&amp;FB"</f>
        <v>#REF!</v>
      </c>
      <c r="EE104" t="e">
        <f>'Global IMACD Form'!#REF!+"$Cm=!&amp;FC"</f>
        <v>#REF!</v>
      </c>
      <c r="EF104" t="e">
        <f>'Global IMACD Form'!#REF!+"$Cm=!&amp;FD"</f>
        <v>#REF!</v>
      </c>
      <c r="EG104" t="e">
        <f>'Global IMACD Form'!#REF!+"$Cm=!&amp;FE"</f>
        <v>#REF!</v>
      </c>
      <c r="EH104" t="e">
        <f>'Global IMACD Form'!#REF!+"$Cm=!&amp;FF"</f>
        <v>#REF!</v>
      </c>
      <c r="EI104" t="e">
        <f>'Global IMACD Form'!#REF!+"$Cm=!&amp;FG"</f>
        <v>#REF!</v>
      </c>
      <c r="EJ104" t="e">
        <f>'Global IMACD Form'!#REF!+"$Cm=!&amp;FH"</f>
        <v>#REF!</v>
      </c>
      <c r="EK104" t="e">
        <f>'Global IMACD Form'!#REF!+"$Cm=!&amp;FI"</f>
        <v>#REF!</v>
      </c>
      <c r="EL104" t="e">
        <f>'Global IMACD Form'!#REF!+"$Cm=!&amp;FJ"</f>
        <v>#REF!</v>
      </c>
      <c r="EM104" t="e">
        <f>'Global IMACD Form'!#REF!+"$Cm=!&amp;FK"</f>
        <v>#REF!</v>
      </c>
      <c r="EN104" t="e">
        <f>'Global IMACD Form'!#REF!+"$Cm=!&amp;FL"</f>
        <v>#REF!</v>
      </c>
      <c r="EO104" t="e">
        <f>'Global IMACD Form'!#REF!+"$Cm=!&amp;FM"</f>
        <v>#REF!</v>
      </c>
      <c r="EP104" t="e">
        <f>'Global IMACD Form'!#REF!+"$Cm=!&amp;FN"</f>
        <v>#REF!</v>
      </c>
      <c r="EQ104" t="e">
        <f>'Global IMACD Form'!#REF!+"$Cm=!&amp;FO"</f>
        <v>#REF!</v>
      </c>
      <c r="ER104" t="e">
        <f>'Global IMACD Form'!#REF!+"$Cm=!&amp;FP"</f>
        <v>#REF!</v>
      </c>
      <c r="ES104" t="e">
        <f>'Global IMACD Form'!#REF!+"$Cm=!&amp;FQ"</f>
        <v>#REF!</v>
      </c>
      <c r="ET104" t="e">
        <f>'Global IMACD Form'!#REF!+"$Cm=!&amp;FR"</f>
        <v>#REF!</v>
      </c>
      <c r="EU104" t="e">
        <f>'Global IMACD Form'!#REF!+"$Cm=!&amp;FS"</f>
        <v>#REF!</v>
      </c>
      <c r="EV104" t="e">
        <f>'Global IMACD Form'!#REF!+"$Cm=!&amp;FT"</f>
        <v>#REF!</v>
      </c>
      <c r="EW104" t="e">
        <f>'Global IMACD Form'!#REF!+"$Cm=!&amp;FU"</f>
        <v>#REF!</v>
      </c>
      <c r="EX104" t="e">
        <f>'Global IMACD Form'!#REF!+"$Cm=!&amp;FV"</f>
        <v>#REF!</v>
      </c>
      <c r="EY104" t="e">
        <f>'Global IMACD Form'!#REF!+"$Cm=!&amp;FW"</f>
        <v>#REF!</v>
      </c>
      <c r="EZ104" t="e">
        <f>'Global IMACD Form'!#REF!+"$Cm=!&amp;FX"</f>
        <v>#REF!</v>
      </c>
      <c r="FA104" t="e">
        <f>'Global IMACD Form'!#REF!+"$Cm=!&amp;FY"</f>
        <v>#REF!</v>
      </c>
      <c r="FB104" t="e">
        <f>'Global IMACD Form'!#REF!+"$Cm=!&amp;FZ"</f>
        <v>#REF!</v>
      </c>
      <c r="FC104" t="e">
        <f>'Global IMACD Form'!#REF!+"$Cm=!&amp;F["</f>
        <v>#REF!</v>
      </c>
      <c r="FD104" t="e">
        <f>'Global IMACD Form'!#REF!+"$Cm=!&amp;F\"</f>
        <v>#REF!</v>
      </c>
      <c r="FE104" t="e">
        <f>'Global IMACD Form'!#REF!+"$Cm=!&amp;F]"</f>
        <v>#REF!</v>
      </c>
      <c r="FF104" t="e">
        <f>'Global IMACD Form'!#REF!+"$Cm=!&amp;F^"</f>
        <v>#REF!</v>
      </c>
      <c r="FG104" t="e">
        <f>'Global IMACD Form'!#REF!+"$Cm=!&amp;F_"</f>
        <v>#REF!</v>
      </c>
      <c r="FH104" t="e">
        <f>'Global IMACD Form'!#REF!+"$Cm=!&amp;F`"</f>
        <v>#REF!</v>
      </c>
      <c r="FI104" t="e">
        <f>'Global IMACD Form'!#REF!+"$Cm=!&amp;Fa"</f>
        <v>#REF!</v>
      </c>
      <c r="FJ104" t="e">
        <f>'Global IMACD Form'!#REF!+"$Cm=!&amp;Fb"</f>
        <v>#REF!</v>
      </c>
      <c r="FK104" t="e">
        <f>'Global IMACD Form'!#REF!+"$Cm=!&amp;Fc"</f>
        <v>#REF!</v>
      </c>
      <c r="FL104" t="e">
        <f>'Global IMACD Form'!#REF!+"$Cm=!&amp;Fd"</f>
        <v>#REF!</v>
      </c>
      <c r="FM104" t="e">
        <f>'Global IMACD Form'!#REF!+"$Cm=!&amp;Fe"</f>
        <v>#REF!</v>
      </c>
      <c r="FN104" t="e">
        <f>'Global IMACD Form'!#REF!+"$Cm=!&amp;Ff"</f>
        <v>#REF!</v>
      </c>
      <c r="FO104" t="e">
        <f>'Global IMACD Form'!#REF!+"$Cm=!&amp;Fg"</f>
        <v>#REF!</v>
      </c>
      <c r="FP104" t="e">
        <f>'Global IMACD Form'!#REF!+"$Cm=!&amp;Fh"</f>
        <v>#REF!</v>
      </c>
      <c r="FQ104" t="e">
        <f>'Global IMACD Form'!#REF!+"$Cm=!&amp;Fi"</f>
        <v>#REF!</v>
      </c>
      <c r="FR104" t="e">
        <f>'Global IMACD Form'!#REF!+"$Cm=!&amp;Fj"</f>
        <v>#REF!</v>
      </c>
      <c r="FS104" t="e">
        <f>'Global IMACD Form'!#REF!+"$Cm=!&amp;Fk"</f>
        <v>#REF!</v>
      </c>
      <c r="FT104" t="e">
        <f>'Global IMACD Form'!#REF!+"$Cm=!&amp;Fl"</f>
        <v>#REF!</v>
      </c>
      <c r="FU104" t="e">
        <f>'Global IMACD Form'!#REF!+"$Cm=!&amp;Fm"</f>
        <v>#REF!</v>
      </c>
      <c r="FV104" t="e">
        <f>'Global IMACD Form'!#REF!+"$Cm=!&amp;Fn"</f>
        <v>#REF!</v>
      </c>
      <c r="FW104" t="e">
        <f>'Global IMACD Form'!#REF!+"$Cm=!&amp;Fo"</f>
        <v>#REF!</v>
      </c>
      <c r="FX104" t="e">
        <f>'Global IMACD Form'!#REF!+"$Cm=!&amp;Fp"</f>
        <v>#REF!</v>
      </c>
      <c r="FY104" t="e">
        <f>'Global IMACD Form'!#REF!+"$Cm=!&amp;Fq"</f>
        <v>#REF!</v>
      </c>
      <c r="FZ104" t="e">
        <f>'Global IMACD Form'!#REF!+"$Cm=!&amp;Fr"</f>
        <v>#REF!</v>
      </c>
      <c r="GA104" t="e">
        <f>'Global IMACD Form'!#REF!+"$Cm=!&amp;Fs"</f>
        <v>#REF!</v>
      </c>
      <c r="GB104" t="e">
        <f>'Global IMACD Form'!#REF!+"$Cm=!&amp;Ft"</f>
        <v>#REF!</v>
      </c>
      <c r="GC104" t="e">
        <f>'Global IMACD Form'!#REF!+"$Cm=!&amp;Fu"</f>
        <v>#REF!</v>
      </c>
      <c r="GD104" t="e">
        <f>'Global IMACD Form'!#REF!+"$Cm=!&amp;Fv"</f>
        <v>#REF!</v>
      </c>
      <c r="GE104" t="e">
        <f>'Global IMACD Form'!#REF!+"$Cm=!&amp;Fw"</f>
        <v>#REF!</v>
      </c>
      <c r="GF104" t="e">
        <f>'Global IMACD Form'!#REF!+"$Cm=!&amp;Fx"</f>
        <v>#REF!</v>
      </c>
      <c r="GG104" t="e">
        <f>'Global IMACD Form'!#REF!+"$Cm=!&amp;Fy"</f>
        <v>#REF!</v>
      </c>
      <c r="GH104" t="e">
        <f>'Global IMACD Form'!#REF!+"$Cm=!&amp;Fz"</f>
        <v>#REF!</v>
      </c>
      <c r="GI104" t="e">
        <f>'Global IMACD Form'!#REF!+"$Cm=!&amp;F{"</f>
        <v>#REF!</v>
      </c>
      <c r="GJ104" t="e">
        <f>'Global IMACD Form'!#REF!+"$Cm=!&amp;F|"</f>
        <v>#REF!</v>
      </c>
      <c r="GK104" t="e">
        <f>'Global IMACD Form'!#REF!+"$Cm=!&amp;F}"</f>
        <v>#REF!</v>
      </c>
      <c r="GL104" t="e">
        <f>'Global IMACD Form'!#REF!+"$Cm=!&amp;F~"</f>
        <v>#REF!</v>
      </c>
      <c r="GM104" t="e">
        <f>'Global IMACD Form'!#REF!+"$Cm=!&amp;G#"</f>
        <v>#REF!</v>
      </c>
      <c r="GN104" t="e">
        <f>'Global IMACD Form'!#REF!+"$Cm=!&amp;G$"</f>
        <v>#REF!</v>
      </c>
      <c r="GO104" t="e">
        <f>'Global IMACD Form'!#REF!+"$Cm=!&amp;G%"</f>
        <v>#REF!</v>
      </c>
      <c r="GP104" t="e">
        <f>'Global IMACD Form'!#REF!+"$Cm=!&amp;G&amp;"</f>
        <v>#REF!</v>
      </c>
      <c r="GQ104" t="e">
        <f>'Global IMACD Form'!#REF!+"$Cm=!&amp;G'"</f>
        <v>#REF!</v>
      </c>
      <c r="GR104" t="e">
        <f>'Global IMACD Form'!#REF!+"$Cm=!&amp;G("</f>
        <v>#REF!</v>
      </c>
      <c r="GS104" t="e">
        <f>'Global IMACD Form'!#REF!+"$Cm=!&amp;G)"</f>
        <v>#REF!</v>
      </c>
      <c r="GT104" t="e">
        <f>'Global IMACD Form'!#REF!+"$Cm=!&amp;G."</f>
        <v>#REF!</v>
      </c>
      <c r="GU104" t="e">
        <f>'Global IMACD Form'!#REF!+"$Cm=!&amp;G/"</f>
        <v>#REF!</v>
      </c>
      <c r="GV104" t="e">
        <f>'Global IMACD Form'!#REF!+"$Cm=!&amp;G0"</f>
        <v>#REF!</v>
      </c>
      <c r="GW104" t="e">
        <f>'Global IMACD Form'!#REF!+"$Cm=!&amp;G1"</f>
        <v>#REF!</v>
      </c>
      <c r="GX104" t="e">
        <f>'Global IMACD Form'!#REF!+"$Cm=!&amp;G2"</f>
        <v>#REF!</v>
      </c>
      <c r="GY104" t="e">
        <f>'Global IMACD Form'!#REF!+"$Cm=!&amp;G3"</f>
        <v>#REF!</v>
      </c>
      <c r="GZ104" t="e">
        <f>'Global IMACD Form'!#REF!+"$Cm=!&amp;G4"</f>
        <v>#REF!</v>
      </c>
      <c r="HA104" t="e">
        <f>'Global IMACD Form'!#REF!+"$Cm=!&amp;G5"</f>
        <v>#REF!</v>
      </c>
      <c r="HB104" t="e">
        <f>'Global IMACD Form'!#REF!+"$Cm=!&amp;G6"</f>
        <v>#REF!</v>
      </c>
      <c r="HC104" t="e">
        <f>'Global IMACD Form'!#REF!+"$Cm=!&amp;G7"</f>
        <v>#REF!</v>
      </c>
      <c r="HD104" t="e">
        <f>'Global IMACD Form'!#REF!+"$Cm=!&amp;G8"</f>
        <v>#REF!</v>
      </c>
      <c r="HE104" t="e">
        <f>'Global IMACD Form'!#REF!+"$Cm=!&amp;G9"</f>
        <v>#REF!</v>
      </c>
      <c r="HF104" t="e">
        <f>'Global IMACD Form'!#REF!+"$Cm=!&amp;G:"</f>
        <v>#REF!</v>
      </c>
      <c r="HG104" t="e">
        <f>'Global IMACD Form'!#REF!+"$Cm=!&amp;G;"</f>
        <v>#REF!</v>
      </c>
      <c r="HH104" t="e">
        <f>'Global IMACD Form'!#REF!+"$Cm=!&amp;G&lt;"</f>
        <v>#REF!</v>
      </c>
      <c r="HI104" t="e">
        <f>'Global IMACD Form'!#REF!+"$Cm=!&amp;G="</f>
        <v>#REF!</v>
      </c>
      <c r="HJ104" t="e">
        <f>'Global IMACD Form'!#REF!+"$Cm=!&amp;G&gt;"</f>
        <v>#REF!</v>
      </c>
      <c r="HK104" t="e">
        <f>'Global IMACD Form'!#REF!+"$Cm=!&amp;G?"</f>
        <v>#REF!</v>
      </c>
      <c r="HL104" t="e">
        <f>'Global IMACD Form'!#REF!+"$Cm=!&amp;G@"</f>
        <v>#REF!</v>
      </c>
      <c r="HM104" t="e">
        <f>'Global IMACD Form'!#REF!+"$Cm=!&amp;GA"</f>
        <v>#REF!</v>
      </c>
      <c r="HN104" t="e">
        <f>'Global IMACD Form'!#REF!+"$Cm=!&amp;GB"</f>
        <v>#REF!</v>
      </c>
      <c r="HO104" t="e">
        <f>'Global IMACD Form'!#REF!+"$Cm=!&amp;GC"</f>
        <v>#REF!</v>
      </c>
      <c r="HP104" t="e">
        <f>'Global IMACD Form'!#REF!+"$Cm=!&amp;GD"</f>
        <v>#REF!</v>
      </c>
      <c r="HQ104" t="e">
        <f>'Global IMACD Form'!#REF!+"$Cm=!&amp;GE"</f>
        <v>#REF!</v>
      </c>
      <c r="HR104" t="e">
        <f>'Global IMACD Form'!#REF!+"$Cm=!&amp;GF"</f>
        <v>#REF!</v>
      </c>
      <c r="HS104" t="e">
        <f>'Global IMACD Form'!#REF!+"$Cm=!&amp;GG"</f>
        <v>#REF!</v>
      </c>
      <c r="HT104" t="e">
        <f>'Global IMACD Form'!#REF!+"$Cm=!&amp;GH"</f>
        <v>#REF!</v>
      </c>
      <c r="HU104" t="e">
        <f>'Global IMACD Form'!#REF!+"$Cm=!&amp;GI"</f>
        <v>#REF!</v>
      </c>
      <c r="HV104" t="e">
        <f>'Global IMACD Form'!#REF!+"$Cm=!&amp;GJ"</f>
        <v>#REF!</v>
      </c>
      <c r="HW104" t="e">
        <f>'Global IMACD Form'!#REF!+"$Cm=!&amp;GK"</f>
        <v>#REF!</v>
      </c>
      <c r="HX104" t="e">
        <f>'Global IMACD Form'!#REF!+"$Cm=!&amp;GL"</f>
        <v>#REF!</v>
      </c>
      <c r="HY104" t="e">
        <f>'Global IMACD Form'!#REF!+"$Cm=!&amp;GM"</f>
        <v>#REF!</v>
      </c>
      <c r="HZ104" t="e">
        <f>'Global IMACD Form'!#REF!+"$Cm=!&amp;GN"</f>
        <v>#REF!</v>
      </c>
      <c r="IA104" t="e">
        <f>'Global IMACD Form'!#REF!+"$Cm=!&amp;GO"</f>
        <v>#REF!</v>
      </c>
      <c r="IB104" t="e">
        <f>'Global IMACD Form'!#REF!+"$Cm=!&amp;GP"</f>
        <v>#REF!</v>
      </c>
      <c r="IC104" t="e">
        <f>'Global IMACD Form'!#REF!+"$Cm=!&amp;GQ"</f>
        <v>#REF!</v>
      </c>
      <c r="ID104" t="e">
        <f>'Global IMACD Form'!#REF!+"$Cm=!&amp;GR"</f>
        <v>#REF!</v>
      </c>
      <c r="IE104" t="e">
        <f>'Global IMACD Form'!#REF!+"$Cm=!&amp;GS"</f>
        <v>#REF!</v>
      </c>
      <c r="IF104" t="e">
        <f>'Global IMACD Form'!#REF!+"$Cm=!&amp;GT"</f>
        <v>#REF!</v>
      </c>
      <c r="IG104" t="e">
        <f>'Global IMACD Form'!#REF!+"$Cm=!&amp;GU"</f>
        <v>#REF!</v>
      </c>
      <c r="IH104" t="e">
        <f>'Global IMACD Form'!#REF!+"$Cm=!&amp;GV"</f>
        <v>#REF!</v>
      </c>
      <c r="II104" t="e">
        <f>'Global IMACD Form'!#REF!+"$Cm=!&amp;GW"</f>
        <v>#REF!</v>
      </c>
      <c r="IJ104" t="e">
        <f>'Global IMACD Form'!#REF!+"$Cm=!&amp;GX"</f>
        <v>#REF!</v>
      </c>
      <c r="IK104" t="e">
        <f>'Global IMACD Form'!#REF!+"$Cm=!&amp;GY"</f>
        <v>#REF!</v>
      </c>
      <c r="IL104" t="e">
        <f>'Global IMACD Form'!#REF!+"$Cm=!&amp;GZ"</f>
        <v>#REF!</v>
      </c>
      <c r="IM104" t="e">
        <f>'Global IMACD Form'!#REF!+"$Cm=!&amp;G["</f>
        <v>#REF!</v>
      </c>
      <c r="IN104" t="e">
        <f>'Global IMACD Form'!#REF!+"$Cm=!&amp;G\"</f>
        <v>#REF!</v>
      </c>
      <c r="IO104" t="e">
        <f>'Global IMACD Form'!#REF!+"$Cm=!&amp;G]"</f>
        <v>#REF!</v>
      </c>
      <c r="IP104" t="e">
        <f>'Global IMACD Form'!#REF!+"$Cm=!&amp;G^"</f>
        <v>#REF!</v>
      </c>
      <c r="IQ104" t="e">
        <f>'Global IMACD Form'!#REF!+"$Cm=!&amp;G_"</f>
        <v>#REF!</v>
      </c>
      <c r="IR104" t="e">
        <f>'Global IMACD Form'!#REF!+"$Cm=!&amp;G`"</f>
        <v>#REF!</v>
      </c>
      <c r="IS104" t="e">
        <f>'Global IMACD Form'!#REF!+"$Cm=!&amp;Ga"</f>
        <v>#REF!</v>
      </c>
      <c r="IT104" t="e">
        <f>'Global IMACD Form'!#REF!+"$Cm=!&amp;Gb"</f>
        <v>#REF!</v>
      </c>
      <c r="IU104" t="e">
        <f>'Global IMACD Form'!#REF!+"$Cm=!&amp;Gc"</f>
        <v>#REF!</v>
      </c>
      <c r="IV104" t="e">
        <f>'Global IMACD Form'!#REF!+"$Cm=!&amp;Gd"</f>
        <v>#REF!</v>
      </c>
    </row>
    <row r="105" spans="6:256">
      <c r="F105" t="e">
        <f>'Global IMACD Form'!#REF!+"$Cm=!&amp;Ge"</f>
        <v>#REF!</v>
      </c>
      <c r="G105" t="e">
        <f>'Global IMACD Form'!#REF!+"$Cm=!&amp;Gf"</f>
        <v>#REF!</v>
      </c>
      <c r="H105" t="e">
        <f>'Global IMACD Form'!#REF!+"$Cm=!&amp;Gg"</f>
        <v>#REF!</v>
      </c>
      <c r="I105" t="e">
        <f>'Global IMACD Form'!#REF!+"$Cm=!&amp;Gh"</f>
        <v>#REF!</v>
      </c>
      <c r="J105" t="e">
        <f>'Global IMACD Form'!#REF!+"$Cm=!&amp;Gi"</f>
        <v>#REF!</v>
      </c>
      <c r="K105" t="e">
        <f>'Global IMACD Form'!#REF!+"$Cm=!&amp;Gj"</f>
        <v>#REF!</v>
      </c>
      <c r="L105" t="e">
        <f>'Global IMACD Form'!#REF!+"$Cm=!&amp;Gk"</f>
        <v>#REF!</v>
      </c>
      <c r="M105" t="e">
        <f>'Global IMACD Form'!#REF!+"$Cm=!&amp;Gl"</f>
        <v>#REF!</v>
      </c>
      <c r="N105" t="e">
        <f>'Global IMACD Form'!#REF!+"$Cm=!&amp;Gm"</f>
        <v>#REF!</v>
      </c>
      <c r="O105" t="e">
        <f>'Global IMACD Form'!#REF!+"$Cm=!&amp;Gn"</f>
        <v>#REF!</v>
      </c>
      <c r="P105" t="e">
        <f>'Global IMACD Form'!#REF!+"$Cm=!&amp;Go"</f>
        <v>#REF!</v>
      </c>
      <c r="Q105" t="e">
        <f>'Global IMACD Form'!#REF!+"$Cm=!&amp;Gp"</f>
        <v>#REF!</v>
      </c>
      <c r="R105" t="e">
        <f>'Global IMACD Form'!#REF!+"$Cm=!&amp;Gq"</f>
        <v>#REF!</v>
      </c>
      <c r="S105" t="e">
        <f>'Global IMACD Form'!#REF!+"$Cm=!&amp;Gr"</f>
        <v>#REF!</v>
      </c>
      <c r="T105" t="e">
        <f>'Global IMACD Form'!#REF!+"$Cm=!&amp;Gs"</f>
        <v>#REF!</v>
      </c>
      <c r="U105" t="e">
        <f>'Global IMACD Form'!#REF!+"$Cm=!&amp;Gt"</f>
        <v>#REF!</v>
      </c>
      <c r="V105" t="e">
        <f>'Global IMACD Form'!#REF!+"$Cm=!&amp;Gu"</f>
        <v>#REF!</v>
      </c>
      <c r="W105" t="e">
        <f>'Global IMACD Form'!#REF!+"$Cm=!&amp;Gv"</f>
        <v>#REF!</v>
      </c>
      <c r="X105" t="e">
        <f>'Global IMACD Form'!#REF!+"$Cm=!&amp;Gw"</f>
        <v>#REF!</v>
      </c>
      <c r="Y105" t="e">
        <f>'Global IMACD Form'!#REF!+"$Cm=!&amp;Gx"</f>
        <v>#REF!</v>
      </c>
      <c r="Z105" t="e">
        <f>'Global IMACD Form'!#REF!+"$Cm=!&amp;Gy"</f>
        <v>#REF!</v>
      </c>
      <c r="AA105" t="e">
        <f>'Global IMACD Form'!#REF!+"$Cm=!&amp;Gz"</f>
        <v>#REF!</v>
      </c>
      <c r="AB105" t="e">
        <f>'Global IMACD Form'!#REF!+"$Cm=!&amp;G{"</f>
        <v>#REF!</v>
      </c>
      <c r="AC105" t="e">
        <f>'Global IMACD Form'!#REF!+"$Cm=!&amp;G|"</f>
        <v>#REF!</v>
      </c>
      <c r="AD105" t="e">
        <f>'Global IMACD Form'!#REF!+"$Cm=!&amp;G}"</f>
        <v>#REF!</v>
      </c>
      <c r="AE105" t="e">
        <f>'Global IMACD Form'!#REF!+"$Cm=!&amp;G~"</f>
        <v>#REF!</v>
      </c>
      <c r="AF105" t="e">
        <f>'Global IMACD Form'!#REF!+"$Cm=!&amp;H#"</f>
        <v>#REF!</v>
      </c>
      <c r="AG105" t="e">
        <f>'Global IMACD Form'!#REF!+"$Cm=!&amp;H$"</f>
        <v>#REF!</v>
      </c>
      <c r="AH105" t="e">
        <f>'Global IMACD Form'!#REF!+"$Cm=!&amp;H%"</f>
        <v>#REF!</v>
      </c>
      <c r="AI105" t="e">
        <f>'Global IMACD Form'!#REF!+"$Cm=!&amp;H&amp;"</f>
        <v>#REF!</v>
      </c>
      <c r="AJ105" t="e">
        <f>'Global IMACD Form'!#REF!+"$Cm=!&amp;H'"</f>
        <v>#REF!</v>
      </c>
      <c r="AK105" t="e">
        <f>'Global IMACD Form'!#REF!+"$Cm=!&amp;H("</f>
        <v>#REF!</v>
      </c>
      <c r="AL105" t="e">
        <f>'Global IMACD Form'!#REF!+"$Cm=!&amp;H)"</f>
        <v>#REF!</v>
      </c>
      <c r="AM105" t="e">
        <f>'Global IMACD Form'!#REF!+"$Cm=!&amp;H."</f>
        <v>#REF!</v>
      </c>
      <c r="AN105" t="e">
        <f>'Global IMACD Form'!#REF!+"$Cm=!&amp;H/"</f>
        <v>#REF!</v>
      </c>
      <c r="AO105" t="e">
        <f>'Global IMACD Form'!#REF!+"$Cm=!&amp;H0"</f>
        <v>#REF!</v>
      </c>
      <c r="AP105" t="e">
        <f>'Global IMACD Form'!#REF!+"$Cm=!&amp;H1"</f>
        <v>#REF!</v>
      </c>
      <c r="AQ105" t="e">
        <f>'Global IMACD Form'!#REF!+"$Cm=!&amp;H2"</f>
        <v>#REF!</v>
      </c>
      <c r="AR105" t="e">
        <f>'Global IMACD Form'!#REF!+"$Cm=!&amp;H3"</f>
        <v>#REF!</v>
      </c>
      <c r="AS105" t="e">
        <f>'Global IMACD Form'!#REF!+"$Cm=!&amp;H4"</f>
        <v>#REF!</v>
      </c>
      <c r="AT105" t="e">
        <f>'Global IMACD Form'!#REF!+"$Cm=!&amp;H5"</f>
        <v>#REF!</v>
      </c>
      <c r="AU105" t="e">
        <f>'Global IMACD Form'!#REF!+"$Cm=!&amp;H6"</f>
        <v>#REF!</v>
      </c>
      <c r="AV105" t="e">
        <f>'Global IMACD Form'!#REF!+"$Cm=!&amp;H7"</f>
        <v>#REF!</v>
      </c>
      <c r="AW105" t="e">
        <f>'Global IMACD Form'!#REF!+"$Cm=!&amp;H8"</f>
        <v>#REF!</v>
      </c>
      <c r="AX105" t="e">
        <f>'Global IMACD Form'!#REF!+"$Cm=!&amp;H9"</f>
        <v>#REF!</v>
      </c>
      <c r="AY105" t="e">
        <f>'Global IMACD Form'!#REF!+"$Cm=!&amp;H:"</f>
        <v>#REF!</v>
      </c>
      <c r="AZ105" t="e">
        <f>'Global IMACD Form'!#REF!+"$Cm=!&amp;H;"</f>
        <v>#REF!</v>
      </c>
      <c r="BA105" t="e">
        <f>'Global IMACD Form'!#REF!+"$Cm=!&amp;H&lt;"</f>
        <v>#REF!</v>
      </c>
      <c r="BB105" t="e">
        <f>'Global IMACD Form'!#REF!+"$Cm=!&amp;H="</f>
        <v>#REF!</v>
      </c>
      <c r="BC105" t="e">
        <f>'Global IMACD Form'!#REF!+"$Cm=!&amp;H&gt;"</f>
        <v>#REF!</v>
      </c>
      <c r="BD105" t="e">
        <f>'Global IMACD Form'!#REF!+"$Cm=!&amp;H?"</f>
        <v>#REF!</v>
      </c>
      <c r="BE105" t="e">
        <f>'Global IMACD Form'!#REF!+"$Cm=!&amp;H@"</f>
        <v>#REF!</v>
      </c>
      <c r="BF105" t="e">
        <f>'Global IMACD Form'!#REF!+"$Cm=!&amp;HA"</f>
        <v>#REF!</v>
      </c>
      <c r="BG105" t="e">
        <f>'Global IMACD Form'!#REF!+"$Cm=!&amp;HB"</f>
        <v>#REF!</v>
      </c>
      <c r="BH105" t="e">
        <f>'Global IMACD Form'!#REF!+"$Cm=!&amp;HC"</f>
        <v>#REF!</v>
      </c>
      <c r="BI105" t="e">
        <f>'Global IMACD Form'!#REF!+"$Cm=!&amp;HD"</f>
        <v>#REF!</v>
      </c>
      <c r="BJ105" t="e">
        <f>'Global IMACD Form'!#REF!+"$Cm=!&amp;HE"</f>
        <v>#REF!</v>
      </c>
      <c r="BK105" t="e">
        <f>'Global IMACD Form'!#REF!+"$Cm=!&amp;HF"</f>
        <v>#REF!</v>
      </c>
      <c r="BL105" t="e">
        <f>'Global IMACD Form'!#REF!+"$Cm=!&amp;HG"</f>
        <v>#REF!</v>
      </c>
      <c r="BM105" t="e">
        <f>'Global IMACD Form'!#REF!+"$Cm=!&amp;HH"</f>
        <v>#REF!</v>
      </c>
      <c r="BN105" t="e">
        <f>'Global IMACD Form'!#REF!+"$Cm=!&amp;HI"</f>
        <v>#REF!</v>
      </c>
      <c r="BO105" t="e">
        <f>'Global IMACD Form'!#REF!+"$Cm=!&amp;HJ"</f>
        <v>#REF!</v>
      </c>
      <c r="BP105" t="e">
        <f>'Global IMACD Form'!#REF!+"$Cm=!&amp;HK"</f>
        <v>#REF!</v>
      </c>
      <c r="BQ105" t="e">
        <f>'Global IMACD Form'!#REF!+"$Cm=!&amp;HL"</f>
        <v>#REF!</v>
      </c>
      <c r="BR105" t="e">
        <f>'Global IMACD Form'!#REF!+"$Cm=!&amp;HM"</f>
        <v>#REF!</v>
      </c>
      <c r="BS105" t="e">
        <f>'Global IMACD Form'!#REF!+"$Cm=!&amp;HN"</f>
        <v>#REF!</v>
      </c>
      <c r="BT105" t="e">
        <f>'Global IMACD Form'!#REF!+"$Cm=!&amp;HO"</f>
        <v>#REF!</v>
      </c>
      <c r="BU105" t="e">
        <f>'Global IMACD Form'!#REF!+"$Cm=!&amp;HP"</f>
        <v>#REF!</v>
      </c>
      <c r="BV105" t="e">
        <f>'Global IMACD Form'!#REF!+"$Cm=!&amp;HQ"</f>
        <v>#REF!</v>
      </c>
      <c r="BW105" t="e">
        <f>'Global IMACD Form'!#REF!+"$Cm=!&amp;HR"</f>
        <v>#REF!</v>
      </c>
      <c r="BX105" t="e">
        <f>'Global IMACD Form'!#REF!+"$Cm=!&amp;HS"</f>
        <v>#REF!</v>
      </c>
      <c r="BY105" t="e">
        <f>'Global IMACD Form'!#REF!+"$Cm=!&amp;HT"</f>
        <v>#REF!</v>
      </c>
      <c r="BZ105" t="e">
        <f>'Global IMACD Form'!#REF!+"$Cm=!&amp;HU"</f>
        <v>#REF!</v>
      </c>
      <c r="CA105" t="e">
        <f>'Global IMACD Form'!#REF!+"$Cm=!&amp;HV"</f>
        <v>#REF!</v>
      </c>
      <c r="CB105" t="e">
        <f>'Global IMACD Form'!#REF!+"$Cm=!&amp;HW"</f>
        <v>#REF!</v>
      </c>
      <c r="CC105" t="e">
        <f>'Global IMACD Form'!#REF!+"$Cm=!&amp;HX"</f>
        <v>#REF!</v>
      </c>
      <c r="CD105" t="e">
        <f>'Global IMACD Form'!#REF!+"$Cm=!&amp;HY"</f>
        <v>#REF!</v>
      </c>
      <c r="CE105" t="e">
        <f>'Global IMACD Form'!#REF!+"$Cm=!&amp;HZ"</f>
        <v>#REF!</v>
      </c>
      <c r="CF105" t="e">
        <f>'Global IMACD Form'!#REF!+"$Cm=!&amp;H["</f>
        <v>#REF!</v>
      </c>
      <c r="CG105" t="e">
        <f>'Global IMACD Form'!#REF!+"$Cm=!&amp;H\"</f>
        <v>#REF!</v>
      </c>
      <c r="CH105" t="e">
        <f>'Global IMACD Form'!#REF!+"$Cm=!&amp;H]"</f>
        <v>#REF!</v>
      </c>
      <c r="CI105" t="e">
        <f>'Global IMACD Form'!#REF!+"$Cm=!&amp;H^"</f>
        <v>#REF!</v>
      </c>
      <c r="CJ105" t="e">
        <f>'Global IMACD Form'!#REF!+"$Cm=!&amp;H_"</f>
        <v>#REF!</v>
      </c>
      <c r="CK105" t="e">
        <f>'Global IMACD Form'!#REF!+"$Cm=!&amp;H`"</f>
        <v>#REF!</v>
      </c>
      <c r="CL105" t="e">
        <f>'Global IMACD Form'!#REF!+"$Cm=!&amp;Ha"</f>
        <v>#REF!</v>
      </c>
      <c r="CM105" t="e">
        <f>'Global IMACD Form'!#REF!+"$Cm=!&amp;Hb"</f>
        <v>#REF!</v>
      </c>
      <c r="CN105" t="e">
        <f>'Global IMACD Form'!#REF!+"$Cm=!&amp;Hc"</f>
        <v>#REF!</v>
      </c>
      <c r="CO105" t="e">
        <f>'Global IMACD Form'!#REF!+"$Cm=!&amp;Hd"</f>
        <v>#REF!</v>
      </c>
      <c r="CP105" t="e">
        <f>'Global IMACD Form'!#REF!+"$Cm=!&amp;He"</f>
        <v>#REF!</v>
      </c>
      <c r="CQ105" t="e">
        <f>'Global IMACD Form'!#REF!+"$Cm=!&amp;Hf"</f>
        <v>#REF!</v>
      </c>
      <c r="CR105" t="e">
        <f>'Global IMACD Form'!#REF!+"$Cm=!&amp;Hg"</f>
        <v>#REF!</v>
      </c>
      <c r="CS105" t="e">
        <f>'Global IMACD Form'!#REF!+"$Cm=!&amp;Hh"</f>
        <v>#REF!</v>
      </c>
      <c r="CT105" t="e">
        <f>'Global IMACD Form'!#REF!+"$Cm=!&amp;Hi"</f>
        <v>#REF!</v>
      </c>
      <c r="CU105" t="e">
        <f>'Global IMACD Form'!#REF!+"$Cm=!&amp;Hj"</f>
        <v>#REF!</v>
      </c>
      <c r="CV105" t="e">
        <f>'Global IMACD Form'!#REF!+"$Cm=!&amp;Hk"</f>
        <v>#REF!</v>
      </c>
      <c r="CW105" t="e">
        <f>'Global IMACD Form'!#REF!+"$Cm=!&amp;Hl"</f>
        <v>#REF!</v>
      </c>
      <c r="CX105" t="e">
        <f>'Global IMACD Form'!#REF!+"$Cm=!&amp;Hm"</f>
        <v>#REF!</v>
      </c>
      <c r="CY105" t="e">
        <f>'Global IMACD Form'!#REF!+"$Cm=!&amp;Hn"</f>
        <v>#REF!</v>
      </c>
      <c r="CZ105" t="e">
        <f>'Global IMACD Form'!#REF!+"$Cm=!&amp;Ho"</f>
        <v>#REF!</v>
      </c>
      <c r="DA105" t="e">
        <f>'Global IMACD Form'!#REF!+"$Cm=!&amp;Hp"</f>
        <v>#REF!</v>
      </c>
      <c r="DB105" t="e">
        <f>'Global IMACD Form'!#REF!+"$Cm=!&amp;Hq"</f>
        <v>#REF!</v>
      </c>
      <c r="DC105" t="e">
        <f>'Global IMACD Form'!#REF!+"$Cm=!&amp;Hr"</f>
        <v>#REF!</v>
      </c>
      <c r="DD105" t="e">
        <f>'Global IMACD Form'!#REF!+"$Cm=!&amp;Hs"</f>
        <v>#REF!</v>
      </c>
      <c r="DE105" t="e">
        <f>'Global IMACD Form'!#REF!+"$Cm=!&amp;Ht"</f>
        <v>#REF!</v>
      </c>
      <c r="DF105" t="e">
        <f>'Global IMACD Form'!#REF!+"$Cm=!&amp;Hu"</f>
        <v>#REF!</v>
      </c>
      <c r="DG105" t="e">
        <f>'Global IMACD Form'!#REF!+"$Cm=!&amp;Hv"</f>
        <v>#REF!</v>
      </c>
      <c r="DH105" t="e">
        <f>'Global IMACD Form'!#REF!+"$Cm=!&amp;Hw"</f>
        <v>#REF!</v>
      </c>
      <c r="DI105" t="e">
        <f>'Global IMACD Form'!#REF!+"$Cm=!&amp;Hx"</f>
        <v>#REF!</v>
      </c>
      <c r="DJ105" t="e">
        <f>'Global IMACD Form'!#REF!+"$Cm=!&amp;Hy"</f>
        <v>#REF!</v>
      </c>
      <c r="DK105" t="e">
        <f>'Global IMACD Form'!#REF!+"$Cm=!&amp;Hz"</f>
        <v>#REF!</v>
      </c>
      <c r="DL105" t="e">
        <f>'Global IMACD Form'!#REF!+"$Cm=!&amp;H{"</f>
        <v>#REF!</v>
      </c>
      <c r="DM105" t="e">
        <f>'Global IMACD Form'!#REF!+"$Cm=!&amp;H|"</f>
        <v>#REF!</v>
      </c>
      <c r="DN105" t="e">
        <f>'Global IMACD Form'!#REF!+"$Cm=!&amp;H}"</f>
        <v>#REF!</v>
      </c>
      <c r="DO105" t="e">
        <f>'Global IMACD Form'!#REF!+"$Cm=!&amp;H~"</f>
        <v>#REF!</v>
      </c>
      <c r="DP105" t="e">
        <f>'Global IMACD Form'!#REF!+"$Cm=!&amp;I#"</f>
        <v>#REF!</v>
      </c>
      <c r="DQ105" t="e">
        <f>'Global IMACD Form'!#REF!+"$Cm=!&amp;I$"</f>
        <v>#REF!</v>
      </c>
      <c r="DR105" t="e">
        <f>'Global IMACD Form'!#REF!+"$Cm=!&amp;I%"</f>
        <v>#REF!</v>
      </c>
      <c r="DS105" t="e">
        <f>'Global IMACD Form'!#REF!+"$Cm=!&amp;I&amp;"</f>
        <v>#REF!</v>
      </c>
      <c r="DT105" t="e">
        <f>'Global IMACD Form'!#REF!+"$Cm=!&amp;I'"</f>
        <v>#REF!</v>
      </c>
      <c r="DU105" t="e">
        <f>'Global IMACD Form'!#REF!+"$Cm=!&amp;I("</f>
        <v>#REF!</v>
      </c>
      <c r="DV105" t="e">
        <f>'Global IMACD Form'!#REF!+"$Cm=!&amp;I)"</f>
        <v>#REF!</v>
      </c>
      <c r="DW105" t="e">
        <f>'Global IMACD Form'!#REF!+"$Cm=!&amp;I."</f>
        <v>#REF!</v>
      </c>
      <c r="DX105" t="e">
        <f>'Global IMACD Form'!#REF!+"$Cm=!&amp;I/"</f>
        <v>#REF!</v>
      </c>
      <c r="DY105" t="e">
        <f>'Global IMACD Form'!#REF!+"$Cm=!&amp;I0"</f>
        <v>#REF!</v>
      </c>
      <c r="DZ105" t="e">
        <f>'Global IMACD Form'!#REF!+"$Cm=!&amp;I1"</f>
        <v>#REF!</v>
      </c>
      <c r="EA105" t="e">
        <f>'Global IMACD Form'!#REF!+"$Cm=!&amp;I2"</f>
        <v>#REF!</v>
      </c>
      <c r="EB105" t="e">
        <f>'Global IMACD Form'!#REF!+"$Cm=!&amp;I3"</f>
        <v>#REF!</v>
      </c>
      <c r="EC105" t="e">
        <f>'Global IMACD Form'!#REF!+"$Cm=!&amp;I4"</f>
        <v>#REF!</v>
      </c>
      <c r="ED105" t="e">
        <f>'Global IMACD Form'!#REF!+"$Cm=!&amp;I5"</f>
        <v>#REF!</v>
      </c>
      <c r="EE105" t="e">
        <f>'Global IMACD Form'!#REF!+"$Cm=!&amp;I6"</f>
        <v>#REF!</v>
      </c>
      <c r="EF105" t="e">
        <f>'Global IMACD Form'!#REF!+"$Cm=!&amp;I7"</f>
        <v>#REF!</v>
      </c>
      <c r="EG105" t="e">
        <f>'Global IMACD Form'!#REF!+"$Cm=!&amp;I8"</f>
        <v>#REF!</v>
      </c>
      <c r="EH105" t="e">
        <f>'Global IMACD Form'!#REF!+"$Cm=!&amp;I9"</f>
        <v>#REF!</v>
      </c>
      <c r="EI105" t="e">
        <f>'Global IMACD Form'!#REF!+"$Cm=!&amp;I:"</f>
        <v>#REF!</v>
      </c>
      <c r="EJ105" t="e">
        <f>'Global IMACD Form'!#REF!+"$Cm=!&amp;I;"</f>
        <v>#REF!</v>
      </c>
      <c r="EK105" t="e">
        <f>'Global IMACD Form'!#REF!+"$Cm=!&amp;I&lt;"</f>
        <v>#REF!</v>
      </c>
      <c r="EL105" t="e">
        <f>'Global IMACD Form'!#REF!+"$Cm=!&amp;I="</f>
        <v>#REF!</v>
      </c>
      <c r="EM105" t="e">
        <f>'Global IMACD Form'!#REF!+"$Cm=!&amp;I&gt;"</f>
        <v>#REF!</v>
      </c>
      <c r="EN105" t="e">
        <f>'Global IMACD Form'!#REF!+"$Cm=!&amp;I?"</f>
        <v>#REF!</v>
      </c>
      <c r="EO105" t="e">
        <f>'Global IMACD Form'!#REF!+"$Cm=!&amp;I@"</f>
        <v>#REF!</v>
      </c>
      <c r="EP105" t="e">
        <f>'Global IMACD Form'!#REF!+"$Cm=!&amp;IA"</f>
        <v>#REF!</v>
      </c>
      <c r="EQ105" t="e">
        <f>'Global IMACD Form'!#REF!+"$Cm=!&amp;IB"</f>
        <v>#REF!</v>
      </c>
      <c r="ER105" t="e">
        <f>'Global IMACD Form'!#REF!+"$Cm=!&amp;IC"</f>
        <v>#REF!</v>
      </c>
      <c r="ES105" t="e">
        <f>'Global IMACD Form'!#REF!+"$Cm=!&amp;ID"</f>
        <v>#REF!</v>
      </c>
      <c r="ET105" t="e">
        <f>'Global IMACD Form'!#REF!+"$Cm=!&amp;IE"</f>
        <v>#REF!</v>
      </c>
      <c r="EU105" t="e">
        <f>'Global IMACD Form'!#REF!+"$Cm=!&amp;IF"</f>
        <v>#REF!</v>
      </c>
      <c r="EV105" t="e">
        <f>'Global IMACD Form'!#REF!+"$Cm=!&amp;IG"</f>
        <v>#REF!</v>
      </c>
      <c r="EW105" t="e">
        <f>'Global IMACD Form'!#REF!+"$Cm=!&amp;IH"</f>
        <v>#REF!</v>
      </c>
      <c r="EX105" t="e">
        <f>'Global IMACD Form'!#REF!+"$Cm=!&amp;II"</f>
        <v>#REF!</v>
      </c>
      <c r="EY105" t="e">
        <f>'Global IMACD Form'!#REF!+"$Cm=!&amp;IJ"</f>
        <v>#REF!</v>
      </c>
      <c r="EZ105" t="e">
        <f>'Global IMACD Form'!#REF!+"$Cm=!&amp;IK"</f>
        <v>#REF!</v>
      </c>
      <c r="FA105" t="e">
        <f>'Global IMACD Form'!#REF!+"$Cm=!&amp;IL"</f>
        <v>#REF!</v>
      </c>
      <c r="FB105" t="e">
        <f>'Global IMACD Form'!#REF!+"$Cm=!&amp;IM"</f>
        <v>#REF!</v>
      </c>
      <c r="FC105" t="e">
        <f>'Global IMACD Form'!#REF!+"$Cm=!&amp;IN"</f>
        <v>#REF!</v>
      </c>
      <c r="FD105" t="e">
        <f>'Global IMACD Form'!#REF!+"$Cm=!&amp;IO"</f>
        <v>#REF!</v>
      </c>
      <c r="FE105" t="e">
        <f>'Global IMACD Form'!#REF!+"$Cm=!&amp;IP"</f>
        <v>#REF!</v>
      </c>
      <c r="FF105" t="e">
        <f>#REF!*"$Cm=!&amp;IQ"</f>
        <v>#REF!</v>
      </c>
      <c r="FG105" t="e">
        <f>#REF!*"$Cm=!&amp;IR"</f>
        <v>#REF!</v>
      </c>
      <c r="FH105" t="e">
        <f>#REF!*"$Cm=!&amp;IS"</f>
        <v>#REF!</v>
      </c>
      <c r="FI105" t="e">
        <f>#REF!*"$Cm=!&amp;IT"</f>
        <v>#REF!</v>
      </c>
      <c r="FJ105" t="e">
        <f>#REF!*"$Cm=!&amp;IU"</f>
        <v>#REF!</v>
      </c>
      <c r="FK105" t="e">
        <f>#REF!*"$Cm=!&amp;IV"</f>
        <v>#REF!</v>
      </c>
      <c r="FL105" t="e">
        <f>#REF!*"$Cm=!&amp;IW"</f>
        <v>#REF!</v>
      </c>
      <c r="FM105" t="e">
        <f>#REF!*"$Cm=!&amp;IX"</f>
        <v>#REF!</v>
      </c>
      <c r="FN105" t="e">
        <f>#REF!*"$Cm=!&amp;IY"</f>
        <v>#REF!</v>
      </c>
      <c r="FO105" t="e">
        <f>#REF!*"$Cm=!&amp;IZ"</f>
        <v>#REF!</v>
      </c>
      <c r="FP105" t="e">
        <f>#REF!*"$Cm=!&amp;I["</f>
        <v>#REF!</v>
      </c>
      <c r="FQ105" t="e">
        <f>#REF!*"$Cm=!&amp;I\"</f>
        <v>#REF!</v>
      </c>
      <c r="FR105" t="e">
        <f>#REF!*"$Cm=!&amp;I]"</f>
        <v>#REF!</v>
      </c>
      <c r="FS105" t="e">
        <f>#REF!*"$Cm=!&amp;I^"</f>
        <v>#REF!</v>
      </c>
      <c r="FT105" t="e">
        <f>#REF!*"$Cm=!&amp;I_"</f>
        <v>#REF!</v>
      </c>
      <c r="FU105" t="e">
        <f>#REF!*"$Cm=!&amp;I`"</f>
        <v>#REF!</v>
      </c>
      <c r="FV105" t="e">
        <f>#REF!*"$Cm=!&amp;Ia"</f>
        <v>#REF!</v>
      </c>
      <c r="FW105" t="e">
        <f>#REF!*"$Cm=!&amp;Ib"</f>
        <v>#REF!</v>
      </c>
      <c r="FX105" t="e">
        <f>#REF!*"$Cm=!&amp;Ic"</f>
        <v>#REF!</v>
      </c>
      <c r="FY105" t="e">
        <f>#REF!*"$Cm=!&amp;Id"</f>
        <v>#REF!</v>
      </c>
      <c r="FZ105" t="e">
        <f>#REF!*"$Cm=!&amp;Ie"</f>
        <v>#REF!</v>
      </c>
      <c r="GA105" t="e">
        <f>#REF!*"$Cm=!&amp;If"</f>
        <v>#REF!</v>
      </c>
      <c r="GB105" t="e">
        <f>#REF!*"$Cm=!&amp;Ig"</f>
        <v>#REF!</v>
      </c>
      <c r="GC105" t="e">
        <f>#REF!*"$Cm=!&amp;Ih"</f>
        <v>#REF!</v>
      </c>
      <c r="GD105" t="e">
        <f>#REF!*"$Cm=!&amp;Ii"</f>
        <v>#REF!</v>
      </c>
      <c r="GE105" t="e">
        <f>#REF!*"$Cm=!&amp;Ij"</f>
        <v>#REF!</v>
      </c>
      <c r="GF105" t="e">
        <f>#REF!*"$Cm=!&amp;Ik"</f>
        <v>#REF!</v>
      </c>
      <c r="GG105" t="e">
        <f>#REF!*"$Cm=!&amp;Il"</f>
        <v>#REF!</v>
      </c>
      <c r="GH105" t="e">
        <f>#REF!*"$Cm=!&amp;Im"</f>
        <v>#REF!</v>
      </c>
      <c r="GI105" t="e">
        <f>#REF!*"$Cm=!&amp;In"</f>
        <v>#REF!</v>
      </c>
      <c r="GJ105" t="e">
        <f>#REF!*"$Cm=!&amp;Io"</f>
        <v>#REF!</v>
      </c>
      <c r="GK105" t="e">
        <f>#REF!*"$Cm=!&amp;Ip"</f>
        <v>#REF!</v>
      </c>
      <c r="GL105" t="e">
        <f>#REF!*"$Cm=!&amp;Iq"</f>
        <v>#REF!</v>
      </c>
      <c r="GM105" t="e">
        <f>#REF!*"$Cm=!&amp;Ir"</f>
        <v>#REF!</v>
      </c>
      <c r="GN105" t="e">
        <f>#REF!*"$Cm=!&amp;Is"</f>
        <v>#REF!</v>
      </c>
      <c r="GO105" t="e">
        <f>#REF!*"$Cm=!&amp;It"</f>
        <v>#REF!</v>
      </c>
      <c r="GP105" t="e">
        <f>#REF!*"$Cm=!&amp;Iu"</f>
        <v>#REF!</v>
      </c>
      <c r="GQ105" t="e">
        <f>#REF!*"$Cm=!&amp;Iv"</f>
        <v>#REF!</v>
      </c>
      <c r="GR105" t="e">
        <f>#REF!*"$Cm=!&amp;Iw"</f>
        <v>#REF!</v>
      </c>
      <c r="GS105" t="e">
        <f>#REF!*"$Cm=!&amp;Ix"</f>
        <v>#REF!</v>
      </c>
      <c r="GT105" t="e">
        <f>#REF!*"$Cm=!&amp;Iy"</f>
        <v>#REF!</v>
      </c>
      <c r="GU105" t="e">
        <f>#REF!*"$Cm=!&amp;Iz"</f>
        <v>#REF!</v>
      </c>
      <c r="GV105" t="e">
        <f>#REF!*"$Cm=!&amp;I{"</f>
        <v>#REF!</v>
      </c>
      <c r="GW105" t="e">
        <f>#REF!*"$Cm=!&amp;I|"</f>
        <v>#REF!</v>
      </c>
      <c r="GX105" t="e">
        <f>#REF!*"$Cm=!&amp;I}"</f>
        <v>#REF!</v>
      </c>
      <c r="GY105" t="e">
        <f>#REF!*"$Cm=!&amp;I~"</f>
        <v>#REF!</v>
      </c>
      <c r="GZ105" t="e">
        <f>#REF!*"$Cm=!&amp;J#"</f>
        <v>#REF!</v>
      </c>
      <c r="HA105" t="e">
        <f>#REF!*"$Cm=!&amp;J$"</f>
        <v>#REF!</v>
      </c>
      <c r="HB105" t="e">
        <f>#REF!*"$Cm=!&amp;J%"</f>
        <v>#REF!</v>
      </c>
      <c r="HC105" t="e">
        <f>#REF!*"$Cm=!&amp;J&amp;"</f>
        <v>#REF!</v>
      </c>
      <c r="HD105" t="e">
        <f>#REF!*"$Cm=!&amp;J'"</f>
        <v>#REF!</v>
      </c>
      <c r="HE105" t="e">
        <f>#REF!*"$Cm=!&amp;J("</f>
        <v>#REF!</v>
      </c>
      <c r="HF105" t="e">
        <f>#REF!*"$Cm=!&amp;J)"</f>
        <v>#REF!</v>
      </c>
      <c r="HG105" t="e">
        <f>#REF!*"$Cm=!&amp;J."</f>
        <v>#REF!</v>
      </c>
      <c r="HH105" t="e">
        <f>#REF!*"$Cm=!&amp;J/"</f>
        <v>#REF!</v>
      </c>
      <c r="HI105" t="e">
        <f>#REF!-"$Cm=!&amp;J0"</f>
        <v>#REF!</v>
      </c>
      <c r="HJ105" t="e">
        <f>#REF!-"$Cm=!&amp;J1"</f>
        <v>#REF!</v>
      </c>
      <c r="HK105" t="e">
        <f>#REF!-"$Cm=!&amp;J2"</f>
        <v>#REF!</v>
      </c>
      <c r="HL105" t="e">
        <f>#REF!-"$Cm=!&amp;J3"</f>
        <v>#REF!</v>
      </c>
      <c r="HM105" t="e">
        <f>#REF!-"$Cm=!&amp;J4"</f>
        <v>#REF!</v>
      </c>
      <c r="HN105" t="e">
        <f>#REF!-"$Cm=!&amp;J5"</f>
        <v>#REF!</v>
      </c>
      <c r="HO105" t="e">
        <f>#REF!-"$Cm=!&amp;J6"</f>
        <v>#REF!</v>
      </c>
      <c r="HP105" t="e">
        <f>#REF!-"$Cm=!&amp;J7"</f>
        <v>#REF!</v>
      </c>
      <c r="HQ105" t="e">
        <f>#REF!-"$Cm=!&amp;J8"</f>
        <v>#REF!</v>
      </c>
      <c r="HR105" t="e">
        <f>#REF!-"$Cm=!&amp;J9"</f>
        <v>#REF!</v>
      </c>
      <c r="HS105" t="e">
        <f>#REF!-"$Cm=!&amp;J:"</f>
        <v>#REF!</v>
      </c>
      <c r="HT105" t="e">
        <f>#REF!-"$Cm=!&amp;J;"</f>
        <v>#REF!</v>
      </c>
      <c r="HU105" t="e">
        <f>#REF!-"$Cm=!&amp;J&lt;"</f>
        <v>#REF!</v>
      </c>
      <c r="HV105" t="e">
        <f>#REF!-"$Cm=!&amp;J="</f>
        <v>#REF!</v>
      </c>
      <c r="HW105" t="e">
        <f>#REF!-"$Cm=!&amp;J&gt;"</f>
        <v>#REF!</v>
      </c>
      <c r="HX105" t="e">
        <f>#REF!-"$Cm=!&amp;J?"</f>
        <v>#REF!</v>
      </c>
      <c r="HY105" t="e">
        <f>#REF!-"$Cm=!&amp;J@"</f>
        <v>#REF!</v>
      </c>
      <c r="HZ105" t="e">
        <f>#REF!-"$Cm=!&amp;JA"</f>
        <v>#REF!</v>
      </c>
      <c r="IA105" t="e">
        <f>#REF!-"$Cm=!&amp;JB"</f>
        <v>#REF!</v>
      </c>
      <c r="IB105" t="e">
        <f>#REF!-"$Cm=!&amp;JC"</f>
        <v>#REF!</v>
      </c>
      <c r="IC105" t="e">
        <f>#REF!-"$Cm=!&amp;JD"</f>
        <v>#REF!</v>
      </c>
      <c r="ID105" t="e">
        <f>#REF!-"$Cm=!&amp;JE"</f>
        <v>#REF!</v>
      </c>
      <c r="IE105" t="e">
        <f>#REF!-"$Cm=!&amp;JF"</f>
        <v>#REF!</v>
      </c>
      <c r="IF105" t="e">
        <f>#REF!-"$Cm=!&amp;JG"</f>
        <v>#REF!</v>
      </c>
      <c r="IG105" t="e">
        <f>#REF!-"$Cm=!&amp;JH"</f>
        <v>#REF!</v>
      </c>
      <c r="IH105" t="e">
        <f>#REF!-"$Cm=!&amp;JI"</f>
        <v>#REF!</v>
      </c>
      <c r="II105" t="e">
        <f>#REF!-"$Cm=!&amp;JJ"</f>
        <v>#REF!</v>
      </c>
      <c r="IJ105" t="e">
        <f>#REF!-"$Cm=!&amp;JK"</f>
        <v>#REF!</v>
      </c>
      <c r="IK105" t="e">
        <f>#REF!-"$Cm=!&amp;JL"</f>
        <v>#REF!</v>
      </c>
      <c r="IL105" t="e">
        <f>#REF!-"$Cm=!&amp;JM"</f>
        <v>#REF!</v>
      </c>
      <c r="IM105" t="e">
        <f>#REF!-"$Cm=!&amp;JN"</f>
        <v>#REF!</v>
      </c>
      <c r="IN105" t="e">
        <f>#REF!-"$Cm=!&amp;JO"</f>
        <v>#REF!</v>
      </c>
      <c r="IO105" t="e">
        <f>#REF!-"$Cm=!&amp;JP"</f>
        <v>#REF!</v>
      </c>
      <c r="IP105" t="e">
        <f>#REF!-"$Cm=!&amp;JQ"</f>
        <v>#REF!</v>
      </c>
      <c r="IQ105" t="e">
        <f>#REF!-"$Cm=!&amp;JR"</f>
        <v>#REF!</v>
      </c>
      <c r="IR105" t="e">
        <f>#REF!-"$Cm=!&amp;JS"</f>
        <v>#REF!</v>
      </c>
      <c r="IS105" t="e">
        <f>#REF!-"$Cm=!&amp;JT"</f>
        <v>#REF!</v>
      </c>
      <c r="IT105" t="e">
        <f>#REF!-"$Cm=!&amp;JU"</f>
        <v>#REF!</v>
      </c>
      <c r="IU105" t="e">
        <f>#REF!-"$Cm=!&amp;JV"</f>
        <v>#REF!</v>
      </c>
      <c r="IV105" t="e">
        <f>#REF!-"$Cm=!&amp;JW"</f>
        <v>#REF!</v>
      </c>
    </row>
    <row r="106" spans="6:256">
      <c r="F106" t="e">
        <f>#REF!-"$Cm=!&amp;JX"</f>
        <v>#REF!</v>
      </c>
      <c r="G106" t="e">
        <f>#REF!-"$Cm=!&amp;JY"</f>
        <v>#REF!</v>
      </c>
      <c r="H106" t="e">
        <f>#REF!-"$Cm=!&amp;JZ"</f>
        <v>#REF!</v>
      </c>
      <c r="I106" t="e">
        <f>#REF!-"$Cm=!&amp;J["</f>
        <v>#REF!</v>
      </c>
      <c r="J106" t="e">
        <f>#REF!-"$Cm=!&amp;J\"</f>
        <v>#REF!</v>
      </c>
      <c r="K106" t="e">
        <f>#REF!-"$Cm=!&amp;J]"</f>
        <v>#REF!</v>
      </c>
      <c r="L106" t="e">
        <f>#REF!-"$Cm=!&amp;J^"</f>
        <v>#REF!</v>
      </c>
      <c r="M106" t="e">
        <f>#REF!-"$Cm=!&amp;J_"</f>
        <v>#REF!</v>
      </c>
      <c r="N106" t="e">
        <f>#REF!-"$Cm=!&amp;J`"</f>
        <v>#REF!</v>
      </c>
      <c r="O106" t="e">
        <f>#REF!-"$Cm=!&amp;Ja"</f>
        <v>#REF!</v>
      </c>
      <c r="P106" t="e">
        <f>#REF!-"$Cm=!&amp;Jb"</f>
        <v>#REF!</v>
      </c>
      <c r="Q106" t="e">
        <f>#REF!-"$Cm=!&amp;Jc"</f>
        <v>#REF!</v>
      </c>
      <c r="R106" t="e">
        <f>#REF!-"$Cm=!&amp;Jd"</f>
        <v>#REF!</v>
      </c>
      <c r="S106" t="e">
        <f>#REF!-"$Cm=!&amp;Je"</f>
        <v>#REF!</v>
      </c>
      <c r="T106" t="e">
        <f>#REF!-"$Cm=!&amp;Jf"</f>
        <v>#REF!</v>
      </c>
      <c r="U106" t="e">
        <f>#REF!-"$Cm=!&amp;Jg"</f>
        <v>#REF!</v>
      </c>
      <c r="V106" t="e">
        <f>#REF!-"$Cm=!&amp;Jh"</f>
        <v>#REF!</v>
      </c>
      <c r="W106" t="e">
        <f>#REF!-"$Cm=!&amp;Ji"</f>
        <v>#REF!</v>
      </c>
      <c r="X106" t="e">
        <f>#REF!-"$Cm=!&amp;Jj"</f>
        <v>#REF!</v>
      </c>
      <c r="Y106" t="e">
        <f>#REF!-"$Cm=!&amp;Jk"</f>
        <v>#REF!</v>
      </c>
      <c r="Z106" t="e">
        <f>#REF!-"$Cm=!&amp;Jl"</f>
        <v>#REF!</v>
      </c>
      <c r="AA106" t="e">
        <f>#REF!-"$Cm=!&amp;Jm"</f>
        <v>#REF!</v>
      </c>
      <c r="AB106" t="e">
        <f>#REF!-"$Cm=!&amp;Jn"</f>
        <v>#REF!</v>
      </c>
      <c r="AC106" t="e">
        <f>#REF!-"$Cm=!&amp;Jo"</f>
        <v>#REF!</v>
      </c>
      <c r="AD106" t="e">
        <f>#REF!-"$Cm=!&amp;Jp"</f>
        <v>#REF!</v>
      </c>
      <c r="AE106" t="e">
        <f>#REF!-"$Cm=!&amp;Jq"</f>
        <v>#REF!</v>
      </c>
      <c r="AF106" t="e">
        <f>#REF!-"$Cm=!&amp;Jr"</f>
        <v>#REF!</v>
      </c>
      <c r="AG106" t="e">
        <f>#REF!-"$Cm=!&amp;Js"</f>
        <v>#REF!</v>
      </c>
      <c r="AH106" t="e">
        <f>#REF!-"$Cm=!&amp;Jt"</f>
        <v>#REF!</v>
      </c>
      <c r="AI106" t="e">
        <f>#REF!-"$Cm=!&amp;Ju"</f>
        <v>#REF!</v>
      </c>
      <c r="AJ106" t="e">
        <f>#REF!-"$Cm=!&amp;Jv"</f>
        <v>#REF!</v>
      </c>
      <c r="AK106" t="e">
        <f>#REF!-"$Cm=!&amp;Jw"</f>
        <v>#REF!</v>
      </c>
      <c r="AL106" t="e">
        <f>#REF!-"$Cm=!&amp;Jx"</f>
        <v>#REF!</v>
      </c>
      <c r="AM106" t="e">
        <f>#REF!-"$Cm=!&amp;Jy"</f>
        <v>#REF!</v>
      </c>
      <c r="AN106" t="e">
        <f>#REF!-"$Cm=!&amp;Jz"</f>
        <v>#REF!</v>
      </c>
      <c r="AO106" t="e">
        <f>#REF!-"$Cm=!&amp;J{"</f>
        <v>#REF!</v>
      </c>
      <c r="AP106" t="e">
        <f>#REF!-"$Cm=!&amp;J|"</f>
        <v>#REF!</v>
      </c>
      <c r="AQ106" t="e">
        <f>#REF!-"$Cm=!&amp;J}"</f>
        <v>#REF!</v>
      </c>
      <c r="AR106" t="e">
        <f>#REF!-"$Cm=!&amp;J~"</f>
        <v>#REF!</v>
      </c>
      <c r="AS106" t="e">
        <f>#REF!-"$Cm=!&amp;K#"</f>
        <v>#REF!</v>
      </c>
      <c r="AT106" t="e">
        <f>#REF!-"$Cm=!&amp;K$"</f>
        <v>#REF!</v>
      </c>
      <c r="AU106" t="e">
        <f>#REF!-"$Cm=!&amp;K%"</f>
        <v>#REF!</v>
      </c>
      <c r="AV106" t="e">
        <f>#REF!-"$Cm=!&amp;K&amp;"</f>
        <v>#REF!</v>
      </c>
      <c r="AW106" t="e">
        <f>#REF!-"$Cm=!&amp;K'"</f>
        <v>#REF!</v>
      </c>
      <c r="AX106" t="e">
        <f>#REF!-"$Cm=!&amp;K("</f>
        <v>#REF!</v>
      </c>
      <c r="AY106" t="e">
        <f>#REF!-"$Cm=!&amp;K)"</f>
        <v>#REF!</v>
      </c>
      <c r="AZ106" t="e">
        <f>#REF!-"$Cm=!&amp;K."</f>
        <v>#REF!</v>
      </c>
      <c r="BA106" t="e">
        <f>#REF!-"$Cm=!&amp;K/"</f>
        <v>#REF!</v>
      </c>
      <c r="BB106" t="e">
        <f>#REF!-"$Cm=!&amp;K0"</f>
        <v>#REF!</v>
      </c>
      <c r="BC106" t="e">
        <f>#REF!-"$Cm=!&amp;K1"</f>
        <v>#REF!</v>
      </c>
      <c r="BD106" t="e">
        <f>#REF!-"$Cm=!&amp;K2"</f>
        <v>#REF!</v>
      </c>
      <c r="BE106" t="e">
        <f>#REF!-"$Cm=!&amp;K3"</f>
        <v>#REF!</v>
      </c>
      <c r="BF106" t="e">
        <f>#REF!-"$Cm=!&amp;K4"</f>
        <v>#REF!</v>
      </c>
      <c r="BG106" t="e">
        <f>#REF!-"$Cm=!&amp;K5"</f>
        <v>#REF!</v>
      </c>
      <c r="BH106" t="e">
        <f>#REF!-"$Cm=!&amp;K6"</f>
        <v>#REF!</v>
      </c>
      <c r="BI106" t="e">
        <f>#REF!-"$Cm=!&amp;K7"</f>
        <v>#REF!</v>
      </c>
      <c r="BJ106" t="e">
        <f>#REF!-"$Cm=!&amp;K8"</f>
        <v>#REF!</v>
      </c>
      <c r="BK106" t="e">
        <f>#REF!-"$Cm=!&amp;K9"</f>
        <v>#REF!</v>
      </c>
      <c r="BL106" t="e">
        <f>#REF!-"$Cm=!&amp;K:"</f>
        <v>#REF!</v>
      </c>
      <c r="BM106" t="e">
        <f>#REF!-"$Cm=!&amp;K;"</f>
        <v>#REF!</v>
      </c>
      <c r="BN106" t="e">
        <f>#REF!-"$Cm=!&amp;K&lt;"</f>
        <v>#REF!</v>
      </c>
      <c r="BO106" t="e">
        <f>#REF!-"$Cm=!&amp;K="</f>
        <v>#REF!</v>
      </c>
      <c r="BP106" t="e">
        <f>#REF!-"$Cm=!&amp;K&gt;"</f>
        <v>#REF!</v>
      </c>
      <c r="BQ106" t="e">
        <f>#REF!-"$Cm=!&amp;K?"</f>
        <v>#REF!</v>
      </c>
      <c r="BR106" t="e">
        <f>#REF!-"$Cm=!&amp;K@"</f>
        <v>#REF!</v>
      </c>
      <c r="BS106" t="e">
        <f>#REF!-"$Cm=!&amp;KA"</f>
        <v>#REF!</v>
      </c>
      <c r="BT106" t="e">
        <f>#REF!-"$Cm=!&amp;KB"</f>
        <v>#REF!</v>
      </c>
      <c r="BU106" t="e">
        <f>#REF!-"$Cm=!&amp;KC"</f>
        <v>#REF!</v>
      </c>
      <c r="BV106" t="e">
        <f>#REF!-"$Cm=!&amp;KD"</f>
        <v>#REF!</v>
      </c>
      <c r="BW106" t="e">
        <f>#REF!-"$Cm=!&amp;KE"</f>
        <v>#REF!</v>
      </c>
      <c r="BX106" t="e">
        <f>#REF!-"$Cm=!&amp;KF"</f>
        <v>#REF!</v>
      </c>
      <c r="BY106" t="e">
        <f>#REF!-"$Cm=!&amp;KG"</f>
        <v>#REF!</v>
      </c>
      <c r="BZ106" t="e">
        <f>#REF!-"$Cm=!&amp;KH"</f>
        <v>#REF!</v>
      </c>
      <c r="CA106" t="e">
        <f>#REF!-"$Cm=!&amp;KI"</f>
        <v>#REF!</v>
      </c>
      <c r="CB106" t="e">
        <f>#REF!-"$Cm=!&amp;KJ"</f>
        <v>#REF!</v>
      </c>
      <c r="CC106" t="e">
        <f>#REF!-"$Cm=!&amp;KK"</f>
        <v>#REF!</v>
      </c>
      <c r="CD106" t="e">
        <f>#REF!-"$Cm=!&amp;KL"</f>
        <v>#REF!</v>
      </c>
      <c r="CE106" t="e">
        <f>#REF!-"$Cm=!&amp;KM"</f>
        <v>#REF!</v>
      </c>
      <c r="CF106" t="e">
        <f>#REF!-"$Cm=!&amp;KN"</f>
        <v>#REF!</v>
      </c>
      <c r="CG106" t="e">
        <f>#REF!-"$Cm=!&amp;KO"</f>
        <v>#REF!</v>
      </c>
      <c r="CH106" t="e">
        <f>#REF!-"$Cm=!&amp;KP"</f>
        <v>#REF!</v>
      </c>
      <c r="CI106" t="e">
        <f>#REF!-"$Cm=!&amp;KQ"</f>
        <v>#REF!</v>
      </c>
      <c r="CJ106" t="e">
        <f>#REF!-"$Cm=!&amp;KR"</f>
        <v>#REF!</v>
      </c>
      <c r="CK106" t="e">
        <f>#REF!-"$Cm=!&amp;KS"</f>
        <v>#REF!</v>
      </c>
      <c r="CL106" t="e">
        <f>#REF!-"$Cm=!&amp;KT"</f>
        <v>#REF!</v>
      </c>
      <c r="CM106" t="e">
        <f>#REF!-"$Cm=!&amp;KU"</f>
        <v>#REF!</v>
      </c>
      <c r="CN106" t="e">
        <f>#REF!-"$Cm=!&amp;KV"</f>
        <v>#REF!</v>
      </c>
      <c r="CO106" t="e">
        <f>#REF!-"$Cm=!&amp;KW"</f>
        <v>#REF!</v>
      </c>
      <c r="CP106" t="e">
        <f>#REF!-"$Cm=!&amp;KX"</f>
        <v>#REF!</v>
      </c>
      <c r="CQ106" t="e">
        <f>#REF!-"$Cm=!&amp;KY"</f>
        <v>#REF!</v>
      </c>
      <c r="CR106" t="e">
        <f>#REF!-"$Cm=!&amp;KZ"</f>
        <v>#REF!</v>
      </c>
      <c r="CS106" t="e">
        <f>#REF!-"$Cm=!&amp;K["</f>
        <v>#REF!</v>
      </c>
      <c r="CT106" t="e">
        <f>#REF!-"$Cm=!&amp;K\"</f>
        <v>#REF!</v>
      </c>
      <c r="CU106" t="e">
        <f>#REF!-"$Cm=!&amp;K]"</f>
        <v>#REF!</v>
      </c>
      <c r="CV106" t="e">
        <f>#REF!-"$Cm=!&amp;K^"</f>
        <v>#REF!</v>
      </c>
      <c r="CW106" t="e">
        <f>#REF!-"$Cm=!&amp;K_"</f>
        <v>#REF!</v>
      </c>
      <c r="CX106" t="e">
        <f>#REF!-"$Cm=!&amp;K`"</f>
        <v>#REF!</v>
      </c>
      <c r="CY106" t="e">
        <f>#REF!-"$Cm=!&amp;Ka"</f>
        <v>#REF!</v>
      </c>
      <c r="CZ106" t="e">
        <f>#REF!-"$Cm=!&amp;Kb"</f>
        <v>#REF!</v>
      </c>
      <c r="DA106" t="e">
        <f>#REF!-"$Cm=!&amp;Kc"</f>
        <v>#REF!</v>
      </c>
      <c r="DB106" t="e">
        <f>#REF!-"$Cm=!&amp;Kd"</f>
        <v>#REF!</v>
      </c>
      <c r="DC106" t="e">
        <f>#REF!-"$Cm=!&amp;Ke"</f>
        <v>#REF!</v>
      </c>
      <c r="DD106" t="e">
        <f>#REF!-"$Cm=!&amp;Kf"</f>
        <v>#REF!</v>
      </c>
      <c r="DE106" t="e">
        <f>#REF!-"$Cm=!&amp;Kg"</f>
        <v>#REF!</v>
      </c>
      <c r="DF106" t="e">
        <f>#REF!-"$Cm=!&amp;Kh"</f>
        <v>#REF!</v>
      </c>
      <c r="DG106" t="e">
        <f>#REF!-"$Cm=!&amp;Ki"</f>
        <v>#REF!</v>
      </c>
      <c r="DH106" t="e">
        <f>#REF!-"$Cm=!&amp;Kj"</f>
        <v>#REF!</v>
      </c>
      <c r="DI106" t="e">
        <f>#REF!-"$Cm=!&amp;Kk"</f>
        <v>#REF!</v>
      </c>
      <c r="DJ106" t="e">
        <f>#REF!-"$Cm=!&amp;Kl"</f>
        <v>#REF!</v>
      </c>
      <c r="DK106" t="e">
        <f>#REF!-"$Cm=!&amp;Km"</f>
        <v>#REF!</v>
      </c>
      <c r="DL106" t="e">
        <f>#REF!-"$Cm=!&amp;Kn"</f>
        <v>#REF!</v>
      </c>
      <c r="DM106" t="e">
        <f>#REF!-"$Cm=!&amp;Ko"</f>
        <v>#REF!</v>
      </c>
      <c r="DN106" t="e">
        <f>#REF!-"$Cm=!&amp;Kp"</f>
        <v>#REF!</v>
      </c>
      <c r="DO106" t="e">
        <f>#REF!-"$Cm=!&amp;Kq"</f>
        <v>#REF!</v>
      </c>
      <c r="DP106" t="e">
        <f>#REF!-"$Cm=!&amp;Kr"</f>
        <v>#REF!</v>
      </c>
      <c r="DQ106" t="e">
        <f>#REF!-"$Cm=!&amp;Ks"</f>
        <v>#REF!</v>
      </c>
      <c r="DR106" t="e">
        <f>#REF!-"$Cm=!&amp;Kt"</f>
        <v>#REF!</v>
      </c>
      <c r="DS106" t="e">
        <f>#REF!-"$Cm=!&amp;Ku"</f>
        <v>#REF!</v>
      </c>
      <c r="DT106" t="e">
        <f>#REF!-"$Cm=!&amp;Kv"</f>
        <v>#REF!</v>
      </c>
      <c r="DU106" t="e">
        <f>#REF!-"$Cm=!&amp;Kw"</f>
        <v>#REF!</v>
      </c>
      <c r="DV106" t="e">
        <f>#REF!-"$Cm=!&amp;Kx"</f>
        <v>#REF!</v>
      </c>
      <c r="DW106" t="e">
        <f>#REF!-"$Cm=!&amp;Ky"</f>
        <v>#REF!</v>
      </c>
      <c r="DX106" t="e">
        <f>#REF!-"$Cm=!&amp;Kz"</f>
        <v>#REF!</v>
      </c>
      <c r="DY106" t="e">
        <f>#REF!-"$Cm=!&amp;K{"</f>
        <v>#REF!</v>
      </c>
      <c r="DZ106" t="e">
        <f>#REF!-"$Cm=!&amp;K|"</f>
        <v>#REF!</v>
      </c>
      <c r="EA106" t="e">
        <f>#REF!-"$Cm=!&amp;K}"</f>
        <v>#REF!</v>
      </c>
      <c r="EB106" t="e">
        <f>#REF!-"$Cm=!&amp;K~"</f>
        <v>#REF!</v>
      </c>
      <c r="EC106" t="e">
        <f>#REF!-"$Cm=!&amp;L#"</f>
        <v>#REF!</v>
      </c>
      <c r="ED106" t="e">
        <f>#REF!-"$Cm=!&amp;L$"</f>
        <v>#REF!</v>
      </c>
      <c r="EE106" t="e">
        <f>#REF!-"$Cm=!&amp;L%"</f>
        <v>#REF!</v>
      </c>
      <c r="EF106" t="e">
        <f>#REF!-"$Cm=!&amp;L&amp;"</f>
        <v>#REF!</v>
      </c>
      <c r="EG106" t="e">
        <f>#REF!-"$Cm=!&amp;L'"</f>
        <v>#REF!</v>
      </c>
      <c r="EH106" t="e">
        <f>#REF!-"$Cm=!&amp;L("</f>
        <v>#REF!</v>
      </c>
      <c r="EI106" t="e">
        <f>#REF!-"$Cm=!&amp;L)"</f>
        <v>#REF!</v>
      </c>
      <c r="EJ106" t="e">
        <f>#REF!-"$Cm=!&amp;L."</f>
        <v>#REF!</v>
      </c>
      <c r="EK106" t="e">
        <f>#REF!-"$Cm=!&amp;L/"</f>
        <v>#REF!</v>
      </c>
      <c r="EL106" t="e">
        <f>#REF!-"$Cm=!&amp;L0"</f>
        <v>#REF!</v>
      </c>
      <c r="EM106" t="e">
        <f>#REF!-"$Cm=!&amp;L1"</f>
        <v>#REF!</v>
      </c>
      <c r="EN106" t="e">
        <f>#REF!-"$Cm=!&amp;L2"</f>
        <v>#REF!</v>
      </c>
      <c r="EO106" t="e">
        <f>#REF!-"$Cm=!&amp;L3"</f>
        <v>#REF!</v>
      </c>
      <c r="EP106" t="e">
        <f>#REF!-"$Cm=!&amp;L4"</f>
        <v>#REF!</v>
      </c>
      <c r="EQ106" t="e">
        <f>#REF!-"$Cm=!&amp;L5"</f>
        <v>#REF!</v>
      </c>
      <c r="ER106" t="e">
        <f>#REF!-"$Cm=!&amp;L6"</f>
        <v>#REF!</v>
      </c>
      <c r="ES106" t="e">
        <f>#REF!-"$Cm=!&amp;L7"</f>
        <v>#REF!</v>
      </c>
      <c r="ET106" t="e">
        <f>#REF!-"$Cm=!&amp;L8"</f>
        <v>#REF!</v>
      </c>
      <c r="EU106" t="e">
        <f>#REF!-"$Cm=!&amp;L9"</f>
        <v>#REF!</v>
      </c>
      <c r="EV106" t="e">
        <f>#REF!-"$Cm=!&amp;L:"</f>
        <v>#REF!</v>
      </c>
      <c r="EW106" t="e">
        <f>#REF!-"$Cm=!&amp;L;"</f>
        <v>#REF!</v>
      </c>
      <c r="EX106" t="e">
        <f>#REF!-"$Cm=!&amp;L&lt;"</f>
        <v>#REF!</v>
      </c>
      <c r="EY106" t="e">
        <f>#REF!-"$Cm=!&amp;L="</f>
        <v>#REF!</v>
      </c>
      <c r="EZ106" t="e">
        <f>#REF!-"$Cm=!&amp;L&gt;"</f>
        <v>#REF!</v>
      </c>
      <c r="FA106" t="e">
        <f>#REF!-"$Cm=!&amp;L?"</f>
        <v>#REF!</v>
      </c>
      <c r="FB106" t="e">
        <f>#REF!-"$Cm=!&amp;L@"</f>
        <v>#REF!</v>
      </c>
      <c r="FC106" t="e">
        <f>#REF!-"$Cm=!&amp;LA"</f>
        <v>#REF!</v>
      </c>
      <c r="FD106" t="e">
        <f>#REF!-"$Cm=!&amp;LB"</f>
        <v>#REF!</v>
      </c>
      <c r="FE106" t="e">
        <f>#REF!-"$Cm=!&amp;LC"</f>
        <v>#REF!</v>
      </c>
      <c r="FF106" t="e">
        <f>#REF!-"$Cm=!&amp;LD"</f>
        <v>#REF!</v>
      </c>
      <c r="FG106" t="e">
        <f>#REF!-"$Cm=!&amp;LE"</f>
        <v>#REF!</v>
      </c>
      <c r="FH106" t="e">
        <f>#REF!-"$Cm=!&amp;LF"</f>
        <v>#REF!</v>
      </c>
      <c r="FI106" t="e">
        <f>#REF!-"$Cm=!&amp;LG"</f>
        <v>#REF!</v>
      </c>
      <c r="FJ106" t="e">
        <f>#REF!-"$Cm=!&amp;LH"</f>
        <v>#REF!</v>
      </c>
      <c r="FK106" t="e">
        <f>#REF!-"$Cm=!&amp;LI"</f>
        <v>#REF!</v>
      </c>
      <c r="FL106" t="e">
        <f>#REF!-"$Cm=!&amp;LJ"</f>
        <v>#REF!</v>
      </c>
      <c r="FM106" t="e">
        <f>#REF!-"$Cm=!&amp;LK"</f>
        <v>#REF!</v>
      </c>
      <c r="FN106" t="e">
        <f>#REF!-"$Cm=!&amp;LL"</f>
        <v>#REF!</v>
      </c>
      <c r="FO106" t="e">
        <f>#REF!-"$Cm=!&amp;LM"</f>
        <v>#REF!</v>
      </c>
      <c r="FP106" t="e">
        <f>#REF!-"$Cm=!&amp;LN"</f>
        <v>#REF!</v>
      </c>
      <c r="FQ106" t="e">
        <f>#REF!-"$Cm=!&amp;LO"</f>
        <v>#REF!</v>
      </c>
      <c r="FR106" t="e">
        <f>#REF!-"$Cm=!&amp;LP"</f>
        <v>#REF!</v>
      </c>
      <c r="FS106" t="e">
        <f>#REF!-"$Cm=!&amp;LQ"</f>
        <v>#REF!</v>
      </c>
      <c r="FT106" t="e">
        <f>#REF!-"$Cm=!&amp;LR"</f>
        <v>#REF!</v>
      </c>
      <c r="FU106" t="e">
        <f>#REF!-"$Cm=!&amp;LS"</f>
        <v>#REF!</v>
      </c>
      <c r="FV106" t="e">
        <f>#REF!-"$Cm=!&amp;LT"</f>
        <v>#REF!</v>
      </c>
      <c r="FW106" t="e">
        <f>#REF!-"$Cm=!&amp;LU"</f>
        <v>#REF!</v>
      </c>
      <c r="FX106" t="e">
        <f>#REF!-"$Cm=!&amp;LV"</f>
        <v>#REF!</v>
      </c>
      <c r="FY106" t="e">
        <f>#REF!-"$Cm=!&amp;LW"</f>
        <v>#REF!</v>
      </c>
      <c r="FZ106" t="e">
        <f>#REF!-"$Cm=!&amp;LX"</f>
        <v>#REF!</v>
      </c>
      <c r="GA106" t="e">
        <f>#REF!-"$Cm=!&amp;LY"</f>
        <v>#REF!</v>
      </c>
      <c r="GB106" t="e">
        <f>#REF!-"$Cm=!&amp;LZ"</f>
        <v>#REF!</v>
      </c>
      <c r="GC106" t="e">
        <f>#REF!-"$Cm=!&amp;L["</f>
        <v>#REF!</v>
      </c>
      <c r="GD106" t="e">
        <f>#REF!+"$Cm=!&amp;L\"</f>
        <v>#REF!</v>
      </c>
      <c r="GE106" t="e">
        <f>#REF!+"$Cm=!&amp;L]"</f>
        <v>#REF!</v>
      </c>
      <c r="GF106" t="e">
        <f>#REF!+"$Cm=!&amp;L^"</f>
        <v>#REF!</v>
      </c>
      <c r="GG106" t="e">
        <f>#REF!+"$Cm=!&amp;L_"</f>
        <v>#REF!</v>
      </c>
      <c r="GH106" t="e">
        <f>#REF!+"$Cm=!&amp;L`"</f>
        <v>#REF!</v>
      </c>
      <c r="GI106" t="e">
        <f>#REF!+"$Cm=!&amp;La"</f>
        <v>#REF!</v>
      </c>
      <c r="GJ106" t="e">
        <f>#REF!+"$Cm=!&amp;Lb"</f>
        <v>#REF!</v>
      </c>
      <c r="GK106" t="e">
        <f>#REF!+"$Cm=!&amp;Lc"</f>
        <v>#REF!</v>
      </c>
      <c r="GL106" t="e">
        <f>#REF!+"$Cm=!&amp;Ld"</f>
        <v>#REF!</v>
      </c>
      <c r="GM106" t="e">
        <f>#REF!+"$Cm=!&amp;Le"</f>
        <v>#REF!</v>
      </c>
      <c r="GN106" t="e">
        <f>#REF!+"$Cm=!&amp;Lf"</f>
        <v>#REF!</v>
      </c>
      <c r="GO106" t="e">
        <f>#REF!+"$Cm=!&amp;Lg"</f>
        <v>#REF!</v>
      </c>
      <c r="GP106" t="e">
        <f>#REF!+"$Cm=!&amp;Lh"</f>
        <v>#REF!</v>
      </c>
      <c r="GQ106" t="e">
        <f>#REF!+"$Cm=!&amp;Li"</f>
        <v>#REF!</v>
      </c>
      <c r="GR106" t="e">
        <f>#REF!+"$Cm=!&amp;Lj"</f>
        <v>#REF!</v>
      </c>
      <c r="GS106" t="e">
        <f>#REF!+"$Cm=!&amp;Lk"</f>
        <v>#REF!</v>
      </c>
      <c r="GT106" t="e">
        <f>#REF!+"$Cm=!&amp;Ll"</f>
        <v>#REF!</v>
      </c>
      <c r="GU106" t="e">
        <f>#REF!+"$Cm=!&amp;Lm"</f>
        <v>#REF!</v>
      </c>
      <c r="GV106" t="e">
        <f>#REF!+"$Cm=!&amp;Ln"</f>
        <v>#REF!</v>
      </c>
      <c r="GW106" t="e">
        <f>#REF!+"$Cm=!&amp;Lo"</f>
        <v>#REF!</v>
      </c>
      <c r="GX106" s="2" t="e">
        <f>#REF!+"$Cm=!&amp;Lp"</f>
        <v>#REF!</v>
      </c>
      <c r="GY106" t="e">
        <f>#REF!+"$Cm=!&amp;Lq"</f>
        <v>#REF!</v>
      </c>
      <c r="GZ106" t="e">
        <f>#REF!+"$Cm=!&amp;Lr"</f>
        <v>#REF!</v>
      </c>
      <c r="HA106" t="e">
        <f>#REF!+"$Cm=!&amp;Ls"</f>
        <v>#REF!</v>
      </c>
      <c r="HB106" t="e">
        <f>#REF!+"$Cm=!&amp;Lt"</f>
        <v>#REF!</v>
      </c>
      <c r="HC106" s="2" t="e">
        <f>#REF!+"$Cm=!&amp;Lu"</f>
        <v>#REF!</v>
      </c>
      <c r="HD106" t="e">
        <f>#REF!+"$Cm=!&amp;Lv"</f>
        <v>#REF!</v>
      </c>
      <c r="HE106" t="e">
        <f>#REF!+"$Cm=!&amp;Lw"</f>
        <v>#REF!</v>
      </c>
      <c r="HF106" t="e">
        <f>#REF!+"$Cm=!&amp;Lx"</f>
        <v>#REF!</v>
      </c>
      <c r="HG106" t="e">
        <f>#REF!+"$Cm=!&amp;Ly"</f>
        <v>#REF!</v>
      </c>
      <c r="HH106" s="2" t="e">
        <f>#REF!+"$Cm=!&amp;Lz"</f>
        <v>#REF!</v>
      </c>
      <c r="HI106" t="e">
        <f>#REF!+"$Cm=!&amp;L{"</f>
        <v>#REF!</v>
      </c>
      <c r="HJ106" t="e">
        <f>#REF!+"$Cm=!&amp;L|"</f>
        <v>#REF!</v>
      </c>
      <c r="HK106" t="e">
        <f>#REF!+"$Cm=!&amp;L}"</f>
        <v>#REF!</v>
      </c>
      <c r="HL106" t="e">
        <f>#REF!+"$Cm=!&amp;L~"</f>
        <v>#REF!</v>
      </c>
      <c r="HM106" s="2" t="e">
        <f>#REF!+"$Cm=!&amp;M#"</f>
        <v>#REF!</v>
      </c>
      <c r="HN106" t="e">
        <f>#REF!+"$Cm=!&amp;M$"</f>
        <v>#REF!</v>
      </c>
      <c r="HO106" t="e">
        <f>#REF!+"$Cm=!&amp;M%"</f>
        <v>#REF!</v>
      </c>
      <c r="HP106" t="e">
        <f>#REF!+"$Cm=!&amp;M&amp;"</f>
        <v>#REF!</v>
      </c>
      <c r="HQ106" t="e">
        <f>#REF!+"$Cm=!&amp;M'"</f>
        <v>#REF!</v>
      </c>
      <c r="HR106" s="2" t="e">
        <f>#REF!+"$Cm=!&amp;M("</f>
        <v>#REF!</v>
      </c>
      <c r="HS106" t="e">
        <f>#REF!+"$Cm=!&amp;M)"</f>
        <v>#REF!</v>
      </c>
      <c r="HT106" t="e">
        <f>#REF!+"$Cm=!&amp;M."</f>
        <v>#REF!</v>
      </c>
      <c r="HU106" t="e">
        <f>#REF!+"$Cm=!&amp;M/"</f>
        <v>#REF!</v>
      </c>
      <c r="HV106" t="e">
        <f>#REF!+"$Cm=!&amp;M0"</f>
        <v>#REF!</v>
      </c>
      <c r="HW106" s="2" t="e">
        <f>#REF!+"$Cm=!&amp;M1"</f>
        <v>#REF!</v>
      </c>
      <c r="HX106" t="e">
        <f>#REF!+"$Cm=!&amp;M2"</f>
        <v>#REF!</v>
      </c>
      <c r="HY106" t="e">
        <f>#REF!+"$Cm=!&amp;M3"</f>
        <v>#REF!</v>
      </c>
      <c r="HZ106" t="e">
        <f>#REF!+"$Cm=!&amp;M4"</f>
        <v>#REF!</v>
      </c>
      <c r="IA106" t="e">
        <f>#REF!+"$Cm=!&amp;M5"</f>
        <v>#REF!</v>
      </c>
      <c r="IB106" s="2" t="e">
        <f>#REF!+"$Cm=!&amp;M6"</f>
        <v>#REF!</v>
      </c>
      <c r="IC106" t="e">
        <f>#REF!+"$Cm=!&amp;M7"</f>
        <v>#REF!</v>
      </c>
      <c r="ID106" t="e">
        <f>#REF!+"$Cm=!&amp;M8"</f>
        <v>#REF!</v>
      </c>
      <c r="IE106" t="e">
        <f>#REF!+"$Cm=!&amp;M9"</f>
        <v>#REF!</v>
      </c>
      <c r="IF106" t="e">
        <f>#REF!+"$Cm=!&amp;M:"</f>
        <v>#REF!</v>
      </c>
      <c r="IG106" s="2" t="e">
        <f>#REF!+"$Cm=!&amp;M;"</f>
        <v>#REF!</v>
      </c>
      <c r="IH106" t="e">
        <f>#REF!+"$Cm=!&amp;M&lt;"</f>
        <v>#REF!</v>
      </c>
      <c r="II106" t="e">
        <f>#REF!+"$Cm=!&amp;M="</f>
        <v>#REF!</v>
      </c>
      <c r="IJ106" t="e">
        <f>#REF!+"$Cm=!&amp;M&gt;"</f>
        <v>#REF!</v>
      </c>
      <c r="IK106" t="e">
        <f>#REF!+"$Cm=!&amp;M?"</f>
        <v>#REF!</v>
      </c>
      <c r="IL106" s="2" t="e">
        <f>#REF!+"$Cm=!&amp;M@"</f>
        <v>#REF!</v>
      </c>
      <c r="IM106" t="e">
        <f>#REF!+"$Cm=!&amp;MA"</f>
        <v>#REF!</v>
      </c>
      <c r="IN106" t="e">
        <f>#REF!+"$Cm=!&amp;MB"</f>
        <v>#REF!</v>
      </c>
      <c r="IO106" t="e">
        <f>#REF!+"$Cm=!&amp;MC"</f>
        <v>#REF!</v>
      </c>
      <c r="IP106" t="e">
        <f>#REF!+"$Cm=!&amp;MD"</f>
        <v>#REF!</v>
      </c>
      <c r="IQ106" s="2" t="e">
        <f>#REF!+"$Cm=!&amp;ME"</f>
        <v>#REF!</v>
      </c>
      <c r="IR106" t="e">
        <f>#REF!+"$Cm=!&amp;MF"</f>
        <v>#REF!</v>
      </c>
      <c r="IS106" t="e">
        <f>#REF!+"$Cm=!&amp;MG"</f>
        <v>#REF!</v>
      </c>
      <c r="IT106" t="e">
        <f>#REF!+"$Cm=!&amp;MH"</f>
        <v>#REF!</v>
      </c>
      <c r="IU106" t="e">
        <f>#REF!+"$Cm=!&amp;MI"</f>
        <v>#REF!</v>
      </c>
      <c r="IV106" s="2" t="e">
        <f>#REF!+"$Cm=!&amp;MJ"</f>
        <v>#REF!</v>
      </c>
    </row>
    <row r="107" spans="6:256">
      <c r="F107" t="e">
        <f>#REF!+"$Cm=!&amp;MK"</f>
        <v>#REF!</v>
      </c>
      <c r="G107" t="e">
        <f>#REF!+"$Cm=!&amp;ML"</f>
        <v>#REF!</v>
      </c>
      <c r="H107" t="e">
        <f>#REF!+"$Cm=!&amp;MM"</f>
        <v>#REF!</v>
      </c>
      <c r="I107" t="e">
        <f>#REF!+"$Cm=!&amp;MN"</f>
        <v>#REF!</v>
      </c>
      <c r="J107" s="2" t="e">
        <f>#REF!+"$Cm=!&amp;MO"</f>
        <v>#REF!</v>
      </c>
      <c r="K107" t="e">
        <f>#REF!+"$Cm=!&amp;MP"</f>
        <v>#REF!</v>
      </c>
      <c r="L107" t="e">
        <f>#REF!+"$Cm=!&amp;MQ"</f>
        <v>#REF!</v>
      </c>
      <c r="M107" t="e">
        <f>#REF!+"$Cm=!&amp;MR"</f>
        <v>#REF!</v>
      </c>
      <c r="N107" s="2" t="e">
        <f>#REF!+"$Cm=!&amp;MS"</f>
        <v>#REF!</v>
      </c>
      <c r="O107" t="e">
        <f>#REF!+"$Cm=!&amp;MT"</f>
        <v>#REF!</v>
      </c>
      <c r="P107" t="e">
        <f>#REF!+"$Cm=!&amp;MU"</f>
        <v>#REF!</v>
      </c>
      <c r="Q107" t="e">
        <f>#REF!+"$Cm=!&amp;MV"</f>
        <v>#REF!</v>
      </c>
      <c r="R107" s="2" t="e">
        <f>#REF!+"$Cm=!&amp;MW"</f>
        <v>#REF!</v>
      </c>
      <c r="S107" t="e">
        <f>#REF!+"$Cm=!&amp;MX"</f>
        <v>#REF!</v>
      </c>
      <c r="T107" t="e">
        <f>#REF!+"$Cm=!&amp;MY"</f>
        <v>#REF!</v>
      </c>
      <c r="U107" t="e">
        <f>#REF!+"$Cm=!&amp;MZ"</f>
        <v>#REF!</v>
      </c>
      <c r="V107" t="e">
        <f>#REF!+"$Cm=!&amp;M["</f>
        <v>#REF!</v>
      </c>
      <c r="W107" t="e">
        <f>#REF!+"$Cm=!&amp;M\"</f>
        <v>#REF!</v>
      </c>
      <c r="X107" t="e">
        <f>#REF!+"$Cm=!&amp;M]"</f>
        <v>#REF!</v>
      </c>
      <c r="Y107" t="e">
        <f>#REF!+"$Cm=!&amp;M^"</f>
        <v>#REF!</v>
      </c>
      <c r="Z107" t="e">
        <f>#REF!+"$Cm=!&amp;M_"</f>
        <v>#REF!</v>
      </c>
      <c r="AA107" t="e">
        <f>#REF!+"$Cm=!&amp;M`"</f>
        <v>#REF!</v>
      </c>
      <c r="AB107" t="e">
        <f>#REF!+"$Cm=!&amp;Ma"</f>
        <v>#REF!</v>
      </c>
      <c r="AC107" t="e">
        <f>#REF!*"$Cm=!&amp;Mb"</f>
        <v>#REF!</v>
      </c>
      <c r="AD107" t="e">
        <f>#REF!*"$Cm=!&amp;Mc"</f>
        <v>#REF!</v>
      </c>
      <c r="AE107" t="e">
        <f>#REF!*"$Cm=!&amp;Md"</f>
        <v>#REF!</v>
      </c>
      <c r="AF107" t="e">
        <f>#REF!*"$Cm=!&amp;Me"</f>
        <v>#REF!</v>
      </c>
      <c r="AG107" t="e">
        <f>#REF!*"$Cm=!&amp;Mf"</f>
        <v>#REF!</v>
      </c>
      <c r="AH107" t="e">
        <f>#REF!*"$Cm=!&amp;Mg"</f>
        <v>#REF!</v>
      </c>
      <c r="AI107" t="e">
        <f>#REF!*"$Cm=!&amp;Mh"</f>
        <v>#REF!</v>
      </c>
      <c r="AJ107" t="e">
        <f>#REF!*"$Cm=!&amp;Mi"</f>
        <v>#REF!</v>
      </c>
      <c r="AK107" t="e">
        <f>#REF!*"$Cm=!&amp;Mj"</f>
        <v>#REF!</v>
      </c>
      <c r="AL107" t="e">
        <f>#REF!*"$Cm=!&amp;Mk"</f>
        <v>#REF!</v>
      </c>
      <c r="AM107" t="e">
        <f>#REF!*"$Cm=!&amp;Ml"</f>
        <v>#REF!</v>
      </c>
      <c r="AN107" t="e">
        <f>#REF!*"$Cm=!&amp;Mm"</f>
        <v>#REF!</v>
      </c>
      <c r="AO107" t="e">
        <f>#REF!*"$Cm=!&amp;Mn"</f>
        <v>#REF!</v>
      </c>
      <c r="AP107" t="e">
        <f>#REF!*"$Cm=!&amp;Mo"</f>
        <v>#REF!</v>
      </c>
      <c r="AQ107" t="e">
        <f>#REF!*"$Cm=!&amp;Mp"</f>
        <v>#REF!</v>
      </c>
      <c r="AR107" t="e">
        <f>#REF!*"$Cm=!&amp;Mq"</f>
        <v>#REF!</v>
      </c>
      <c r="AS107" t="e">
        <f>#REF!*"$Cm=!&amp;Mr"</f>
        <v>#REF!</v>
      </c>
      <c r="AT107" t="e">
        <f>#REF!*"$Cm=!&amp;Ms"</f>
        <v>#REF!</v>
      </c>
      <c r="AU107" t="e">
        <f>#REF!*"$Cm=!&amp;Mt"</f>
        <v>#REF!</v>
      </c>
      <c r="AV107" t="e">
        <f>#REF!*"$Cm=!&amp;Mu"</f>
        <v>#REF!</v>
      </c>
      <c r="AW107" t="e">
        <f>#REF!*"$Cm=!&amp;Mv"</f>
        <v>#REF!</v>
      </c>
      <c r="AX107" t="e">
        <f>#REF!*"$Cm=!&amp;Mw"</f>
        <v>#REF!</v>
      </c>
      <c r="AY107" t="e">
        <f>#REF!*"$Cm=!&amp;Mx"</f>
        <v>#REF!</v>
      </c>
      <c r="AZ107" t="e">
        <f>#REF!*"$Cm=!&amp;My"</f>
        <v>#REF!</v>
      </c>
      <c r="BA107" t="e">
        <f>#REF!*"$Cm=!&amp;Mz"</f>
        <v>#REF!</v>
      </c>
      <c r="BB107" t="e">
        <f>#REF!*"$Cm=!&amp;M{"</f>
        <v>#REF!</v>
      </c>
      <c r="BC107" t="e">
        <f>#REF!*"$Cm=!&amp;M|"</f>
        <v>#REF!</v>
      </c>
      <c r="BD107" t="e">
        <f>#REF!*"$Cm=!&amp;M}"</f>
        <v>#REF!</v>
      </c>
      <c r="BE107" t="e">
        <f>#REF!*"$Cm=!&amp;M~"</f>
        <v>#REF!</v>
      </c>
      <c r="BF107" t="e">
        <f>#REF!*"$Cm=!&amp;N#"</f>
        <v>#REF!</v>
      </c>
      <c r="BG107" t="e">
        <f>#REF!*"$Cm=!&amp;N$"</f>
        <v>#REF!</v>
      </c>
      <c r="BH107" t="e">
        <f>#REF!*"$Cm=!&amp;N%"</f>
        <v>#REF!</v>
      </c>
      <c r="BI107" t="e">
        <f>#REF!*"$Cm=!&amp;N&amp;"</f>
        <v>#REF!</v>
      </c>
      <c r="BJ107" t="e">
        <f>#REF!*"$Cm=!&amp;N'"</f>
        <v>#REF!</v>
      </c>
      <c r="BK107" t="e">
        <f>#REF!*"$Cm=!&amp;N("</f>
        <v>#REF!</v>
      </c>
      <c r="BL107" t="e">
        <f>#REF!*"$Cm=!&amp;N)"</f>
        <v>#REF!</v>
      </c>
      <c r="BM107" t="e">
        <f>#REF!*"$Cm=!&amp;N."</f>
        <v>#REF!</v>
      </c>
      <c r="BN107" t="e">
        <f>#REF!*"$Cm=!&amp;N/"</f>
        <v>#REF!</v>
      </c>
      <c r="BO107" t="e">
        <f>#REF!*"$Cm=!&amp;N0"</f>
        <v>#REF!</v>
      </c>
      <c r="BP107" t="e">
        <f>#REF!*"$Cm=!&amp;N1"</f>
        <v>#REF!</v>
      </c>
      <c r="BQ107" t="e">
        <f>#REF!*"$Cm=!&amp;N2"</f>
        <v>#REF!</v>
      </c>
      <c r="BR107" t="e">
        <f>#REF!*"$Cm=!&amp;N3"</f>
        <v>#REF!</v>
      </c>
      <c r="BS107" t="e">
        <f>#REF!*"$Cm=!&amp;N4"</f>
        <v>#REF!</v>
      </c>
      <c r="BT107" t="e">
        <f>#REF!*"$Cm=!&amp;N5"</f>
        <v>#REF!</v>
      </c>
      <c r="BU107" t="e">
        <f>#REF!*"$Cm=!&amp;N6"</f>
        <v>#REF!</v>
      </c>
      <c r="BV107" t="e">
        <f>#REF!*"$Cm=!&amp;N7"</f>
        <v>#REF!</v>
      </c>
      <c r="BW107" t="e">
        <f>#REF!*"$Cm=!&amp;N8"</f>
        <v>#REF!</v>
      </c>
      <c r="BX107" t="e">
        <f>#REF!*"$Cm=!&amp;N9"</f>
        <v>#REF!</v>
      </c>
      <c r="BY107" t="e">
        <f>#REF!*"$Cm=!&amp;N:"</f>
        <v>#REF!</v>
      </c>
      <c r="BZ107" t="e">
        <f>#REF!*"$Cm=!&amp;N;"</f>
        <v>#REF!</v>
      </c>
      <c r="CA107" t="e">
        <f>#REF!*"$Cm=!&amp;N&lt;"</f>
        <v>#REF!</v>
      </c>
      <c r="CB107" t="e">
        <f>#REF!*"$Cm=!&amp;N="</f>
        <v>#REF!</v>
      </c>
      <c r="CC107" t="e">
        <f>#REF!*"$Cm=!&amp;N&gt;"</f>
        <v>#REF!</v>
      </c>
      <c r="CD107" t="e">
        <f>#REF!*"$Cm=!&amp;N?"</f>
        <v>#REF!</v>
      </c>
      <c r="CE107" t="e">
        <f>#REF!*"$Cm=!&amp;N@"</f>
        <v>#REF!</v>
      </c>
      <c r="CF107" t="e">
        <f>#REF!*"$Cm=!&amp;NA"</f>
        <v>#REF!</v>
      </c>
      <c r="CG107" t="e">
        <f>#REF!*"$Cm=!&amp;NB"</f>
        <v>#REF!</v>
      </c>
      <c r="CH107" t="e">
        <f>#REF!-"$Cm=!&amp;NC"</f>
        <v>#REF!</v>
      </c>
      <c r="CI107" t="e">
        <f>#REF!-"$Cm=!&amp;ND"</f>
        <v>#REF!</v>
      </c>
      <c r="CJ107" t="e">
        <f>#REF!-"$Cm=!&amp;NE"</f>
        <v>#REF!</v>
      </c>
      <c r="CK107" t="e">
        <f>#REF!-"$Cm=!&amp;NF"</f>
        <v>#REF!</v>
      </c>
      <c r="CL107" t="e">
        <f>#REF!-"$Cm=!&amp;NG"</f>
        <v>#REF!</v>
      </c>
      <c r="CM107" t="e">
        <f>#REF!-"$Cm=!&amp;NH"</f>
        <v>#REF!</v>
      </c>
      <c r="CN107" t="e">
        <f>#REF!-"$Cm=!&amp;NI"</f>
        <v>#REF!</v>
      </c>
      <c r="CO107" t="e">
        <f>#REF!-"$Cm=!&amp;NJ"</f>
        <v>#REF!</v>
      </c>
      <c r="CP107" t="e">
        <f>#REF!-"$Cm=!&amp;NK"</f>
        <v>#REF!</v>
      </c>
      <c r="CQ107" t="e">
        <f>#REF!-"$Cm=!&amp;NL"</f>
        <v>#REF!</v>
      </c>
      <c r="CR107" t="e">
        <f>#REF!-"$Cm=!&amp;NM"</f>
        <v>#REF!</v>
      </c>
      <c r="CS107" t="e">
        <f>#REF!-"$Cm=!&amp;NN"</f>
        <v>#REF!</v>
      </c>
      <c r="CT107" t="e">
        <f>#REF!-"$Cm=!&amp;NO"</f>
        <v>#REF!</v>
      </c>
      <c r="CU107" t="e">
        <f>#REF!-"$Cm=!&amp;NP"</f>
        <v>#REF!</v>
      </c>
      <c r="CV107" t="e">
        <f>#REF!-"$Cm=!&amp;NQ"</f>
        <v>#REF!</v>
      </c>
      <c r="CW107" t="e">
        <f>#REF!-"$Cm=!&amp;NR"</f>
        <v>#REF!</v>
      </c>
      <c r="CX107" t="e">
        <f>#REF!-"$Cm=!&amp;NS"</f>
        <v>#REF!</v>
      </c>
      <c r="CY107" t="e">
        <f>#REF!-"$Cm=!&amp;NT"</f>
        <v>#REF!</v>
      </c>
      <c r="CZ107" t="e">
        <f>#REF!-"$Cm=!&amp;NU"</f>
        <v>#REF!</v>
      </c>
      <c r="DA107" t="e">
        <f>#REF!-"$Cm=!&amp;NV"</f>
        <v>#REF!</v>
      </c>
      <c r="DB107" t="e">
        <f>#REF!-"$Cm=!&amp;NW"</f>
        <v>#REF!</v>
      </c>
      <c r="DC107" t="e">
        <f>#REF!-"$Cm=!&amp;NX"</f>
        <v>#REF!</v>
      </c>
      <c r="DD107" t="e">
        <f>#REF!-"$Cm=!&amp;NY"</f>
        <v>#REF!</v>
      </c>
      <c r="DE107" t="e">
        <f>#REF!-"$Cm=!&amp;NZ"</f>
        <v>#REF!</v>
      </c>
      <c r="DF107" t="e">
        <f>#REF!-"$Cm=!&amp;N["</f>
        <v>#REF!</v>
      </c>
      <c r="DG107" t="e">
        <f>#REF!-"$Cm=!&amp;N\"</f>
        <v>#REF!</v>
      </c>
      <c r="DH107" t="e">
        <f>#REF!-"$Cm=!&amp;N]"</f>
        <v>#REF!</v>
      </c>
      <c r="DI107" t="e">
        <f>#REF!-"$Cm=!&amp;N^"</f>
        <v>#REF!</v>
      </c>
      <c r="DJ107" t="e">
        <f>#REF!-"$Cm=!&amp;N_"</f>
        <v>#REF!</v>
      </c>
      <c r="DK107" t="e">
        <f>#REF!-"$Cm=!&amp;N`"</f>
        <v>#REF!</v>
      </c>
      <c r="DL107" t="e">
        <f>#REF!-"$Cm=!&amp;Na"</f>
        <v>#REF!</v>
      </c>
      <c r="DM107" t="e">
        <f>#REF!-"$Cm=!&amp;Nb"</f>
        <v>#REF!</v>
      </c>
      <c r="DN107" t="e">
        <f>#REF!-"$Cm=!&amp;Nc"</f>
        <v>#REF!</v>
      </c>
      <c r="DO107" t="e">
        <f>#REF!-"$Cm=!&amp;Nd"</f>
        <v>#REF!</v>
      </c>
      <c r="DP107" t="e">
        <f>#REF!-"$Cm=!&amp;Ne"</f>
        <v>#REF!</v>
      </c>
      <c r="DQ107" t="e">
        <f>#REF!-"$Cm=!&amp;Nf"</f>
        <v>#REF!</v>
      </c>
      <c r="DR107" t="e">
        <f>#REF!-"$Cm=!&amp;Ng"</f>
        <v>#REF!</v>
      </c>
      <c r="DS107" t="e">
        <f>#REF!-"$Cm=!&amp;Nh"</f>
        <v>#REF!</v>
      </c>
      <c r="DT107" t="e">
        <f>#REF!-"$Cm=!&amp;Ni"</f>
        <v>#REF!</v>
      </c>
      <c r="DU107" t="e">
        <f>#REF!-"$Cm=!&amp;Nj"</f>
        <v>#REF!</v>
      </c>
      <c r="DV107" t="e">
        <f>#REF!-"$Cm=!&amp;Nk"</f>
        <v>#REF!</v>
      </c>
      <c r="DW107" t="e">
        <f>#REF!-"$Cm=!&amp;Nl"</f>
        <v>#REF!</v>
      </c>
      <c r="DX107" t="e">
        <f>#REF!-"$Cm=!&amp;Nm"</f>
        <v>#REF!</v>
      </c>
      <c r="DY107" t="e">
        <f>#REF!-"$Cm=!&amp;Nn"</f>
        <v>#REF!</v>
      </c>
      <c r="DZ107" t="e">
        <f>#REF!-"$Cm=!&amp;No"</f>
        <v>#REF!</v>
      </c>
      <c r="EA107" t="e">
        <f>#REF!-"$Cm=!&amp;Np"</f>
        <v>#REF!</v>
      </c>
      <c r="EB107" t="e">
        <f>#REF!-"$Cm=!&amp;Nq"</f>
        <v>#REF!</v>
      </c>
      <c r="EC107" t="e">
        <f>#REF!-"$Cm=!&amp;Nr"</f>
        <v>#REF!</v>
      </c>
      <c r="ED107" t="e">
        <f>#REF!-"$Cm=!&amp;Ns"</f>
        <v>#REF!</v>
      </c>
      <c r="EE107" t="e">
        <f>#REF!-"$Cm=!&amp;Nt"</f>
        <v>#REF!</v>
      </c>
      <c r="EF107" t="e">
        <f>#REF!-"$Cm=!&amp;Nu"</f>
        <v>#REF!</v>
      </c>
      <c r="EG107" t="e">
        <f>#REF!-"$Cm=!&amp;Nv"</f>
        <v>#REF!</v>
      </c>
      <c r="EH107" t="e">
        <f>#REF!-"$Cm=!&amp;Nw"</f>
        <v>#REF!</v>
      </c>
      <c r="EI107" t="e">
        <f>#REF!-"$Cm=!&amp;Nx"</f>
        <v>#REF!</v>
      </c>
      <c r="EJ107" t="e">
        <f>#REF!-"$Cm=!&amp;Ny"</f>
        <v>#REF!</v>
      </c>
      <c r="EK107" t="e">
        <f>#REF!-"$Cm=!&amp;Nz"</f>
        <v>#REF!</v>
      </c>
      <c r="EL107" t="e">
        <f>#REF!-"$Cm=!&amp;N{"</f>
        <v>#REF!</v>
      </c>
      <c r="EM107" t="e">
        <f>#REF!-"$Cm=!&amp;N|"</f>
        <v>#REF!</v>
      </c>
      <c r="EN107" t="e">
        <f>#REF!-"$Cm=!&amp;N}"</f>
        <v>#REF!</v>
      </c>
      <c r="EO107" t="e">
        <f>#REF!-"$Cm=!&amp;N~"</f>
        <v>#REF!</v>
      </c>
      <c r="EP107" t="e">
        <f>#REF!-"$Cm=!&amp;O#"</f>
        <v>#REF!</v>
      </c>
      <c r="EQ107" t="e">
        <f>#REF!-"$Cm=!&amp;O$"</f>
        <v>#REF!</v>
      </c>
      <c r="ER107" t="e">
        <f>#REF!-"$Cm=!&amp;O%"</f>
        <v>#REF!</v>
      </c>
      <c r="ES107" t="e">
        <f>#REF!-"$Cm=!&amp;O&amp;"</f>
        <v>#REF!</v>
      </c>
      <c r="ET107" t="e">
        <f>#REF!-"$Cm=!&amp;O'"</f>
        <v>#REF!</v>
      </c>
      <c r="EU107" t="e">
        <f>#REF!-"$Cm=!&amp;O("</f>
        <v>#REF!</v>
      </c>
      <c r="EV107" t="e">
        <f>#REF!-"$Cm=!&amp;O)"</f>
        <v>#REF!</v>
      </c>
      <c r="EW107" t="e">
        <f>#REF!-"$Cm=!&amp;O."</f>
        <v>#REF!</v>
      </c>
      <c r="EX107" t="e">
        <f>#REF!-"$Cm=!&amp;O/"</f>
        <v>#REF!</v>
      </c>
      <c r="EY107" t="e">
        <f>#REF!-"$Cm=!&amp;O0"</f>
        <v>#REF!</v>
      </c>
      <c r="EZ107" t="e">
        <f>#REF!-"$Cm=!&amp;O1"</f>
        <v>#REF!</v>
      </c>
      <c r="FA107" t="e">
        <f>#REF!-"$Cm=!&amp;O2"</f>
        <v>#REF!</v>
      </c>
      <c r="FB107" t="e">
        <f>#REF!-"$Cm=!&amp;O3"</f>
        <v>#REF!</v>
      </c>
      <c r="FC107" t="e">
        <f>#REF!-"$Cm=!&amp;O4"</f>
        <v>#REF!</v>
      </c>
      <c r="FD107" t="e">
        <f>#REF!-"$Cm=!&amp;O5"</f>
        <v>#REF!</v>
      </c>
      <c r="FE107" t="e">
        <f>#REF!-"$Cm=!&amp;O6"</f>
        <v>#REF!</v>
      </c>
      <c r="FF107" t="e">
        <f>#REF!-"$Cm=!&amp;O7"</f>
        <v>#REF!</v>
      </c>
      <c r="FG107" t="e">
        <f>#REF!-"$Cm=!&amp;O8"</f>
        <v>#REF!</v>
      </c>
      <c r="FH107" t="e">
        <f>#REF!-"$Cm=!&amp;O9"</f>
        <v>#REF!</v>
      </c>
      <c r="FI107" t="e">
        <f>#REF!-"$Cm=!&amp;O:"</f>
        <v>#REF!</v>
      </c>
      <c r="FJ107" t="e">
        <f>#REF!-"$Cm=!&amp;O;"</f>
        <v>#REF!</v>
      </c>
      <c r="FK107" t="e">
        <f>#REF!-"$Cm=!&amp;O&lt;"</f>
        <v>#REF!</v>
      </c>
      <c r="FL107" t="e">
        <f>#REF!-"$Cm=!&amp;O="</f>
        <v>#REF!</v>
      </c>
      <c r="FM107" t="e">
        <f>#REF!-"$Cm=!&amp;O&gt;"</f>
        <v>#REF!</v>
      </c>
      <c r="FN107" t="e">
        <f>#REF!-"$Cm=!&amp;O?"</f>
        <v>#REF!</v>
      </c>
      <c r="FO107" t="e">
        <f>#REF!-"$Cm=!&amp;O@"</f>
        <v>#REF!</v>
      </c>
      <c r="FP107" t="e">
        <f>#REF!-"$Cm=!&amp;OA"</f>
        <v>#REF!</v>
      </c>
      <c r="FQ107" t="e">
        <f>#REF!-"$Cm=!&amp;OB"</f>
        <v>#REF!</v>
      </c>
      <c r="FR107" t="e">
        <f>#REF!-"$Cm=!&amp;OC"</f>
        <v>#REF!</v>
      </c>
      <c r="FS107" t="e">
        <f>#REF!-"$Cm=!&amp;OD"</f>
        <v>#REF!</v>
      </c>
      <c r="FT107" t="e">
        <f>#REF!-"$Cm=!&amp;OE"</f>
        <v>#REF!</v>
      </c>
      <c r="FU107" t="e">
        <f>#REF!-"$Cm=!&amp;OF"</f>
        <v>#REF!</v>
      </c>
      <c r="FV107" t="e">
        <f>#REF!-"$Cm=!&amp;OG"</f>
        <v>#REF!</v>
      </c>
      <c r="FW107" t="e">
        <f>#REF!-"$Cm=!&amp;OH"</f>
        <v>#REF!</v>
      </c>
      <c r="FX107" t="e">
        <f>#REF!-"$Cm=!&amp;OI"</f>
        <v>#REF!</v>
      </c>
      <c r="FY107" t="e">
        <f>#REF!-"$Cm=!&amp;OJ"</f>
        <v>#REF!</v>
      </c>
      <c r="FZ107" t="e">
        <f>#REF!-"$Cm=!&amp;OK"</f>
        <v>#REF!</v>
      </c>
      <c r="GA107" t="e">
        <f>#REF!-"$Cm=!&amp;OL"</f>
        <v>#REF!</v>
      </c>
      <c r="GB107" t="e">
        <f>#REF!-"$Cm=!&amp;OM"</f>
        <v>#REF!</v>
      </c>
      <c r="GC107" t="e">
        <f>#REF!-"$Cm=!&amp;ON"</f>
        <v>#REF!</v>
      </c>
      <c r="GD107" t="e">
        <f>#REF!-"$Cm=!&amp;OO"</f>
        <v>#REF!</v>
      </c>
      <c r="GE107" t="e">
        <f>#REF!-"$Cm=!&amp;OP"</f>
        <v>#REF!</v>
      </c>
      <c r="GF107" t="e">
        <f>#REF!-"$Cm=!&amp;OQ"</f>
        <v>#REF!</v>
      </c>
      <c r="GG107" t="e">
        <f>#REF!-"$Cm=!&amp;OR"</f>
        <v>#REF!</v>
      </c>
      <c r="GH107" t="e">
        <f>#REF!-"$Cm=!&amp;OS"</f>
        <v>#REF!</v>
      </c>
      <c r="GI107" t="e">
        <f>#REF!-"$Cm=!&amp;OT"</f>
        <v>#REF!</v>
      </c>
      <c r="GJ107" t="e">
        <f>#REF!-"$Cm=!&amp;OU"</f>
        <v>#REF!</v>
      </c>
      <c r="GK107" t="e">
        <f>#REF!-"$Cm=!&amp;OV"</f>
        <v>#REF!</v>
      </c>
      <c r="GL107" t="e">
        <f>#REF!-"$Cm=!&amp;OW"</f>
        <v>#REF!</v>
      </c>
      <c r="GM107" t="e">
        <f>#REF!-"$Cm=!&amp;OX"</f>
        <v>#REF!</v>
      </c>
      <c r="GN107" t="e">
        <f>#REF!-"$Cm=!&amp;OY"</f>
        <v>#REF!</v>
      </c>
      <c r="GO107" t="e">
        <f>#REF!-"$Cm=!&amp;OZ"</f>
        <v>#REF!</v>
      </c>
      <c r="GP107" t="e">
        <f>#REF!-"$Cm=!&amp;O["</f>
        <v>#REF!</v>
      </c>
      <c r="GQ107" t="e">
        <f>#REF!-"$Cm=!&amp;O\"</f>
        <v>#REF!</v>
      </c>
      <c r="GR107" t="e">
        <f>#REF!-"$Cm=!&amp;O]"</f>
        <v>#REF!</v>
      </c>
      <c r="GS107" t="e">
        <f>#REF!-"$Cm=!&amp;O^"</f>
        <v>#REF!</v>
      </c>
      <c r="GT107" t="e">
        <f>#REF!-"$Cm=!&amp;O_"</f>
        <v>#REF!</v>
      </c>
      <c r="GU107" t="e">
        <f>#REF!-"$Cm=!&amp;O`"</f>
        <v>#REF!</v>
      </c>
      <c r="GV107" t="e">
        <f>#REF!-"$Cm=!&amp;Oa"</f>
        <v>#REF!</v>
      </c>
      <c r="GW107" t="e">
        <f>#REF!-"$Cm=!&amp;Ob"</f>
        <v>#REF!</v>
      </c>
      <c r="GX107" t="e">
        <f>#REF!-"$Cm=!&amp;Oc"</f>
        <v>#REF!</v>
      </c>
      <c r="GY107" t="e">
        <f>#REF!-"$Cm=!&amp;Od"</f>
        <v>#REF!</v>
      </c>
      <c r="GZ107" t="e">
        <f>#REF!-"$Cm=!&amp;Oe"</f>
        <v>#REF!</v>
      </c>
      <c r="HA107" t="e">
        <f>#REF!-"$Cm=!&amp;Of"</f>
        <v>#REF!</v>
      </c>
      <c r="HB107" t="e">
        <f>#REF!-"$Cm=!&amp;Og"</f>
        <v>#REF!</v>
      </c>
      <c r="HC107" t="e">
        <f>#REF!-"$Cm=!&amp;Oh"</f>
        <v>#REF!</v>
      </c>
      <c r="HD107" t="e">
        <f>#REF!-"$Cm=!&amp;Oi"</f>
        <v>#REF!</v>
      </c>
      <c r="HE107" t="e">
        <f>#REF!-"$Cm=!&amp;Oj"</f>
        <v>#REF!</v>
      </c>
      <c r="HF107" t="e">
        <f>#REF!-"$Cm=!&amp;Ok"</f>
        <v>#REF!</v>
      </c>
      <c r="HG107" t="e">
        <f>#REF!-"$Cm=!&amp;Ol"</f>
        <v>#REF!</v>
      </c>
      <c r="HH107" t="e">
        <f>#REF!-"$Cm=!&amp;Om"</f>
        <v>#REF!</v>
      </c>
      <c r="HI107" t="e">
        <f>#REF!-"$Cm=!&amp;On"</f>
        <v>#REF!</v>
      </c>
      <c r="HJ107" t="e">
        <f>#REF!-"$Cm=!&amp;Oo"</f>
        <v>#REF!</v>
      </c>
      <c r="HK107" t="e">
        <f>#REF!-"$Cm=!&amp;Op"</f>
        <v>#REF!</v>
      </c>
      <c r="HL107" t="e">
        <f>#REF!-"$Cm=!&amp;Oq"</f>
        <v>#REF!</v>
      </c>
      <c r="HM107" t="e">
        <f>#REF!-"$Cm=!&amp;Or"</f>
        <v>#REF!</v>
      </c>
      <c r="HN107" t="e">
        <f>#REF!-"$Cm=!&amp;Os"</f>
        <v>#REF!</v>
      </c>
      <c r="HO107" t="e">
        <f>#REF!-"$Cm=!&amp;Ot"</f>
        <v>#REF!</v>
      </c>
      <c r="HP107" t="e">
        <f>#REF!-"$Cm=!&amp;Ou"</f>
        <v>#REF!</v>
      </c>
      <c r="HQ107" t="e">
        <f>#REF!-"$Cm=!&amp;Ov"</f>
        <v>#REF!</v>
      </c>
      <c r="HR107" t="e">
        <f>#REF!-"$Cm=!&amp;Ow"</f>
        <v>#REF!</v>
      </c>
      <c r="HS107" t="e">
        <f>#REF!-"$Cm=!&amp;Ox"</f>
        <v>#REF!</v>
      </c>
      <c r="HT107" t="e">
        <f>#REF!-"$Cm=!&amp;Oy"</f>
        <v>#REF!</v>
      </c>
      <c r="HU107" t="e">
        <f>#REF!-"$Cm=!&amp;Oz"</f>
        <v>#REF!</v>
      </c>
      <c r="HV107" t="e">
        <f>#REF!-"$Cm=!&amp;O{"</f>
        <v>#REF!</v>
      </c>
      <c r="HW107" t="e">
        <f>#REF!-"$Cm=!&amp;O|"</f>
        <v>#REF!</v>
      </c>
      <c r="HX107" t="e">
        <f>#REF!-"$Cm=!&amp;O}"</f>
        <v>#REF!</v>
      </c>
      <c r="HY107" t="e">
        <f>#REF!-"$Cm=!&amp;O~"</f>
        <v>#REF!</v>
      </c>
      <c r="HZ107" t="e">
        <f>#REF!-"$Cm=!&amp;P#"</f>
        <v>#REF!</v>
      </c>
      <c r="IA107" t="e">
        <f>#REF!-"$Cm=!&amp;P$"</f>
        <v>#REF!</v>
      </c>
      <c r="IB107" t="e">
        <f>#REF!-"$Cm=!&amp;P%"</f>
        <v>#REF!</v>
      </c>
      <c r="IC107" t="e">
        <f>#REF!-"$Cm=!&amp;P&amp;"</f>
        <v>#REF!</v>
      </c>
      <c r="ID107" t="e">
        <f>#REF!-"$Cm=!&amp;P'"</f>
        <v>#REF!</v>
      </c>
      <c r="IE107" t="e">
        <f>#REF!-"$Cm=!&amp;P("</f>
        <v>#REF!</v>
      </c>
      <c r="IF107" t="e">
        <f>#REF!-"$Cm=!&amp;P)"</f>
        <v>#REF!</v>
      </c>
      <c r="IG107" t="e">
        <f>#REF!-"$Cm=!&amp;P."</f>
        <v>#REF!</v>
      </c>
      <c r="IH107" t="e">
        <f>#REF!-"$Cm=!&amp;P/"</f>
        <v>#REF!</v>
      </c>
      <c r="II107" t="e">
        <f>#REF!-"$Cm=!&amp;P0"</f>
        <v>#REF!</v>
      </c>
      <c r="IJ107" t="e">
        <f>#REF!-"$Cm=!&amp;P1"</f>
        <v>#REF!</v>
      </c>
      <c r="IK107" t="e">
        <f>#REF!-"$Cm=!&amp;P2"</f>
        <v>#REF!</v>
      </c>
      <c r="IL107" t="e">
        <f>#REF!-"$Cm=!&amp;P3"</f>
        <v>#REF!</v>
      </c>
      <c r="IM107" t="e">
        <f>#REF!-"$Cm=!&amp;P4"</f>
        <v>#REF!</v>
      </c>
      <c r="IN107" t="e">
        <f>#REF!-"$Cm=!&amp;P5"</f>
        <v>#REF!</v>
      </c>
      <c r="IO107" t="e">
        <f>#REF!-"$Cm=!&amp;P6"</f>
        <v>#REF!</v>
      </c>
      <c r="IP107" t="e">
        <f>#REF!-"$Cm=!&amp;P7"</f>
        <v>#REF!</v>
      </c>
      <c r="IQ107" t="e">
        <f>#REF!-"$Cm=!&amp;P8"</f>
        <v>#REF!</v>
      </c>
      <c r="IR107" t="e">
        <f>#REF!-"$Cm=!&amp;P9"</f>
        <v>#REF!</v>
      </c>
      <c r="IS107" t="e">
        <f>#REF!-"$Cm=!&amp;P:"</f>
        <v>#REF!</v>
      </c>
      <c r="IT107" t="e">
        <f>#REF!-"$Cm=!&amp;P;"</f>
        <v>#REF!</v>
      </c>
      <c r="IU107" t="e">
        <f>#REF!-"$Cm=!&amp;P&lt;"</f>
        <v>#REF!</v>
      </c>
      <c r="IV107" t="e">
        <f>#REF!-"$Cm=!&amp;P="</f>
        <v>#REF!</v>
      </c>
    </row>
    <row r="108" spans="6:256">
      <c r="F108" t="e">
        <f>#REF!-"$Cm=!&amp;P&gt;"</f>
        <v>#REF!</v>
      </c>
      <c r="G108" t="e">
        <f>#REF!-"$Cm=!&amp;P?"</f>
        <v>#REF!</v>
      </c>
      <c r="H108" t="e">
        <f>#REF!-"$Cm=!&amp;P@"</f>
        <v>#REF!</v>
      </c>
      <c r="I108" t="e">
        <f>#REF!-"$Cm=!&amp;PA"</f>
        <v>#REF!</v>
      </c>
      <c r="J108" t="e">
        <f>#REF!-"$Cm=!&amp;PB"</f>
        <v>#REF!</v>
      </c>
      <c r="K108" t="e">
        <f>#REF!-"$Cm=!&amp;PC"</f>
        <v>#REF!</v>
      </c>
      <c r="L108" t="e">
        <f>#REF!-"$Cm=!&amp;PD"</f>
        <v>#REF!</v>
      </c>
      <c r="M108" t="e">
        <f>#REF!-"$Cm=!&amp;PE"</f>
        <v>#REF!</v>
      </c>
      <c r="N108" t="e">
        <f>#REF!-"$Cm=!&amp;PF"</f>
        <v>#REF!</v>
      </c>
      <c r="O108" t="e">
        <f>#REF!-"$Cm=!&amp;PG"</f>
        <v>#REF!</v>
      </c>
      <c r="P108" t="e">
        <f>#REF!-"$Cm=!&amp;PH"</f>
        <v>#REF!</v>
      </c>
      <c r="Q108" t="e">
        <f>#REF!-"$Cm=!&amp;PI"</f>
        <v>#REF!</v>
      </c>
      <c r="R108" t="e">
        <f>#REF!-"$Cm=!&amp;PJ"</f>
        <v>#REF!</v>
      </c>
      <c r="S108" t="e">
        <f>#REF!-"$Cm=!&amp;PK"</f>
        <v>#REF!</v>
      </c>
      <c r="T108" t="e">
        <f>#REF!-"$Cm=!&amp;PL"</f>
        <v>#REF!</v>
      </c>
      <c r="U108" t="e">
        <f>#REF!-"$Cm=!&amp;PM"</f>
        <v>#REF!</v>
      </c>
      <c r="V108" t="e">
        <f>#REF!-"$Cm=!&amp;PN"</f>
        <v>#REF!</v>
      </c>
      <c r="W108" t="e">
        <f>#REF!-"$Cm=!&amp;PO"</f>
        <v>#REF!</v>
      </c>
      <c r="X108" t="e">
        <f>#REF!-"$Cm=!&amp;PP"</f>
        <v>#REF!</v>
      </c>
      <c r="Y108" t="e">
        <f>#REF!-"$Cm=!&amp;PQ"</f>
        <v>#REF!</v>
      </c>
      <c r="Z108" t="e">
        <f>#REF!-"$Cm=!&amp;PR"</f>
        <v>#REF!</v>
      </c>
      <c r="AA108" t="e">
        <f>#REF!-"$Cm=!&amp;PS"</f>
        <v>#REF!</v>
      </c>
      <c r="AB108" t="e">
        <f>#REF!-"$Cm=!&amp;PT"</f>
        <v>#REF!</v>
      </c>
      <c r="AC108" t="e">
        <f>#REF!-"$Cm=!&amp;PU"</f>
        <v>#REF!</v>
      </c>
      <c r="AD108" t="e">
        <f>#REF!-"$Cm=!&amp;PV"</f>
        <v>#REF!</v>
      </c>
      <c r="AE108" t="e">
        <f>#REF!-"$Cm=!&amp;PW"</f>
        <v>#REF!</v>
      </c>
      <c r="AF108" t="e">
        <f>#REF!-"$Cm=!&amp;PX"</f>
        <v>#REF!</v>
      </c>
      <c r="AG108" t="e">
        <f>#REF!-"$Cm=!&amp;PY"</f>
        <v>#REF!</v>
      </c>
      <c r="AH108" t="e">
        <f>#REF!-"$Cm=!&amp;PZ"</f>
        <v>#REF!</v>
      </c>
      <c r="AI108" t="e">
        <f>#REF!-"$Cm=!&amp;P["</f>
        <v>#REF!</v>
      </c>
      <c r="AJ108" t="e">
        <f>#REF!-"$Cm=!&amp;P\"</f>
        <v>#REF!</v>
      </c>
      <c r="AK108" t="e">
        <f>#REF!-"$Cm=!&amp;P]"</f>
        <v>#REF!</v>
      </c>
      <c r="AL108" t="e">
        <f>#REF!-"$Cm=!&amp;P^"</f>
        <v>#REF!</v>
      </c>
      <c r="AM108" t="e">
        <f>#REF!-"$Cm=!&amp;P_"</f>
        <v>#REF!</v>
      </c>
      <c r="AN108" t="e">
        <f>#REF!-"$Cm=!&amp;P`"</f>
        <v>#REF!</v>
      </c>
      <c r="AO108" t="e">
        <f>#REF!-"$Cm=!&amp;Pa"</f>
        <v>#REF!</v>
      </c>
      <c r="AP108" t="e">
        <f>#REF!-"$Cm=!&amp;Pb"</f>
        <v>#REF!</v>
      </c>
      <c r="AQ108" t="e">
        <f>#REF!-"$Cm=!&amp;Pc"</f>
        <v>#REF!</v>
      </c>
      <c r="AR108" t="e">
        <f>#REF!-"$Cm=!&amp;Pd"</f>
        <v>#REF!</v>
      </c>
      <c r="AS108" t="e">
        <f>#REF!-"$Cm=!&amp;Pe"</f>
        <v>#REF!</v>
      </c>
      <c r="AT108" t="e">
        <f>#REF!-"$Cm=!&amp;Pf"</f>
        <v>#REF!</v>
      </c>
      <c r="AU108" t="e">
        <f>#REF!-"$Cm=!&amp;Pg"</f>
        <v>#REF!</v>
      </c>
      <c r="AV108" t="e">
        <f>#REF!-"$Cm=!&amp;Ph"</f>
        <v>#REF!</v>
      </c>
      <c r="AW108" t="e">
        <f>#REF!-"$Cm=!&amp;Pi"</f>
        <v>#REF!</v>
      </c>
      <c r="AX108" t="e">
        <f>#REF!-"$Cm=!&amp;Pj"</f>
        <v>#REF!</v>
      </c>
      <c r="AY108" t="e">
        <f>#REF!-"$Cm=!&amp;Pk"</f>
        <v>#REF!</v>
      </c>
      <c r="AZ108" t="e">
        <f>#REF!-"$Cm=!&amp;Pl"</f>
        <v>#REF!</v>
      </c>
      <c r="BA108" t="e">
        <f>#REF!-"$Cm=!&amp;Pm"</f>
        <v>#REF!</v>
      </c>
      <c r="BB108" t="e">
        <f>#REF!-"$Cm=!&amp;Pn"</f>
        <v>#REF!</v>
      </c>
      <c r="BC108" t="e">
        <f>#REF!-"$Cm=!&amp;Po"</f>
        <v>#REF!</v>
      </c>
      <c r="BD108" t="e">
        <f>#REF!-"$Cm=!&amp;Pp"</f>
        <v>#REF!</v>
      </c>
      <c r="BE108" t="e">
        <f>#REF!-"$Cm=!&amp;Pq"</f>
        <v>#REF!</v>
      </c>
      <c r="BF108" t="e">
        <f>#REF!-"$Cm=!&amp;Pr"</f>
        <v>#REF!</v>
      </c>
      <c r="BG108" t="e">
        <f>#REF!-"$Cm=!&amp;Ps"</f>
        <v>#REF!</v>
      </c>
      <c r="BH108" t="e">
        <f>#REF!-"$Cm=!&amp;Pt"</f>
        <v>#REF!</v>
      </c>
      <c r="BI108" t="e">
        <f>#REF!-"$Cm=!&amp;Pu"</f>
        <v>#REF!</v>
      </c>
      <c r="BJ108" t="e">
        <f>#REF!-"$Cm=!&amp;Pv"</f>
        <v>#REF!</v>
      </c>
      <c r="BK108" t="e">
        <f>#REF!+"$Cm=!&amp;Pw"</f>
        <v>#REF!</v>
      </c>
      <c r="BL108" t="e">
        <f>#REF!+"$Cm=!&amp;Px"</f>
        <v>#REF!</v>
      </c>
      <c r="BM108" t="e">
        <f>#REF!+"$Cm=!&amp;Py"</f>
        <v>#REF!</v>
      </c>
      <c r="BN108" t="e">
        <f>#REF!+"$Cm=!&amp;Pz"</f>
        <v>#REF!</v>
      </c>
      <c r="BO108" t="e">
        <f>#REF!+"$Cm=!&amp;P{"</f>
        <v>#REF!</v>
      </c>
      <c r="BP108" t="e">
        <f>#REF!+"$Cm=!&amp;P|"</f>
        <v>#REF!</v>
      </c>
      <c r="BQ108" t="e">
        <f>#REF!+"$Cm=!&amp;P}"</f>
        <v>#REF!</v>
      </c>
      <c r="BR108" t="e">
        <f>#REF!+"$Cm=!&amp;P~"</f>
        <v>#REF!</v>
      </c>
      <c r="BS108" t="e">
        <f>#REF!+"$Cm=!&amp;Q#"</f>
        <v>#REF!</v>
      </c>
      <c r="BT108" t="e">
        <f>#REF!+"$Cm=!&amp;Q$"</f>
        <v>#REF!</v>
      </c>
      <c r="BU108" t="e">
        <f>#REF!+"$Cm=!&amp;Q%"</f>
        <v>#REF!</v>
      </c>
      <c r="BV108" t="e">
        <f>#REF!+"$Cm=!&amp;Q&amp;"</f>
        <v>#REF!</v>
      </c>
      <c r="BW108" t="e">
        <f>#REF!+"$Cm=!&amp;Q'"</f>
        <v>#REF!</v>
      </c>
      <c r="BX108" t="e">
        <f>#REF!+"$Cm=!&amp;Q("</f>
        <v>#REF!</v>
      </c>
      <c r="BY108" t="e">
        <f>#REF!+"$Cm=!&amp;Q)"</f>
        <v>#REF!</v>
      </c>
      <c r="BZ108" t="e">
        <f>#REF!+"$Cm=!&amp;Q."</f>
        <v>#REF!</v>
      </c>
      <c r="CA108" t="e">
        <f>#REF!+"$Cm=!&amp;Q/"</f>
        <v>#REF!</v>
      </c>
      <c r="CB108" t="e">
        <f>#REF!+"$Cm=!&amp;Q0"</f>
        <v>#REF!</v>
      </c>
      <c r="CC108" t="e">
        <f>#REF!+"$Cm=!&amp;Q1"</f>
        <v>#REF!</v>
      </c>
      <c r="CD108" t="e">
        <f>#REF!+"$Cm=!&amp;Q2"</f>
        <v>#REF!</v>
      </c>
      <c r="CE108" t="e">
        <f>#REF!+"$Cm=!&amp;Q3"</f>
        <v>#REF!</v>
      </c>
      <c r="CF108" t="e">
        <f>#REF!+"$Cm=!&amp;Q4"</f>
        <v>#REF!</v>
      </c>
      <c r="CG108" t="e">
        <f>#REF!+"$Cm=!&amp;Q5"</f>
        <v>#REF!</v>
      </c>
      <c r="CH108" t="e">
        <f>#REF!+"$Cm=!&amp;Q6"</f>
        <v>#REF!</v>
      </c>
      <c r="CI108" t="e">
        <f>#REF!+"$Cm=!&amp;Q7"</f>
        <v>#REF!</v>
      </c>
      <c r="CJ108" t="e">
        <f>#REF!+"$Cm=!&amp;Q8"</f>
        <v>#REF!</v>
      </c>
      <c r="CK108" t="e">
        <f>#REF!+"$Cm=!&amp;Q9"</f>
        <v>#REF!</v>
      </c>
      <c r="CL108" t="e">
        <f>#REF!+"$Cm=!&amp;Q:"</f>
        <v>#REF!</v>
      </c>
      <c r="CM108" t="e">
        <f>#REF!+"$Cm=!&amp;Q;"</f>
        <v>#REF!</v>
      </c>
      <c r="CN108" t="e">
        <f>#REF!+"$Cm=!&amp;Q&lt;"</f>
        <v>#REF!</v>
      </c>
      <c r="CO108" t="e">
        <f>#REF!+"$Cm=!&amp;Q="</f>
        <v>#REF!</v>
      </c>
      <c r="CP108" t="e">
        <f>#REF!+"$Cm=!&amp;Q&gt;"</f>
        <v>#REF!</v>
      </c>
      <c r="CQ108" t="e">
        <f>#REF!+"$Cm=!&amp;Q?"</f>
        <v>#REF!</v>
      </c>
      <c r="CR108" t="e">
        <f>#REF!+"$Cm=!&amp;Q@"</f>
        <v>#REF!</v>
      </c>
      <c r="CS108" t="e">
        <f>#REF!+"$Cm=!&amp;QA"</f>
        <v>#REF!</v>
      </c>
      <c r="CT108" t="e">
        <f>#REF!+"$Cm=!&amp;QB"</f>
        <v>#REF!</v>
      </c>
      <c r="CU108" t="e">
        <f>#REF!+"$Cm=!&amp;QC"</f>
        <v>#REF!</v>
      </c>
      <c r="CV108" t="e">
        <f>#REF!+"$Cm=!&amp;QD"</f>
        <v>#REF!</v>
      </c>
      <c r="CW108" t="e">
        <f>#REF!+"$Cm=!&amp;QE"</f>
        <v>#REF!</v>
      </c>
      <c r="CX108" t="e">
        <f>#REF!+"$Cm=!&amp;QF"</f>
        <v>#REF!</v>
      </c>
      <c r="CY108" s="2" t="e">
        <f>#REF!+"$Cm=!&amp;QG"</f>
        <v>#REF!</v>
      </c>
      <c r="CZ108" t="e">
        <f>#REF!+"$Cm=!&amp;QH"</f>
        <v>#REF!</v>
      </c>
      <c r="DA108" t="e">
        <f>#REF!+"$Cm=!&amp;QI"</f>
        <v>#REF!</v>
      </c>
      <c r="DB108" t="e">
        <f>#REF!+"$Cm=!&amp;QJ"</f>
        <v>#REF!</v>
      </c>
      <c r="DC108" t="e">
        <f>#REF!+"$Cm=!&amp;QK"</f>
        <v>#REF!</v>
      </c>
      <c r="DD108" t="e">
        <f>#REF!+"$Cm=!&amp;QL"</f>
        <v>#REF!</v>
      </c>
      <c r="DE108" s="2" t="e">
        <f>#REF!+"$Cm=!&amp;QM"</f>
        <v>#REF!</v>
      </c>
      <c r="DF108" t="e">
        <f>#REF!+"$Cm=!&amp;QN"</f>
        <v>#REF!</v>
      </c>
      <c r="DG108" t="e">
        <f>#REF!+"$Cm=!&amp;QO"</f>
        <v>#REF!</v>
      </c>
      <c r="DH108" t="e">
        <f>#REF!+"$Cm=!&amp;QP"</f>
        <v>#REF!</v>
      </c>
      <c r="DI108" t="e">
        <f>#REF!+"$Cm=!&amp;QQ"</f>
        <v>#REF!</v>
      </c>
      <c r="DJ108" t="e">
        <f>#REF!+"$Cm=!&amp;QR"</f>
        <v>#REF!</v>
      </c>
      <c r="DK108" s="2" t="e">
        <f>#REF!+"$Cm=!&amp;QS"</f>
        <v>#REF!</v>
      </c>
      <c r="DL108" t="e">
        <f>#REF!+"$Cm=!&amp;QT"</f>
        <v>#REF!</v>
      </c>
      <c r="DM108" t="e">
        <f>#REF!+"$Cm=!&amp;QU"</f>
        <v>#REF!</v>
      </c>
      <c r="DN108" t="e">
        <f>#REF!+"$Cm=!&amp;QV"</f>
        <v>#REF!</v>
      </c>
      <c r="DO108" t="e">
        <f>#REF!+"$Cm=!&amp;QW"</f>
        <v>#REF!</v>
      </c>
      <c r="DP108" t="e">
        <f>#REF!+"$Cm=!&amp;QX"</f>
        <v>#REF!</v>
      </c>
      <c r="DQ108" s="2" t="e">
        <f>#REF!+"$Cm=!&amp;QY"</f>
        <v>#REF!</v>
      </c>
      <c r="DR108" t="e">
        <f>#REF!+"$Cm=!&amp;QZ"</f>
        <v>#REF!</v>
      </c>
      <c r="DS108" t="e">
        <f>#REF!+"$Cm=!&amp;Q["</f>
        <v>#REF!</v>
      </c>
      <c r="DT108" t="e">
        <f>#REF!+"$Cm=!&amp;Q\"</f>
        <v>#REF!</v>
      </c>
      <c r="DU108" t="e">
        <f>#REF!+"$Cm=!&amp;Q]"</f>
        <v>#REF!</v>
      </c>
      <c r="DV108" t="e">
        <f>#REF!+"$Cm=!&amp;Q^"</f>
        <v>#REF!</v>
      </c>
      <c r="DW108" s="2" t="e">
        <f>#REF!+"$Cm=!&amp;Q_"</f>
        <v>#REF!</v>
      </c>
      <c r="DX108" t="e">
        <f>#REF!+"$Cm=!&amp;Q`"</f>
        <v>#REF!</v>
      </c>
      <c r="DY108" t="e">
        <f>#REF!+"$Cm=!&amp;Qa"</f>
        <v>#REF!</v>
      </c>
      <c r="DZ108" t="e">
        <f>#REF!+"$Cm=!&amp;Qb"</f>
        <v>#REF!</v>
      </c>
      <c r="EA108" t="e">
        <f>#REF!+"$Cm=!&amp;Qc"</f>
        <v>#REF!</v>
      </c>
      <c r="EB108" t="e">
        <f>#REF!+"$Cm=!&amp;Qd"</f>
        <v>#REF!</v>
      </c>
      <c r="EC108" s="2" t="e">
        <f>#REF!+"$Cm=!&amp;Qe"</f>
        <v>#REF!</v>
      </c>
      <c r="ED108" t="e">
        <f>#REF!+"$Cm=!&amp;Qf"</f>
        <v>#REF!</v>
      </c>
      <c r="EE108" t="e">
        <f>#REF!+"$Cm=!&amp;Qg"</f>
        <v>#REF!</v>
      </c>
      <c r="EF108" t="e">
        <f>#REF!+"$Cm=!&amp;Qh"</f>
        <v>#REF!</v>
      </c>
      <c r="EG108" t="e">
        <f>#REF!+"$Cm=!&amp;Qi"</f>
        <v>#REF!</v>
      </c>
      <c r="EH108" t="e">
        <f>#REF!+"$Cm=!&amp;Qj"</f>
        <v>#REF!</v>
      </c>
      <c r="EI108" s="2" t="e">
        <f>#REF!+"$Cm=!&amp;Qk"</f>
        <v>#REF!</v>
      </c>
      <c r="EJ108" t="e">
        <f>#REF!+"$Cm=!&amp;Ql"</f>
        <v>#REF!</v>
      </c>
      <c r="EK108" t="e">
        <f>#REF!+"$Cm=!&amp;Qm"</f>
        <v>#REF!</v>
      </c>
      <c r="EL108" t="e">
        <f>#REF!+"$Cm=!&amp;Qn"</f>
        <v>#REF!</v>
      </c>
      <c r="EM108" t="e">
        <f>#REF!+"$Cm=!&amp;Qo"</f>
        <v>#REF!</v>
      </c>
      <c r="EN108" t="e">
        <f>#REF!+"$Cm=!&amp;Qp"</f>
        <v>#REF!</v>
      </c>
      <c r="EO108" s="2" t="e">
        <f>#REF!+"$Cm=!&amp;Qq"</f>
        <v>#REF!</v>
      </c>
      <c r="EP108" t="e">
        <f>#REF!+"$Cm=!&amp;Qr"</f>
        <v>#REF!</v>
      </c>
      <c r="EQ108" t="e">
        <f>#REF!+"$Cm=!&amp;Qs"</f>
        <v>#REF!</v>
      </c>
      <c r="ER108" t="e">
        <f>#REF!+"$Cm=!&amp;Qt"</f>
        <v>#REF!</v>
      </c>
      <c r="ES108" t="e">
        <f>#REF!+"$Cm=!&amp;Qu"</f>
        <v>#REF!</v>
      </c>
      <c r="ET108" t="e">
        <f>#REF!+"$Cm=!&amp;Qv"</f>
        <v>#REF!</v>
      </c>
      <c r="EU108" s="2" t="e">
        <f>#REF!+"$Cm=!&amp;Qw"</f>
        <v>#REF!</v>
      </c>
      <c r="EV108" t="e">
        <f>#REF!+"$Cm=!&amp;Qx"</f>
        <v>#REF!</v>
      </c>
      <c r="EW108" t="e">
        <f>#REF!+"$Cm=!&amp;Qy"</f>
        <v>#REF!</v>
      </c>
      <c r="EX108" t="e">
        <f>#REF!+"$Cm=!&amp;Qz"</f>
        <v>#REF!</v>
      </c>
      <c r="EY108" t="e">
        <f>#REF!+"$Cm=!&amp;Q{"</f>
        <v>#REF!</v>
      </c>
      <c r="EZ108" t="e">
        <f>#REF!+"$Cm=!&amp;Q|"</f>
        <v>#REF!</v>
      </c>
      <c r="FA108" s="2" t="e">
        <f>#REF!+"$Cm=!&amp;Q}"</f>
        <v>#REF!</v>
      </c>
      <c r="FB108" t="e">
        <f>#REF!+"$Cm=!&amp;Q~"</f>
        <v>#REF!</v>
      </c>
      <c r="FC108" t="e">
        <f>#REF!+"$Cm=!&amp;R#"</f>
        <v>#REF!</v>
      </c>
      <c r="FD108" t="e">
        <f>#REF!+"$Cm=!&amp;R$"</f>
        <v>#REF!</v>
      </c>
      <c r="FE108" t="e">
        <f>#REF!+"$Cm=!&amp;R%"</f>
        <v>#REF!</v>
      </c>
      <c r="FF108" t="e">
        <f>#REF!+"$Cm=!&amp;R&amp;"</f>
        <v>#REF!</v>
      </c>
      <c r="FG108" s="2" t="e">
        <f>#REF!+"$Cm=!&amp;R'"</f>
        <v>#REF!</v>
      </c>
      <c r="FH108" t="e">
        <f>#REF!+"$Cm=!&amp;R("</f>
        <v>#REF!</v>
      </c>
      <c r="FI108" t="e">
        <f>#REF!+"$Cm=!&amp;R)"</f>
        <v>#REF!</v>
      </c>
      <c r="FJ108" t="e">
        <f>#REF!+"$Cm=!&amp;R."</f>
        <v>#REF!</v>
      </c>
      <c r="FK108" t="e">
        <f>#REF!+"$Cm=!&amp;R/"</f>
        <v>#REF!</v>
      </c>
      <c r="FL108" t="e">
        <f>#REF!+"$Cm=!&amp;R0"</f>
        <v>#REF!</v>
      </c>
      <c r="FM108" s="2" t="e">
        <f>#REF!+"$Cm=!&amp;R1"</f>
        <v>#REF!</v>
      </c>
      <c r="FN108" t="e">
        <f>#REF!+"$Cm=!&amp;R2"</f>
        <v>#REF!</v>
      </c>
      <c r="FO108" t="e">
        <f>#REF!+"$Cm=!&amp;R3"</f>
        <v>#REF!</v>
      </c>
      <c r="FP108" t="e">
        <f>#REF!+"$Cm=!&amp;R4"</f>
        <v>#REF!</v>
      </c>
      <c r="FQ108" t="e">
        <f>#REF!+"$Cm=!&amp;R5"</f>
        <v>#REF!</v>
      </c>
      <c r="FR108" t="e">
        <f>#REF!+"$Cm=!&amp;R6"</f>
        <v>#REF!</v>
      </c>
      <c r="FS108" s="2" t="e">
        <f>#REF!+"$Cm=!&amp;R7"</f>
        <v>#REF!</v>
      </c>
      <c r="FT108" t="e">
        <f>#REF!+"$Cm=!&amp;R8"</f>
        <v>#REF!</v>
      </c>
      <c r="FU108" t="e">
        <f>#REF!+"$Cm=!&amp;R9"</f>
        <v>#REF!</v>
      </c>
      <c r="FV108" t="e">
        <f>#REF!+"$Cm=!&amp;R:"</f>
        <v>#REF!</v>
      </c>
      <c r="FW108" t="e">
        <f>#REF!+"$Cm=!&amp;R;"</f>
        <v>#REF!</v>
      </c>
      <c r="FX108" t="e">
        <f>#REF!+"$Cm=!&amp;R&lt;"</f>
        <v>#REF!</v>
      </c>
      <c r="FY108" t="e">
        <f>#REF!+"$Cm=!&amp;R="</f>
        <v>#REF!</v>
      </c>
      <c r="FZ108" s="2" t="e">
        <f>#REF!+"$Cm=!&amp;R&gt;"</f>
        <v>#REF!</v>
      </c>
      <c r="GA108" t="e">
        <f>#REF!+"$Cm=!&amp;R?"</f>
        <v>#REF!</v>
      </c>
      <c r="GB108" t="e">
        <f>#REF!+"$Cm=!&amp;R@"</f>
        <v>#REF!</v>
      </c>
      <c r="GC108" t="e">
        <f>#REF!+"$Cm=!&amp;RA"</f>
        <v>#REF!</v>
      </c>
      <c r="GD108" t="e">
        <f>#REF!+"$Cm=!&amp;RB"</f>
        <v>#REF!</v>
      </c>
      <c r="GE108" t="e">
        <f>#REF!+"$Cm=!&amp;RC"</f>
        <v>#REF!</v>
      </c>
      <c r="GF108" s="2" t="e">
        <f>#REF!+"$Cm=!&amp;RD"</f>
        <v>#REF!</v>
      </c>
      <c r="GG108" t="e">
        <f>#REF!+"$Cm=!&amp;RE"</f>
        <v>#REF!</v>
      </c>
      <c r="GH108" t="e">
        <f>#REF!+"$Cm=!&amp;RF"</f>
        <v>#REF!</v>
      </c>
      <c r="GI108" t="e">
        <f>#REF!+"$Cm=!&amp;RG"</f>
        <v>#REF!</v>
      </c>
      <c r="GJ108" t="e">
        <f>#REF!+"$Cm=!&amp;RH"</f>
        <v>#REF!</v>
      </c>
      <c r="GK108" t="e">
        <f>#REF!+"$Cm=!&amp;RI"</f>
        <v>#REF!</v>
      </c>
      <c r="GL108" t="e">
        <f>#REF!+"$Cm=!&amp;RJ"</f>
        <v>#REF!</v>
      </c>
      <c r="GM108" t="e">
        <f>#REF!+"$Cm=!&amp;RK"</f>
        <v>#REF!</v>
      </c>
      <c r="GN108" t="e">
        <f>#REF!+"$Cm=!&amp;RL"</f>
        <v>#REF!</v>
      </c>
      <c r="GO108" t="e">
        <f>#REF!+"$Cm=!&amp;RM"</f>
        <v>#REF!</v>
      </c>
      <c r="GP108" t="e">
        <f>#REF!+"$Cm=!&amp;RN"</f>
        <v>#REF!</v>
      </c>
      <c r="GQ108" t="e">
        <f>#REF!+"$Cm=!&amp;RO"</f>
        <v>#REF!</v>
      </c>
      <c r="GR108" t="e">
        <f>#REF!+"$Cm=!&amp;RP"</f>
        <v>#REF!</v>
      </c>
      <c r="GS108" t="e">
        <f>#REF!+"$Cm=!&amp;RQ"</f>
        <v>#REF!</v>
      </c>
      <c r="GT108" t="e">
        <f>#REF!+"$Cm=!&amp;RR"</f>
        <v>#REF!</v>
      </c>
      <c r="GU108" t="e">
        <f>#REF!+"$Cm=!&amp;RS"</f>
        <v>#REF!</v>
      </c>
      <c r="GV108" t="e">
        <f>#REF!+"$Cm=!&amp;RT"</f>
        <v>#REF!</v>
      </c>
      <c r="GW108" t="e">
        <f>#REF!+"$Cm=!&amp;RU"</f>
        <v>#REF!</v>
      </c>
      <c r="GX108" t="e">
        <f>#REF!+"$Cm=!&amp;RV"</f>
        <v>#REF!</v>
      </c>
      <c r="GY108" t="e">
        <f>#REF!+"$Cm=!&amp;RW"</f>
        <v>#REF!</v>
      </c>
      <c r="GZ108" t="e">
        <f>#REF!+"$Cm=!&amp;RX"</f>
        <v>#REF!</v>
      </c>
      <c r="HA108" t="e">
        <f>#REF!+"$Cm=!&amp;RY"</f>
        <v>#REF!</v>
      </c>
      <c r="HB108" t="e">
        <f>#REF!+"$Cm=!&amp;RZ"</f>
        <v>#REF!</v>
      </c>
      <c r="HC108" t="e">
        <f>#REF!+"$Cm=!&amp;R["</f>
        <v>#REF!</v>
      </c>
      <c r="HD108" t="e">
        <f>#REF!+"$Cm=!&amp;R\"</f>
        <v>#REF!</v>
      </c>
      <c r="HE108" t="e">
        <f>#REF!+"$Cm=!&amp;R]"</f>
        <v>#REF!</v>
      </c>
      <c r="HF108" t="e">
        <f>#REF!+"$Cm=!&amp;R^"</f>
        <v>#REF!</v>
      </c>
      <c r="HG108" t="e">
        <f>#REF!+"$Cm=!&amp;R_"</f>
        <v>#REF!</v>
      </c>
      <c r="HH108" t="e">
        <f>#REF!+"$Cm=!&amp;R`"</f>
        <v>#REF!</v>
      </c>
      <c r="HI108" t="e">
        <f>#REF!+"$Cm=!&amp;Ra"</f>
        <v>#REF!</v>
      </c>
      <c r="HJ108" t="e">
        <f>#REF!+"$Cm=!&amp;Rb"</f>
        <v>#REF!</v>
      </c>
      <c r="HK108" t="e">
        <f>#REF!+"$Cm=!&amp;Rc"</f>
        <v>#REF!</v>
      </c>
      <c r="HL108" t="e">
        <f>#REF!+"$Cm=!&amp;Rd"</f>
        <v>#REF!</v>
      </c>
      <c r="HM108" t="e">
        <f>#REF!+"$Cm=!&amp;Re"</f>
        <v>#REF!</v>
      </c>
      <c r="HN108" t="e">
        <f>#REF!*"$Cm=!&amp;Rf"</f>
        <v>#REF!</v>
      </c>
      <c r="HO108" t="e">
        <f>#REF!*"$Cm=!&amp;Rg"</f>
        <v>#REF!</v>
      </c>
      <c r="HP108" t="e">
        <f>#REF!*"$Cm=!&amp;Rh"</f>
        <v>#REF!</v>
      </c>
      <c r="HQ108" t="e">
        <f>#REF!*"$Cm=!&amp;Ri"</f>
        <v>#REF!</v>
      </c>
      <c r="HR108" t="e">
        <f>#REF!*"$Cm=!&amp;Rj"</f>
        <v>#REF!</v>
      </c>
      <c r="HS108" t="e">
        <f>#REF!*"$Cm=!&amp;Rk"</f>
        <v>#REF!</v>
      </c>
      <c r="HT108" t="e">
        <f>#REF!*"$Cm=!&amp;Rl"</f>
        <v>#REF!</v>
      </c>
      <c r="HU108" t="e">
        <f>#REF!*"$Cm=!&amp;Rm"</f>
        <v>#REF!</v>
      </c>
      <c r="HV108" t="e">
        <f>#REF!*"$Cm=!&amp;Rn"</f>
        <v>#REF!</v>
      </c>
      <c r="HW108" t="e">
        <f>#REF!*"$Cm=!&amp;Ro"</f>
        <v>#REF!</v>
      </c>
      <c r="HX108" t="e">
        <f>#REF!*"$Cm=!&amp;Rp"</f>
        <v>#REF!</v>
      </c>
      <c r="HY108" t="e">
        <f>#REF!*"$Cm=!&amp;Rq"</f>
        <v>#REF!</v>
      </c>
      <c r="HZ108" t="e">
        <f>#REF!*"$Cm=!&amp;Rr"</f>
        <v>#REF!</v>
      </c>
      <c r="IA108" t="e">
        <f>#REF!*"$Cm=!&amp;Rs"</f>
        <v>#REF!</v>
      </c>
      <c r="IB108" t="e">
        <f>#REF!*"$Cm=!&amp;Rt"</f>
        <v>#REF!</v>
      </c>
      <c r="IC108" t="e">
        <f>#REF!*"$Cm=!&amp;Ru"</f>
        <v>#REF!</v>
      </c>
      <c r="ID108" t="e">
        <f>#REF!*"$Cm=!&amp;Rv"</f>
        <v>#REF!</v>
      </c>
      <c r="IE108" t="e">
        <f>#REF!*"$Cm=!&amp;Rw"</f>
        <v>#REF!</v>
      </c>
      <c r="IF108" t="e">
        <f>#REF!*"$Cm=!&amp;Rx"</f>
        <v>#REF!</v>
      </c>
      <c r="IG108" t="e">
        <f>#REF!*"$Cm=!&amp;Ry"</f>
        <v>#REF!</v>
      </c>
      <c r="IH108" t="e">
        <f>#REF!*"$Cm=!&amp;Rz"</f>
        <v>#REF!</v>
      </c>
      <c r="II108" t="e">
        <f>#REF!*"$Cm=!&amp;R{"</f>
        <v>#REF!</v>
      </c>
      <c r="IJ108" t="e">
        <f>#REF!*"$Cm=!&amp;R|"</f>
        <v>#REF!</v>
      </c>
      <c r="IK108" t="e">
        <f>#REF!*"$Cm=!&amp;R}"</f>
        <v>#REF!</v>
      </c>
      <c r="IL108" t="e">
        <f>#REF!*"$Cm=!&amp;R~"</f>
        <v>#REF!</v>
      </c>
      <c r="IM108" t="e">
        <f>#REF!*"$Cm=!&amp;S#"</f>
        <v>#REF!</v>
      </c>
      <c r="IN108" t="e">
        <f>#REF!*"$Cm=!&amp;S$"</f>
        <v>#REF!</v>
      </c>
      <c r="IO108" t="e">
        <f>#REF!*"$Cm=!&amp;S%"</f>
        <v>#REF!</v>
      </c>
      <c r="IP108" t="e">
        <f>#REF!*"$Cm=!&amp;S&amp;"</f>
        <v>#REF!</v>
      </c>
      <c r="IQ108" t="e">
        <f>#REF!*"$Cm=!&amp;S'"</f>
        <v>#REF!</v>
      </c>
      <c r="IR108" t="e">
        <f>#REF!*"$Cm=!&amp;S("</f>
        <v>#REF!</v>
      </c>
      <c r="IS108" t="e">
        <f>#REF!*"$Cm=!&amp;S)"</f>
        <v>#REF!</v>
      </c>
      <c r="IT108" t="e">
        <f>#REF!*"$Cm=!&amp;S."</f>
        <v>#REF!</v>
      </c>
      <c r="IU108" t="e">
        <f>#REF!*"$Cm=!&amp;S/"</f>
        <v>#REF!</v>
      </c>
      <c r="IV108" t="e">
        <f>#REF!*"$Cm=!&amp;S0"</f>
        <v>#REF!</v>
      </c>
    </row>
    <row r="109" spans="6:256">
      <c r="F109" t="e">
        <f>#REF!*"$Cm=!&amp;S1"</f>
        <v>#REF!</v>
      </c>
      <c r="G109" t="e">
        <f>#REF!*"$Cm=!&amp;S2"</f>
        <v>#REF!</v>
      </c>
      <c r="H109" t="e">
        <f>#REF!*"$Cm=!&amp;S3"</f>
        <v>#REF!</v>
      </c>
      <c r="I109" t="e">
        <f>#REF!*"$Cm=!&amp;S4"</f>
        <v>#REF!</v>
      </c>
      <c r="J109" t="e">
        <f>#REF!*"$Cm=!&amp;S5"</f>
        <v>#REF!</v>
      </c>
      <c r="K109" t="e">
        <f>#REF!*"$Cm=!&amp;S6"</f>
        <v>#REF!</v>
      </c>
      <c r="L109" t="e">
        <f>#REF!*"$Cm=!&amp;S7"</f>
        <v>#REF!</v>
      </c>
      <c r="M109" t="e">
        <f>#REF!*"$Cm=!&amp;S8"</f>
        <v>#REF!</v>
      </c>
      <c r="N109" t="e">
        <f>#REF!*"$Cm=!&amp;S9"</f>
        <v>#REF!</v>
      </c>
      <c r="O109" t="e">
        <f>#REF!*"$Cm=!&amp;S:"</f>
        <v>#REF!</v>
      </c>
      <c r="P109" t="e">
        <f>#REF!*"$Cm=!&amp;S;"</f>
        <v>#REF!</v>
      </c>
      <c r="Q109" t="e">
        <f>#REF!*"$Cm=!&amp;S&lt;"</f>
        <v>#REF!</v>
      </c>
      <c r="R109" t="e">
        <f>#REF!*"$Cm=!&amp;S="</f>
        <v>#REF!</v>
      </c>
      <c r="S109" t="e">
        <f>#REF!*"$Cm=!&amp;S&gt;"</f>
        <v>#REF!</v>
      </c>
      <c r="T109" t="e">
        <f>#REF!*"$Cm=!&amp;S?"</f>
        <v>#REF!</v>
      </c>
      <c r="U109" t="e">
        <f>#REF!*"$Cm=!&amp;S@"</f>
        <v>#REF!</v>
      </c>
      <c r="V109" t="e">
        <f>#REF!-"$Cm=!&amp;SA"</f>
        <v>#REF!</v>
      </c>
      <c r="W109" t="e">
        <f>#REF!-"$Cm=!&amp;SB"</f>
        <v>#REF!</v>
      </c>
      <c r="X109" t="e">
        <f>#REF!-"$Cm=!&amp;SC"</f>
        <v>#REF!</v>
      </c>
      <c r="Y109" t="e">
        <f>#REF!-"$Cm=!&amp;SD"</f>
        <v>#REF!</v>
      </c>
      <c r="Z109" t="e">
        <f>#REF!-"$Cm=!&amp;SE"</f>
        <v>#REF!</v>
      </c>
      <c r="AA109" t="e">
        <f>#REF!-"$Cm=!&amp;SF"</f>
        <v>#REF!</v>
      </c>
      <c r="AB109" t="e">
        <f>#REF!-"$Cm=!&amp;SG"</f>
        <v>#REF!</v>
      </c>
      <c r="AC109" t="e">
        <f>#REF!-"$Cm=!&amp;SH"</f>
        <v>#REF!</v>
      </c>
      <c r="AD109" t="e">
        <f>#REF!-"$Cm=!&amp;SI"</f>
        <v>#REF!</v>
      </c>
      <c r="AE109" t="e">
        <f>#REF!-"$Cm=!&amp;SJ"</f>
        <v>#REF!</v>
      </c>
      <c r="AF109" t="e">
        <f>#REF!-"$Cm=!&amp;SK"</f>
        <v>#REF!</v>
      </c>
      <c r="AG109" t="e">
        <f>#REF!-"$Cm=!&amp;SL"</f>
        <v>#REF!</v>
      </c>
      <c r="AH109" t="e">
        <f>#REF!-"$Cm=!&amp;SM"</f>
        <v>#REF!</v>
      </c>
      <c r="AI109" t="e">
        <f>#REF!-"$Cm=!&amp;SN"</f>
        <v>#REF!</v>
      </c>
      <c r="AJ109" t="e">
        <f>#REF!-"$Cm=!&amp;SO"</f>
        <v>#REF!</v>
      </c>
      <c r="AK109" t="e">
        <f>#REF!-"$Cm=!&amp;SP"</f>
        <v>#REF!</v>
      </c>
      <c r="AL109" t="e">
        <f>#REF!-"$Cm=!&amp;SQ"</f>
        <v>#REF!</v>
      </c>
      <c r="AM109" t="e">
        <f>#REF!-"$Cm=!&amp;SR"</f>
        <v>#REF!</v>
      </c>
      <c r="AN109" t="e">
        <f>#REF!-"$Cm=!&amp;SS"</f>
        <v>#REF!</v>
      </c>
      <c r="AO109" t="e">
        <f>#REF!-"$Cm=!&amp;ST"</f>
        <v>#REF!</v>
      </c>
      <c r="AP109" t="e">
        <f>#REF!-"$Cm=!&amp;SU"</f>
        <v>#REF!</v>
      </c>
      <c r="AQ109" t="e">
        <f>#REF!-"$Cm=!&amp;SV"</f>
        <v>#REF!</v>
      </c>
      <c r="AR109" t="e">
        <f>#REF!-"$Cm=!&amp;SW"</f>
        <v>#REF!</v>
      </c>
      <c r="AS109" t="e">
        <f>#REF!-"$Cm=!&amp;SX"</f>
        <v>#REF!</v>
      </c>
      <c r="AT109" t="e">
        <f>#REF!-"$Cm=!&amp;SY"</f>
        <v>#REF!</v>
      </c>
      <c r="AU109" t="e">
        <f>#REF!-"$Cm=!&amp;SZ"</f>
        <v>#REF!</v>
      </c>
      <c r="AV109" t="e">
        <f>#REF!-"$Cm=!&amp;S["</f>
        <v>#REF!</v>
      </c>
      <c r="AW109" t="e">
        <f>#REF!-"$Cm=!&amp;S\"</f>
        <v>#REF!</v>
      </c>
      <c r="AX109" t="e">
        <f>#REF!-"$Cm=!&amp;S]"</f>
        <v>#REF!</v>
      </c>
      <c r="AY109" t="e">
        <f>#REF!-"$Cm=!&amp;S^"</f>
        <v>#REF!</v>
      </c>
      <c r="AZ109" t="e">
        <f>#REF!-"$Cm=!&amp;S_"</f>
        <v>#REF!</v>
      </c>
      <c r="BA109" t="e">
        <f>#REF!-"$Cm=!&amp;S`"</f>
        <v>#REF!</v>
      </c>
      <c r="BB109" t="e">
        <f>#REF!-"$Cm=!&amp;Sa"</f>
        <v>#REF!</v>
      </c>
      <c r="BC109" t="e">
        <f>#REF!-"$Cm=!&amp;Sb"</f>
        <v>#REF!</v>
      </c>
      <c r="BD109" t="e">
        <f>#REF!-"$Cm=!&amp;Sc"</f>
        <v>#REF!</v>
      </c>
      <c r="BE109" t="e">
        <f>#REF!-"$Cm=!&amp;Sd"</f>
        <v>#REF!</v>
      </c>
      <c r="BF109" t="e">
        <f>#REF!-"$Cm=!&amp;Se"</f>
        <v>#REF!</v>
      </c>
      <c r="BG109" t="e">
        <f>#REF!-"$Cm=!&amp;Sf"</f>
        <v>#REF!</v>
      </c>
      <c r="BH109" t="e">
        <f>#REF!-"$Cm=!&amp;Sg"</f>
        <v>#REF!</v>
      </c>
      <c r="BI109" t="e">
        <f>#REF!-"$Cm=!&amp;Sh"</f>
        <v>#REF!</v>
      </c>
      <c r="BJ109" t="e">
        <f>#REF!-"$Cm=!&amp;Si"</f>
        <v>#REF!</v>
      </c>
      <c r="BK109" t="e">
        <f>#REF!-"$Cm=!&amp;Sj"</f>
        <v>#REF!</v>
      </c>
      <c r="BL109" t="e">
        <f>#REF!-"$Cm=!&amp;Sk"</f>
        <v>#REF!</v>
      </c>
      <c r="BM109" t="e">
        <f>#REF!-"$Cm=!&amp;Sl"</f>
        <v>#REF!</v>
      </c>
      <c r="BN109" t="e">
        <f>#REF!-"$Cm=!&amp;Sm"</f>
        <v>#REF!</v>
      </c>
      <c r="BO109" t="e">
        <f>#REF!-"$Cm=!&amp;Sn"</f>
        <v>#REF!</v>
      </c>
      <c r="BP109" t="e">
        <f>#REF!-"$Cm=!&amp;So"</f>
        <v>#REF!</v>
      </c>
      <c r="BQ109" t="e">
        <f>#REF!-"$Cm=!&amp;Sp"</f>
        <v>#REF!</v>
      </c>
      <c r="BR109" t="e">
        <f>#REF!-"$Cm=!&amp;Sq"</f>
        <v>#REF!</v>
      </c>
      <c r="BS109" t="e">
        <f>#REF!-"$Cm=!&amp;Sr"</f>
        <v>#REF!</v>
      </c>
      <c r="BT109" t="e">
        <f>#REF!-"$Cm=!&amp;Ss"</f>
        <v>#REF!</v>
      </c>
      <c r="BU109" t="e">
        <f>#REF!-"$Cm=!&amp;St"</f>
        <v>#REF!</v>
      </c>
      <c r="BV109" t="e">
        <f>#REF!-"$Cm=!&amp;Su"</f>
        <v>#REF!</v>
      </c>
      <c r="BW109" t="e">
        <f>#REF!-"$Cm=!&amp;Sv"</f>
        <v>#REF!</v>
      </c>
      <c r="BX109" t="e">
        <f>#REF!-"$Cm=!&amp;Sw"</f>
        <v>#REF!</v>
      </c>
      <c r="BY109" t="e">
        <f>#REF!-"$Cm=!&amp;Sx"</f>
        <v>#REF!</v>
      </c>
      <c r="BZ109" t="e">
        <f>#REF!-"$Cm=!&amp;Sy"</f>
        <v>#REF!</v>
      </c>
      <c r="CA109" t="e">
        <f>#REF!-"$Cm=!&amp;Sz"</f>
        <v>#REF!</v>
      </c>
      <c r="CB109" t="e">
        <f>#REF!-"$Cm=!&amp;S{"</f>
        <v>#REF!</v>
      </c>
      <c r="CC109" t="e">
        <f>#REF!-"$Cm=!&amp;S|"</f>
        <v>#REF!</v>
      </c>
      <c r="CD109" t="e">
        <f>#REF!-"$Cm=!&amp;S}"</f>
        <v>#REF!</v>
      </c>
      <c r="CE109" t="e">
        <f>#REF!-"$Cm=!&amp;S~"</f>
        <v>#REF!</v>
      </c>
      <c r="CF109" t="e">
        <f>#REF!-"$Cm=!&amp;T#"</f>
        <v>#REF!</v>
      </c>
      <c r="CG109" t="e">
        <f>#REF!-"$Cm=!&amp;T$"</f>
        <v>#REF!</v>
      </c>
      <c r="CH109" t="e">
        <f>#REF!-"$Cm=!&amp;T%"</f>
        <v>#REF!</v>
      </c>
      <c r="CI109" t="e">
        <f>#REF!-"$Cm=!&amp;T&amp;"</f>
        <v>#REF!</v>
      </c>
      <c r="CJ109" t="e">
        <f>#REF!-"$Cm=!&amp;T'"</f>
        <v>#REF!</v>
      </c>
      <c r="CK109" t="e">
        <f>#REF!-"$Cm=!&amp;T("</f>
        <v>#REF!</v>
      </c>
      <c r="CL109" t="e">
        <f>#REF!-"$Cm=!&amp;T)"</f>
        <v>#REF!</v>
      </c>
      <c r="CM109" t="e">
        <f>#REF!-"$Cm=!&amp;T."</f>
        <v>#REF!</v>
      </c>
      <c r="CN109" t="e">
        <f>#REF!-"$Cm=!&amp;T/"</f>
        <v>#REF!</v>
      </c>
      <c r="CO109" t="e">
        <f>#REF!-"$Cm=!&amp;T0"</f>
        <v>#REF!</v>
      </c>
      <c r="CP109" t="e">
        <f>#REF!-"$Cm=!&amp;T1"</f>
        <v>#REF!</v>
      </c>
      <c r="CQ109" t="e">
        <f>#REF!-"$Cm=!&amp;T2"</f>
        <v>#REF!</v>
      </c>
      <c r="CR109" t="e">
        <f>#REF!-"$Cm=!&amp;T3"</f>
        <v>#REF!</v>
      </c>
      <c r="CS109" t="e">
        <f>#REF!-"$Cm=!&amp;T4"</f>
        <v>#REF!</v>
      </c>
      <c r="CT109" t="e">
        <f>#REF!-"$Cm=!&amp;T5"</f>
        <v>#REF!</v>
      </c>
      <c r="CU109" t="e">
        <f>#REF!-"$Cm=!&amp;T6"</f>
        <v>#REF!</v>
      </c>
      <c r="CV109" t="e">
        <f>#REF!-"$Cm=!&amp;T7"</f>
        <v>#REF!</v>
      </c>
      <c r="CW109" t="e">
        <f>#REF!-"$Cm=!&amp;T8"</f>
        <v>#REF!</v>
      </c>
      <c r="CX109" t="e">
        <f>#REF!-"$Cm=!&amp;T9"</f>
        <v>#REF!</v>
      </c>
      <c r="CY109" t="e">
        <f>#REF!-"$Cm=!&amp;T:"</f>
        <v>#REF!</v>
      </c>
      <c r="CZ109" t="e">
        <f>#REF!-"$Cm=!&amp;T;"</f>
        <v>#REF!</v>
      </c>
      <c r="DA109" t="e">
        <f>#REF!-"$Cm=!&amp;T&lt;"</f>
        <v>#REF!</v>
      </c>
      <c r="DB109" t="e">
        <f>#REF!-"$Cm=!&amp;T="</f>
        <v>#REF!</v>
      </c>
      <c r="DC109" t="e">
        <f>#REF!-"$Cm=!&amp;T&gt;"</f>
        <v>#REF!</v>
      </c>
      <c r="DD109" t="e">
        <f>#REF!-"$Cm=!&amp;T?"</f>
        <v>#REF!</v>
      </c>
      <c r="DE109" t="e">
        <f>#REF!-"$Cm=!&amp;T@"</f>
        <v>#REF!</v>
      </c>
      <c r="DF109" t="e">
        <f>#REF!-"$Cm=!&amp;TA"</f>
        <v>#REF!</v>
      </c>
      <c r="DG109" t="e">
        <f>#REF!-"$Cm=!&amp;TB"</f>
        <v>#REF!</v>
      </c>
      <c r="DH109" t="e">
        <f>#REF!-"$Cm=!&amp;TC"</f>
        <v>#REF!</v>
      </c>
      <c r="DI109" t="e">
        <f>#REF!-"$Cm=!&amp;TD"</f>
        <v>#REF!</v>
      </c>
      <c r="DJ109" t="e">
        <f>#REF!-"$Cm=!&amp;TE"</f>
        <v>#REF!</v>
      </c>
      <c r="DK109" t="e">
        <f>#REF!-"$Cm=!&amp;TF"</f>
        <v>#REF!</v>
      </c>
      <c r="DL109" t="e">
        <f>#REF!-"$Cm=!&amp;TG"</f>
        <v>#REF!</v>
      </c>
      <c r="DM109" t="e">
        <f>#REF!-"$Cm=!&amp;TH"</f>
        <v>#REF!</v>
      </c>
      <c r="DN109" t="e">
        <f>#REF!-"$Cm=!&amp;TI"</f>
        <v>#REF!</v>
      </c>
      <c r="DO109" t="e">
        <f>#REF!-"$Cm=!&amp;TJ"</f>
        <v>#REF!</v>
      </c>
      <c r="DP109" t="e">
        <f>#REF!-"$Cm=!&amp;TK"</f>
        <v>#REF!</v>
      </c>
      <c r="DQ109" t="e">
        <f>#REF!-"$Cm=!&amp;TL"</f>
        <v>#REF!</v>
      </c>
      <c r="DR109" t="e">
        <f>#REF!-"$Cm=!&amp;TM"</f>
        <v>#REF!</v>
      </c>
      <c r="DS109" t="e">
        <f>#REF!-"$Cm=!&amp;TN"</f>
        <v>#REF!</v>
      </c>
      <c r="DT109" t="e">
        <f>#REF!-"$Cm=!&amp;TO"</f>
        <v>#REF!</v>
      </c>
      <c r="DU109" t="e">
        <f>#REF!-"$Cm=!&amp;TP"</f>
        <v>#REF!</v>
      </c>
      <c r="DV109" t="e">
        <f>#REF!-"$Cm=!&amp;TQ"</f>
        <v>#REF!</v>
      </c>
      <c r="DW109" t="e">
        <f>#REF!-"$Cm=!&amp;TR"</f>
        <v>#REF!</v>
      </c>
      <c r="DX109" t="e">
        <f>#REF!-"$Cm=!&amp;TS"</f>
        <v>#REF!</v>
      </c>
      <c r="DY109" t="e">
        <f>#REF!-"$Cm=!&amp;TT"</f>
        <v>#REF!</v>
      </c>
      <c r="DZ109" t="e">
        <f>#REF!-"$Cm=!&amp;TU"</f>
        <v>#REF!</v>
      </c>
      <c r="EA109" t="e">
        <f>#REF!-"$Cm=!&amp;TV"</f>
        <v>#REF!</v>
      </c>
      <c r="EB109" t="e">
        <f>#REF!-"$Cm=!&amp;TW"</f>
        <v>#REF!</v>
      </c>
      <c r="EC109" t="e">
        <f>#REF!-"$Cm=!&amp;TX"</f>
        <v>#REF!</v>
      </c>
      <c r="ED109" t="e">
        <f>#REF!-"$Cm=!&amp;TY"</f>
        <v>#REF!</v>
      </c>
      <c r="EE109" t="e">
        <f>#REF!-"$Cm=!&amp;TZ"</f>
        <v>#REF!</v>
      </c>
      <c r="EF109" t="e">
        <f>#REF!-"$Cm=!&amp;T["</f>
        <v>#REF!</v>
      </c>
      <c r="EG109" t="e">
        <f>#REF!-"$Cm=!&amp;T\"</f>
        <v>#REF!</v>
      </c>
      <c r="EH109" t="e">
        <f>#REF!-"$Cm=!&amp;T]"</f>
        <v>#REF!</v>
      </c>
      <c r="EI109" t="e">
        <f>#REF!-"$Cm=!&amp;T^"</f>
        <v>#REF!</v>
      </c>
      <c r="EJ109" t="e">
        <f>#REF!-"$Cm=!&amp;T_"</f>
        <v>#REF!</v>
      </c>
      <c r="EK109" t="e">
        <f>#REF!-"$Cm=!&amp;T`"</f>
        <v>#REF!</v>
      </c>
      <c r="EL109" t="e">
        <f>#REF!-"$Cm=!&amp;Ta"</f>
        <v>#REF!</v>
      </c>
      <c r="EM109" t="e">
        <f>#REF!-"$Cm=!&amp;Tb"</f>
        <v>#REF!</v>
      </c>
      <c r="EN109" t="e">
        <f>#REF!-"$Cm=!&amp;Tc"</f>
        <v>#REF!</v>
      </c>
      <c r="EO109" t="e">
        <f>#REF!-"$Cm=!&amp;Td"</f>
        <v>#REF!</v>
      </c>
      <c r="EP109" t="e">
        <f>#REF!-"$Cm=!&amp;Te"</f>
        <v>#REF!</v>
      </c>
      <c r="EQ109" t="e">
        <f>#REF!-"$Cm=!&amp;Tf"</f>
        <v>#REF!</v>
      </c>
      <c r="ER109" t="e">
        <f>#REF!-"$Cm=!&amp;Tg"</f>
        <v>#REF!</v>
      </c>
      <c r="ES109" t="e">
        <f>#REF!-"$Cm=!&amp;Th"</f>
        <v>#REF!</v>
      </c>
      <c r="ET109" t="e">
        <f>#REF!-"$Cm=!&amp;Ti"</f>
        <v>#REF!</v>
      </c>
      <c r="EU109" t="e">
        <f>#REF!-"$Cm=!&amp;Tj"</f>
        <v>#REF!</v>
      </c>
      <c r="EV109" t="e">
        <f>#REF!-"$Cm=!&amp;Tk"</f>
        <v>#REF!</v>
      </c>
      <c r="EW109" t="e">
        <f>#REF!-"$Cm=!&amp;Tl"</f>
        <v>#REF!</v>
      </c>
      <c r="EX109" t="e">
        <f>#REF!-"$Cm=!&amp;Tm"</f>
        <v>#REF!</v>
      </c>
      <c r="EY109" t="e">
        <f>#REF!-"$Cm=!&amp;Tn"</f>
        <v>#REF!</v>
      </c>
      <c r="EZ109" t="e">
        <f>#REF!-"$Cm=!&amp;To"</f>
        <v>#REF!</v>
      </c>
      <c r="FA109" t="e">
        <f>#REF!-"$Cm=!&amp;Tp"</f>
        <v>#REF!</v>
      </c>
      <c r="FB109" t="e">
        <f>#REF!-"$Cm=!&amp;Tq"</f>
        <v>#REF!</v>
      </c>
      <c r="FC109" t="e">
        <f>#REF!-"$Cm=!&amp;Tr"</f>
        <v>#REF!</v>
      </c>
      <c r="FD109" t="e">
        <f>#REF!-"$Cm=!&amp;Ts"</f>
        <v>#REF!</v>
      </c>
      <c r="FE109" t="e">
        <f>#REF!-"$Cm=!&amp;Tt"</f>
        <v>#REF!</v>
      </c>
      <c r="FF109" t="e">
        <f>#REF!-"$Cm=!&amp;Tu"</f>
        <v>#REF!</v>
      </c>
      <c r="FG109" t="e">
        <f>#REF!-"$Cm=!&amp;Tv"</f>
        <v>#REF!</v>
      </c>
      <c r="FH109" t="e">
        <f>#REF!-"$Cm=!&amp;Tw"</f>
        <v>#REF!</v>
      </c>
      <c r="FI109" t="e">
        <f>#REF!-"$Cm=!&amp;Tx"</f>
        <v>#REF!</v>
      </c>
      <c r="FJ109" t="e">
        <f>#REF!-"$Cm=!&amp;Ty"</f>
        <v>#REF!</v>
      </c>
      <c r="FK109" t="e">
        <f>#REF!-"$Cm=!&amp;Tz"</f>
        <v>#REF!</v>
      </c>
      <c r="FL109" t="e">
        <f>#REF!-"$Cm=!&amp;T{"</f>
        <v>#REF!</v>
      </c>
      <c r="FM109" t="e">
        <f>#REF!-"$Cm=!&amp;T|"</f>
        <v>#REF!</v>
      </c>
      <c r="FN109" t="e">
        <f>#REF!-"$Cm=!&amp;T}"</f>
        <v>#REF!</v>
      </c>
      <c r="FO109" t="e">
        <f>#REF!-"$Cm=!&amp;T~"</f>
        <v>#REF!</v>
      </c>
      <c r="FP109" t="e">
        <f>#REF!-"$Cm=!&amp;U#"</f>
        <v>#REF!</v>
      </c>
      <c r="FQ109" t="e">
        <f>#REF!-"$Cm=!&amp;U$"</f>
        <v>#REF!</v>
      </c>
      <c r="FR109" t="e">
        <f>#REF!-"$Cm=!&amp;U%"</f>
        <v>#REF!</v>
      </c>
      <c r="FS109" t="e">
        <f>#REF!-"$Cm=!&amp;U&amp;"</f>
        <v>#REF!</v>
      </c>
      <c r="FT109" t="e">
        <f>#REF!-"$Cm=!&amp;U'"</f>
        <v>#REF!</v>
      </c>
      <c r="FU109" t="e">
        <f>#REF!-"$Cm=!&amp;U("</f>
        <v>#REF!</v>
      </c>
      <c r="FV109" t="e">
        <f>#REF!-"$Cm=!&amp;U)"</f>
        <v>#REF!</v>
      </c>
      <c r="FW109" t="e">
        <f>#REF!-"$Cm=!&amp;U."</f>
        <v>#REF!</v>
      </c>
      <c r="FX109" t="e">
        <f>#REF!-"$Cm=!&amp;U/"</f>
        <v>#REF!</v>
      </c>
      <c r="FY109" t="e">
        <f>#REF!-"$Cm=!&amp;U0"</f>
        <v>#REF!</v>
      </c>
      <c r="FZ109" t="e">
        <f>#REF!-"$Cm=!&amp;U1"</f>
        <v>#REF!</v>
      </c>
      <c r="GA109" t="e">
        <f>#REF!-"$Cm=!&amp;U2"</f>
        <v>#REF!</v>
      </c>
      <c r="GB109" t="e">
        <f>#REF!-"$Cm=!&amp;U3"</f>
        <v>#REF!</v>
      </c>
      <c r="GC109" t="e">
        <f>#REF!-"$Cm=!&amp;U4"</f>
        <v>#REF!</v>
      </c>
      <c r="GD109" t="e">
        <f>#REF!-"$Cm=!&amp;U5"</f>
        <v>#REF!</v>
      </c>
      <c r="GE109" t="e">
        <f>#REF!-"$Cm=!&amp;U6"</f>
        <v>#REF!</v>
      </c>
      <c r="GF109" t="e">
        <f>#REF!-"$Cm=!&amp;U7"</f>
        <v>#REF!</v>
      </c>
      <c r="GG109" t="e">
        <f>#REF!-"$Cm=!&amp;U8"</f>
        <v>#REF!</v>
      </c>
      <c r="GH109" t="e">
        <f>#REF!-"$Cm=!&amp;U9"</f>
        <v>#REF!</v>
      </c>
      <c r="GI109" t="e">
        <f>#REF!-"$Cm=!&amp;U:"</f>
        <v>#REF!</v>
      </c>
      <c r="GJ109" t="e">
        <f>#REF!-"$Cm=!&amp;U;"</f>
        <v>#REF!</v>
      </c>
      <c r="GK109" t="e">
        <f>#REF!-"$Cm=!&amp;U&lt;"</f>
        <v>#REF!</v>
      </c>
      <c r="GL109" t="e">
        <f>#REF!-"$Cm=!&amp;U="</f>
        <v>#REF!</v>
      </c>
      <c r="GM109" t="e">
        <f>#REF!-"$Cm=!&amp;U&gt;"</f>
        <v>#REF!</v>
      </c>
      <c r="GN109" t="e">
        <f>#REF!-"$Cm=!&amp;U?"</f>
        <v>#REF!</v>
      </c>
      <c r="GO109" t="e">
        <f>#REF!-"$Cm=!&amp;U@"</f>
        <v>#REF!</v>
      </c>
      <c r="GP109" t="e">
        <f>#REF!-"$Cm=!&amp;UA"</f>
        <v>#REF!</v>
      </c>
      <c r="GQ109" t="e">
        <f>#REF!-"$Cm=!&amp;UB"</f>
        <v>#REF!</v>
      </c>
      <c r="GR109" t="e">
        <f>#REF!-"$Cm=!&amp;UC"</f>
        <v>#REF!</v>
      </c>
      <c r="GS109" t="e">
        <f>#REF!-"$Cm=!&amp;UD"</f>
        <v>#REF!</v>
      </c>
      <c r="GT109" t="e">
        <f>#REF!-"$Cm=!&amp;UE"</f>
        <v>#REF!</v>
      </c>
      <c r="GU109" t="e">
        <f>#REF!-"$Cm=!&amp;UF"</f>
        <v>#REF!</v>
      </c>
      <c r="GV109" t="e">
        <f>#REF!-"$Cm=!&amp;UG"</f>
        <v>#REF!</v>
      </c>
      <c r="GW109" t="e">
        <f>#REF!-"$Cm=!&amp;UH"</f>
        <v>#REF!</v>
      </c>
      <c r="GX109" t="e">
        <f>#REF!-"$Cm=!&amp;UI"</f>
        <v>#REF!</v>
      </c>
      <c r="GY109" t="e">
        <f>#REF!-"$Cm=!&amp;UJ"</f>
        <v>#REF!</v>
      </c>
      <c r="GZ109" t="e">
        <f>#REF!-"$Cm=!&amp;UK"</f>
        <v>#REF!</v>
      </c>
      <c r="HA109" t="e">
        <f>#REF!-"$Cm=!&amp;UL"</f>
        <v>#REF!</v>
      </c>
      <c r="HB109" t="e">
        <f>#REF!-"$Cm=!&amp;UM"</f>
        <v>#REF!</v>
      </c>
      <c r="HC109" t="e">
        <f>#REF!-"$Cm=!&amp;UN"</f>
        <v>#REF!</v>
      </c>
      <c r="HD109" t="e">
        <f>#REF!-"$Cm=!&amp;UO"</f>
        <v>#REF!</v>
      </c>
      <c r="HE109" t="e">
        <f>#REF!-"$Cm=!&amp;UP"</f>
        <v>#REF!</v>
      </c>
      <c r="HF109" t="e">
        <f>#REF!-"$Cm=!&amp;UQ"</f>
        <v>#REF!</v>
      </c>
      <c r="HG109" t="e">
        <f>#REF!-"$Cm=!&amp;UR"</f>
        <v>#REF!</v>
      </c>
      <c r="HH109" t="e">
        <f>#REF!-"$Cm=!&amp;US"</f>
        <v>#REF!</v>
      </c>
      <c r="HI109" t="e">
        <f>#REF!-"$Cm=!&amp;UT"</f>
        <v>#REF!</v>
      </c>
      <c r="HJ109" t="e">
        <f>#REF!-"$Cm=!&amp;UU"</f>
        <v>#REF!</v>
      </c>
      <c r="HK109" t="e">
        <f>#REF!-"$Cm=!&amp;UV"</f>
        <v>#REF!</v>
      </c>
      <c r="HL109" t="e">
        <f>#REF!-"$Cm=!&amp;UW"</f>
        <v>#REF!</v>
      </c>
      <c r="HM109" t="e">
        <f>#REF!-"$Cm=!&amp;UX"</f>
        <v>#REF!</v>
      </c>
      <c r="HN109" t="e">
        <f>#REF!-"$Cm=!&amp;UY"</f>
        <v>#REF!</v>
      </c>
      <c r="HO109" t="e">
        <f>#REF!-"$Cm=!&amp;UZ"</f>
        <v>#REF!</v>
      </c>
      <c r="HP109" t="e">
        <f>#REF!-"$Cm=!&amp;U["</f>
        <v>#REF!</v>
      </c>
      <c r="HQ109" t="e">
        <f>#REF!-"$Cm=!&amp;U\"</f>
        <v>#REF!</v>
      </c>
      <c r="HR109" t="e">
        <f>#REF!-"$Cm=!&amp;U]"</f>
        <v>#REF!</v>
      </c>
      <c r="HS109" t="e">
        <f>#REF!+"$Cm=!&amp;U^"</f>
        <v>#REF!</v>
      </c>
      <c r="HT109" t="e">
        <f>#REF!+"$Cm=!&amp;U_"</f>
        <v>#REF!</v>
      </c>
    </row>
  </sheetData>
  <pageMargins left="0.7" right="0.7" top="0.75" bottom="0.75" header="0.3" footer="0.3"/>
  <pageSetup orientation="portrait" r:id="rId1"/>
  <headerFooter>
    <oddFooter>&amp;C&amp;1#&amp;"Arial"&amp;10&amp;K000000---Internal Use---</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C3338952783B043A0D9E4562158FA13" ma:contentTypeVersion="12" ma:contentTypeDescription="Create a new document." ma:contentTypeScope="" ma:versionID="e3f1c7d1a7bec14eee42dca7abf033e6">
  <xsd:schema xmlns:xsd="http://www.w3.org/2001/XMLSchema" xmlns:xs="http://www.w3.org/2001/XMLSchema" xmlns:p="http://schemas.microsoft.com/office/2006/metadata/properties" xmlns:ns3="e844d1de-7772-47c2-bb92-35f3eeaa2e5d" xmlns:ns4="a2a4afe0-6cd8-4c9c-8296-538aebca7ef0" targetNamespace="http://schemas.microsoft.com/office/2006/metadata/properties" ma:root="true" ma:fieldsID="e516d947aef9be3afcccdc75dc8d6717" ns3:_="" ns4:_="">
    <xsd:import namespace="e844d1de-7772-47c2-bb92-35f3eeaa2e5d"/>
    <xsd:import namespace="a2a4afe0-6cd8-4c9c-8296-538aebca7ef0"/>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4:SharedWithUsers" minOccurs="0"/>
                <xsd:element ref="ns4:SharedWithDetails" minOccurs="0"/>
                <xsd:element ref="ns4:SharingHintHash"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44d1de-7772-47c2-bb92-35f3eeaa2e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2a4afe0-6cd8-4c9c-8296-538aebca7ef0"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C155425-CE1D-497E-B2AE-FC489B173B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844d1de-7772-47c2-bb92-35f3eeaa2e5d"/>
    <ds:schemaRef ds:uri="a2a4afe0-6cd8-4c9c-8296-538aebca7e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784CE02-EA17-4DD1-B625-DC30C6ED18BD}">
  <ds:schemaRefs>
    <ds:schemaRef ds:uri="http://schemas.microsoft.com/sharepoint/v3/contenttype/forms"/>
  </ds:schemaRefs>
</ds:datastoreItem>
</file>

<file path=customXml/itemProps3.xml><?xml version="1.0" encoding="utf-8"?>
<ds:datastoreItem xmlns:ds="http://schemas.openxmlformats.org/officeDocument/2006/customXml" ds:itemID="{6C65CE15-F876-4D13-8D86-457DEFF5A53A}">
  <ds:schemaRefs>
    <ds:schemaRef ds:uri="http://purl.org/dc/terms/"/>
    <ds:schemaRef ds:uri="http://schemas.openxmlformats.org/package/2006/metadata/core-properties"/>
    <ds:schemaRef ds:uri="a2a4afe0-6cd8-4c9c-8296-538aebca7ef0"/>
    <ds:schemaRef ds:uri="http://schemas.microsoft.com/office/2006/documentManagement/types"/>
    <ds:schemaRef ds:uri="http://schemas.microsoft.com/office/infopath/2007/PartnerControls"/>
    <ds:schemaRef ds:uri="e844d1de-7772-47c2-bb92-35f3eeaa2e5d"/>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14</vt:i4>
      </vt:variant>
    </vt:vector>
  </HeadingPairs>
  <TitlesOfParts>
    <vt:vector size="20" baseType="lpstr">
      <vt:lpstr>Global IMACD Form</vt:lpstr>
      <vt:lpstr>Multiple Devices (2 or more)</vt:lpstr>
      <vt:lpstr>Device Configuration</vt:lpstr>
      <vt:lpstr>Reference Data</vt:lpstr>
      <vt:lpstr>Version Tracker</vt:lpstr>
      <vt:lpstr>Device</vt:lpstr>
      <vt:lpstr>Device!IM_350F</vt:lpstr>
      <vt:lpstr>Device!IM_C3000___Base</vt:lpstr>
      <vt:lpstr>Device!IM_C3000___w_finisher</vt:lpstr>
      <vt:lpstr>Device!IM_C300F</vt:lpstr>
      <vt:lpstr>IM_C3500</vt:lpstr>
      <vt:lpstr>IM_C6000</vt:lpstr>
      <vt:lpstr>Device!MP_2555SP</vt:lpstr>
      <vt:lpstr>Device!MP_3555SP</vt:lpstr>
      <vt:lpstr>Device!MP_6055SP</vt:lpstr>
      <vt:lpstr>P_502_501M</vt:lpstr>
      <vt:lpstr>P_C600</vt:lpstr>
      <vt:lpstr>'Global IMACD Form'!Print_Area</vt:lpstr>
      <vt:lpstr>Device!SP_6430DN</vt:lpstr>
      <vt:lpstr>Device!SP_C840DN</vt:lpstr>
    </vt:vector>
  </TitlesOfParts>
  <Company>Ricoh Global 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Jean-Francois Lecas</dc:creator>
  <cp:lastModifiedBy>MDS</cp:lastModifiedBy>
  <cp:lastPrinted>2018-08-14T19:07:49Z</cp:lastPrinted>
  <dcterms:created xsi:type="dcterms:W3CDTF">2009-01-14T14:00:53Z</dcterms:created>
  <dcterms:modified xsi:type="dcterms:W3CDTF">2022-09-20T10:26:01Z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ffisync_ServerID">
    <vt:lpwstr>b8eac5d7-1030-4369-bf65-2e90c0469691</vt:lpwstr>
  </property>
  <property fmtid="{D5CDD505-2E9C-101B-9397-08002B2CF9AE}" pid="3" name="Offisync_ProviderInitializationData">
    <vt:lpwstr>https://rworld.ricoh-usa.com/</vt:lpwstr>
  </property>
  <property fmtid="{D5CDD505-2E9C-101B-9397-08002B2CF9AE}" pid="4" name="Offisync_UpdateToken">
    <vt:lpwstr>3</vt:lpwstr>
  </property>
  <property fmtid="{D5CDD505-2E9C-101B-9397-08002B2CF9AE}" pid="5" name="Jive_PrevVersionNumber">
    <vt:lpwstr>2</vt:lpwstr>
  </property>
  <property fmtid="{D5CDD505-2E9C-101B-9397-08002B2CF9AE}" pid="6" name="Jive_LatestUserAccountName">
    <vt:lpwstr>Renee.Plummer@ricoh-usa.com</vt:lpwstr>
  </property>
  <property fmtid="{D5CDD505-2E9C-101B-9397-08002B2CF9AE}" pid="7" name="Jive_LatestFileFullName">
    <vt:lpwstr>c20eac1a8f5eecc56408c74d320a0cbe</vt:lpwstr>
  </property>
  <property fmtid="{D5CDD505-2E9C-101B-9397-08002B2CF9AE}" pid="8" name="Jive_ModifiedButNotPublished">
    <vt:lpwstr>True</vt:lpwstr>
  </property>
  <property fmtid="{D5CDD505-2E9C-101B-9397-08002B2CF9AE}" pid="9" name="Offisync_UniqueId">
    <vt:lpwstr>705340</vt:lpwstr>
  </property>
  <property fmtid="{D5CDD505-2E9C-101B-9397-08002B2CF9AE}" pid="10" name="Jive_VersionGuid_v2.5">
    <vt:lpwstr>cd2c44dc3e534640ba280a3f03f0429f</vt:lpwstr>
  </property>
  <property fmtid="{D5CDD505-2E9C-101B-9397-08002B2CF9AE}" pid="11" name="ContentTypeId">
    <vt:lpwstr>0x0101001C3338952783B043A0D9E4562158FA13</vt:lpwstr>
  </property>
  <property fmtid="{D5CDD505-2E9C-101B-9397-08002B2CF9AE}" pid="12" name="MSIP_Label_0d28e344-bb15-459b-97fd-14fa06bc1052_Enabled">
    <vt:lpwstr>true</vt:lpwstr>
  </property>
  <property fmtid="{D5CDD505-2E9C-101B-9397-08002B2CF9AE}" pid="13" name="MSIP_Label_0d28e344-bb15-459b-97fd-14fa06bc1052_SetDate">
    <vt:lpwstr>2021-11-01T02:07:58Z</vt:lpwstr>
  </property>
  <property fmtid="{D5CDD505-2E9C-101B-9397-08002B2CF9AE}" pid="14" name="MSIP_Label_0d28e344-bb15-459b-97fd-14fa06bc1052_Method">
    <vt:lpwstr>Standard</vt:lpwstr>
  </property>
  <property fmtid="{D5CDD505-2E9C-101B-9397-08002B2CF9AE}" pid="15" name="MSIP_Label_0d28e344-bb15-459b-97fd-14fa06bc1052_Name">
    <vt:lpwstr>Not Protected (Internal Use)</vt:lpwstr>
  </property>
  <property fmtid="{D5CDD505-2E9C-101B-9397-08002B2CF9AE}" pid="16" name="MSIP_Label_0d28e344-bb15-459b-97fd-14fa06bc1052_SiteId">
    <vt:lpwstr>3e20ecb2-9cb0-4df1-ad7b-914e31dcdda4</vt:lpwstr>
  </property>
  <property fmtid="{D5CDD505-2E9C-101B-9397-08002B2CF9AE}" pid="17" name="MSIP_Label_0d28e344-bb15-459b-97fd-14fa06bc1052_ActionId">
    <vt:lpwstr>58580981-1d6b-4893-9852-45babca08820</vt:lpwstr>
  </property>
  <property fmtid="{D5CDD505-2E9C-101B-9397-08002B2CF9AE}" pid="18" name="MSIP_Label_0d28e344-bb15-459b-97fd-14fa06bc1052_ContentBits">
    <vt:lpwstr>2</vt:lpwstr>
  </property>
</Properties>
</file>